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13_ncr:1_{CFC202BE-AE3D-4D4A-955C-2D31A208207C}" xr6:coauthVersionLast="47" xr6:coauthVersionMax="47" xr10:uidLastSave="{00000000-0000-0000-0000-000000000000}"/>
  <bookViews>
    <workbookView xWindow="-108" yWindow="-108" windowWidth="23256" windowHeight="12456" xr2:uid="{25E48D73-6726-4B7E-8AE0-ACADF59908E4}"/>
  </bookViews>
  <sheets>
    <sheet name="ASIANPAINT" sheetId="1" r:id="rId1"/>
    <sheet name="Paint Industry" sheetId="2" r:id="rId2"/>
  </sheets>
  <definedNames>
    <definedName name="_xlnm._FilterDatabase" localSheetId="1" hidden="1">'Paint Industry'!$A$1:$D$11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2" i="2" l="1"/>
  <c r="I152" i="2"/>
  <c r="J151" i="2"/>
  <c r="I151" i="2"/>
  <c r="H151" i="2"/>
  <c r="G151" i="2"/>
  <c r="F151" i="2"/>
  <c r="I150" i="2"/>
  <c r="I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I154" i="2" s="1"/>
  <c r="H146" i="2"/>
  <c r="G146" i="2"/>
  <c r="F146" i="2"/>
  <c r="J145" i="2"/>
  <c r="J154" i="2" s="1"/>
  <c r="I145" i="2"/>
  <c r="H145" i="2"/>
  <c r="H154" i="2" s="1"/>
  <c r="G145" i="2"/>
  <c r="G154" i="2" s="1"/>
  <c r="F145" i="2"/>
  <c r="F154" i="2" s="1"/>
  <c r="H43" i="2"/>
  <c r="I17" i="2"/>
  <c r="I16" i="2"/>
  <c r="J17" i="2" s="1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U11" i="2"/>
  <c r="T11" i="2"/>
  <c r="S11" i="2"/>
  <c r="R11" i="2"/>
  <c r="V11" i="2" s="1"/>
  <c r="Q11" i="2"/>
  <c r="O11" i="2"/>
  <c r="M11" i="2"/>
  <c r="L11" i="2"/>
  <c r="K11" i="2"/>
  <c r="J11" i="2"/>
  <c r="I11" i="2"/>
  <c r="H11" i="2"/>
  <c r="G11" i="2"/>
  <c r="F11" i="2"/>
  <c r="E11" i="2"/>
  <c r="D11" i="2"/>
  <c r="R58" i="1"/>
  <c r="Q58" i="1"/>
  <c r="T58" i="1" s="1"/>
  <c r="I56" i="1"/>
  <c r="Z55" i="1"/>
  <c r="Y55" i="1"/>
  <c r="T55" i="1"/>
  <c r="S55" i="1"/>
  <c r="Z54" i="1"/>
  <c r="Y54" i="1"/>
  <c r="T54" i="1"/>
  <c r="S54" i="1"/>
  <c r="T53" i="1"/>
  <c r="S53" i="1"/>
  <c r="Z52" i="1"/>
  <c r="Y52" i="1"/>
  <c r="T52" i="1"/>
  <c r="S52" i="1"/>
  <c r="Z51" i="1"/>
  <c r="Y51" i="1"/>
  <c r="T51" i="1"/>
  <c r="S51" i="1"/>
  <c r="N51" i="1"/>
  <c r="Z50" i="1"/>
  <c r="Y50" i="1"/>
  <c r="T50" i="1"/>
  <c r="S50" i="1"/>
  <c r="G50" i="1"/>
  <c r="F50" i="1"/>
  <c r="D50" i="1"/>
  <c r="E50" i="1" s="1"/>
  <c r="E47" i="1" s="1"/>
  <c r="Z49" i="1"/>
  <c r="Y49" i="1"/>
  <c r="T49" i="1"/>
  <c r="S49" i="1"/>
  <c r="AB46" i="1"/>
  <c r="AA46" i="1"/>
  <c r="AC46" i="1" s="1"/>
  <c r="W46" i="1"/>
  <c r="V46" i="1"/>
  <c r="X46" i="1" s="1"/>
  <c r="R46" i="1"/>
  <c r="Q46" i="1"/>
  <c r="S46" i="1" s="1"/>
  <c r="AB45" i="1"/>
  <c r="AA45" i="1"/>
  <c r="AC45" i="1" s="1"/>
  <c r="W45" i="1"/>
  <c r="V45" i="1"/>
  <c r="X45" i="1" s="1"/>
  <c r="R45" i="1"/>
  <c r="S45" i="1" s="1"/>
  <c r="Q45" i="1"/>
  <c r="AC44" i="1"/>
  <c r="X44" i="1"/>
  <c r="S44" i="1"/>
  <c r="AC43" i="1"/>
  <c r="X43" i="1"/>
  <c r="S43" i="1"/>
  <c r="I43" i="1"/>
  <c r="H43" i="1"/>
  <c r="G43" i="1"/>
  <c r="F43" i="1"/>
  <c r="E43" i="1"/>
  <c r="D43" i="1"/>
  <c r="AC42" i="1"/>
  <c r="X42" i="1"/>
  <c r="S42" i="1"/>
  <c r="I42" i="1"/>
  <c r="H42" i="1"/>
  <c r="G42" i="1"/>
  <c r="F42" i="1"/>
  <c r="E42" i="1"/>
  <c r="D42" i="1"/>
  <c r="AC41" i="1"/>
  <c r="X41" i="1"/>
  <c r="S41" i="1"/>
  <c r="I41" i="1"/>
  <c r="H41" i="1"/>
  <c r="G41" i="1"/>
  <c r="F41" i="1"/>
  <c r="E41" i="1"/>
  <c r="D41" i="1"/>
  <c r="AC40" i="1"/>
  <c r="X40" i="1"/>
  <c r="S40" i="1"/>
  <c r="I40" i="1"/>
  <c r="H40" i="1"/>
  <c r="G40" i="1"/>
  <c r="F40" i="1"/>
  <c r="E40" i="1"/>
  <c r="D40" i="1"/>
  <c r="AC39" i="1"/>
  <c r="X39" i="1"/>
  <c r="S39" i="1"/>
  <c r="I39" i="1"/>
  <c r="H39" i="1"/>
  <c r="G39" i="1"/>
  <c r="F39" i="1"/>
  <c r="E39" i="1"/>
  <c r="D39" i="1"/>
  <c r="D46" i="1" s="1"/>
  <c r="M36" i="1"/>
  <c r="K36" i="1"/>
  <c r="F36" i="1"/>
  <c r="L36" i="1" s="1"/>
  <c r="E36" i="1"/>
  <c r="D36" i="1"/>
  <c r="M35" i="1"/>
  <c r="M42" i="1" s="1"/>
  <c r="K35" i="1"/>
  <c r="K43" i="1" s="1"/>
  <c r="J35" i="1"/>
  <c r="J43" i="1" s="1"/>
  <c r="M34" i="1"/>
  <c r="K34" i="1"/>
  <c r="J34" i="1"/>
  <c r="M33" i="1"/>
  <c r="K33" i="1"/>
  <c r="J33" i="1"/>
  <c r="J41" i="1" s="1"/>
  <c r="M32" i="1"/>
  <c r="K32" i="1"/>
  <c r="J32" i="1"/>
  <c r="M31" i="1"/>
  <c r="K31" i="1"/>
  <c r="J31" i="1"/>
  <c r="M30" i="1"/>
  <c r="L30" i="1"/>
  <c r="K30" i="1"/>
  <c r="K42" i="1" s="1"/>
  <c r="J30" i="1"/>
  <c r="J42" i="1" s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M41" i="1" s="1"/>
  <c r="L25" i="1"/>
  <c r="K25" i="1"/>
  <c r="K41" i="1" s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M40" i="1" s="1"/>
  <c r="L20" i="1"/>
  <c r="K20" i="1"/>
  <c r="K40" i="1" s="1"/>
  <c r="J20" i="1"/>
  <c r="J40" i="1" s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M39" i="1" s="1"/>
  <c r="L15" i="1"/>
  <c r="K15" i="1"/>
  <c r="K39" i="1" s="1"/>
  <c r="J15" i="1"/>
  <c r="J39" i="1" s="1"/>
  <c r="L39" i="1" s="1"/>
  <c r="M14" i="1"/>
  <c r="L14" i="1"/>
  <c r="K14" i="1"/>
  <c r="J14" i="1"/>
  <c r="M13" i="1"/>
  <c r="L13" i="1"/>
  <c r="K13" i="1"/>
  <c r="J13" i="1"/>
  <c r="M12" i="1"/>
  <c r="L12" i="1"/>
  <c r="K12" i="1"/>
  <c r="J12" i="1"/>
  <c r="T9" i="1"/>
  <c r="S9" i="1"/>
  <c r="R9" i="1"/>
  <c r="Q9" i="1"/>
  <c r="O9" i="1"/>
  <c r="I9" i="1"/>
  <c r="H9" i="1"/>
  <c r="G9" i="1"/>
  <c r="F9" i="1"/>
  <c r="E9" i="1"/>
  <c r="D9" i="1"/>
  <c r="B9" i="1"/>
  <c r="U5" i="1"/>
  <c r="T5" i="1"/>
  <c r="S5" i="1"/>
  <c r="R5" i="1"/>
  <c r="Q5" i="1"/>
  <c r="O5" i="1"/>
  <c r="N5" i="1"/>
  <c r="M5" i="1"/>
  <c r="L5" i="1"/>
  <c r="J5" i="1"/>
  <c r="I5" i="1"/>
  <c r="H5" i="1"/>
  <c r="V4" i="1"/>
  <c r="P4" i="1"/>
  <c r="P5" i="1" s="1"/>
  <c r="K4" i="1"/>
  <c r="K5" i="1" s="1"/>
  <c r="G4" i="1"/>
  <c r="F4" i="1"/>
  <c r="E4" i="1"/>
  <c r="V3" i="1"/>
  <c r="V5" i="1" s="1"/>
  <c r="G3" i="1"/>
  <c r="G5" i="1" s="1"/>
  <c r="F3" i="1"/>
  <c r="L9" i="1" s="1"/>
  <c r="E3" i="1"/>
  <c r="E5" i="1" s="1"/>
  <c r="D3" i="1"/>
  <c r="C3" i="1"/>
  <c r="M9" i="1" s="1"/>
  <c r="L40" i="1" l="1"/>
  <c r="L42" i="1"/>
  <c r="L43" i="1"/>
  <c r="D51" i="1"/>
  <c r="L41" i="1"/>
  <c r="C5" i="1"/>
  <c r="N9" i="1"/>
  <c r="D4" i="1"/>
  <c r="D5" i="1" s="1"/>
  <c r="J56" i="1"/>
  <c r="K56" i="1"/>
  <c r="L54" i="1" s="1"/>
  <c r="F5" i="1"/>
  <c r="J9" i="1"/>
  <c r="J36" i="1"/>
  <c r="K9" i="1"/>
  <c r="M43" i="1"/>
  <c r="G46" i="1" s="1"/>
  <c r="S58" i="1"/>
  <c r="E51" i="1" l="1"/>
  <c r="D52" i="1"/>
  <c r="E52" i="1" l="1"/>
  <c r="F51" i="1"/>
  <c r="G51" i="1" l="1"/>
  <c r="F52" i="1"/>
  <c r="G52" i="1" s="1"/>
</calcChain>
</file>

<file path=xl/sharedStrings.xml><?xml version="1.0" encoding="utf-8"?>
<sst xmlns="http://schemas.openxmlformats.org/spreadsheetml/2006/main" count="436" uniqueCount="205">
  <si>
    <t>CASHFLOW</t>
  </si>
  <si>
    <t>Company</t>
  </si>
  <si>
    <t>Price</t>
  </si>
  <si>
    <t>Marketcap</t>
  </si>
  <si>
    <t>TRAIL_SALES</t>
  </si>
  <si>
    <t>TRAIL_PROFIT</t>
  </si>
  <si>
    <t>TRAIL_EPS</t>
  </si>
  <si>
    <t>FV</t>
  </si>
  <si>
    <t>Equity</t>
  </si>
  <si>
    <t>Reserve</t>
  </si>
  <si>
    <t>DEBT</t>
  </si>
  <si>
    <t>LEASE</t>
  </si>
  <si>
    <t>CUR.ASSETS</t>
  </si>
  <si>
    <t>CUR.LIABILITIES</t>
  </si>
  <si>
    <t>ASSETS</t>
  </si>
  <si>
    <t>LIABILITIES</t>
  </si>
  <si>
    <t>TRADE REC</t>
  </si>
  <si>
    <t>PPE</t>
  </si>
  <si>
    <t>CFO</t>
  </si>
  <si>
    <t>CFI</t>
  </si>
  <si>
    <t>CFF</t>
  </si>
  <si>
    <t>TOTAL</t>
  </si>
  <si>
    <t>ASIANPAINT</t>
  </si>
  <si>
    <t>FY_24</t>
  </si>
  <si>
    <t>GROWTH</t>
  </si>
  <si>
    <t>LIQUIDITY</t>
  </si>
  <si>
    <t>SOLVENCY</t>
  </si>
  <si>
    <t>PROFITABILITY</t>
  </si>
  <si>
    <t>VALUATIONS</t>
  </si>
  <si>
    <t>SALES GROWTH</t>
  </si>
  <si>
    <t>VOLUME GR</t>
  </si>
  <si>
    <t>P-MARGIN</t>
  </si>
  <si>
    <t>CUR.RATIO</t>
  </si>
  <si>
    <t>TRADE REC DAY</t>
  </si>
  <si>
    <t>DEBT2EQUITY</t>
  </si>
  <si>
    <t>DEBTRATIO</t>
  </si>
  <si>
    <t>ICR</t>
  </si>
  <si>
    <t>ROE</t>
  </si>
  <si>
    <t>ROPE</t>
  </si>
  <si>
    <t>ROA</t>
  </si>
  <si>
    <t>TRAIL_PE</t>
  </si>
  <si>
    <t>YIELD</t>
  </si>
  <si>
    <t>BOOKVALUE</t>
  </si>
  <si>
    <t>PBV</t>
  </si>
  <si>
    <t>PEG</t>
  </si>
  <si>
    <t>OCFR</t>
  </si>
  <si>
    <t>CFD</t>
  </si>
  <si>
    <t>FCF (INC R)</t>
  </si>
  <si>
    <t>ACTUAL DATA</t>
  </si>
  <si>
    <t>Years</t>
  </si>
  <si>
    <t>Revenue</t>
  </si>
  <si>
    <t>Profit</t>
  </si>
  <si>
    <t>Eps</t>
  </si>
  <si>
    <t>EQUITY</t>
  </si>
  <si>
    <t>H Price</t>
  </si>
  <si>
    <t>L Price</t>
  </si>
  <si>
    <t>HPE</t>
  </si>
  <si>
    <t>LPE</t>
  </si>
  <si>
    <t>Dividend</t>
  </si>
  <si>
    <t>Margin</t>
  </si>
  <si>
    <t>fy_2001</t>
  </si>
  <si>
    <t>fy_2002</t>
  </si>
  <si>
    <t>Bonus*2</t>
  </si>
  <si>
    <t>fy_2003</t>
  </si>
  <si>
    <t>fy_2004</t>
  </si>
  <si>
    <t>fy_2005</t>
  </si>
  <si>
    <t>fy_2006</t>
  </si>
  <si>
    <t>fy_2007</t>
  </si>
  <si>
    <t>fy_2008</t>
  </si>
  <si>
    <t>fy_2009</t>
  </si>
  <si>
    <t>fy_2010</t>
  </si>
  <si>
    <t>fy_2011</t>
  </si>
  <si>
    <t>fy_2012</t>
  </si>
  <si>
    <t>fy_2013</t>
  </si>
  <si>
    <t>Split*10</t>
  </si>
  <si>
    <t>fy_2014</t>
  </si>
  <si>
    <t>fy_2015</t>
  </si>
  <si>
    <t>fy_2016</t>
  </si>
  <si>
    <t>fy_2017</t>
  </si>
  <si>
    <t>fy_2018</t>
  </si>
  <si>
    <t>fy_2019</t>
  </si>
  <si>
    <t>fy_2020</t>
  </si>
  <si>
    <t>fy_2021</t>
  </si>
  <si>
    <t>fy_2022</t>
  </si>
  <si>
    <t>fy_2023</t>
  </si>
  <si>
    <t>fy_2024</t>
  </si>
  <si>
    <t>TRAIL_FY25</t>
  </si>
  <si>
    <t>VOLUME</t>
  </si>
  <si>
    <t>FAIRPE</t>
  </si>
  <si>
    <t>RESULTS</t>
  </si>
  <si>
    <t>Q1_FY25</t>
  </si>
  <si>
    <t>Q1_FY24</t>
  </si>
  <si>
    <t>Growth</t>
  </si>
  <si>
    <t>Q4_FY_24</t>
  </si>
  <si>
    <t>Q4_FY_23</t>
  </si>
  <si>
    <t>FY_23</t>
  </si>
  <si>
    <t>20 YEARS</t>
  </si>
  <si>
    <t>Sales</t>
  </si>
  <si>
    <t>15 Year</t>
  </si>
  <si>
    <t>Finance cost</t>
  </si>
  <si>
    <t>10 Years</t>
  </si>
  <si>
    <t>Expenses</t>
  </si>
  <si>
    <t>5 Years</t>
  </si>
  <si>
    <t>CYear</t>
  </si>
  <si>
    <t>EPS</t>
  </si>
  <si>
    <t>Estimation</t>
  </si>
  <si>
    <t>Year</t>
  </si>
  <si>
    <t>MARGIN</t>
  </si>
  <si>
    <t>TREND</t>
  </si>
  <si>
    <t>H1_FY_24</t>
  </si>
  <si>
    <t>9M_FY_24</t>
  </si>
  <si>
    <t>EST-2025</t>
  </si>
  <si>
    <t>Long Term</t>
  </si>
  <si>
    <t>SALES</t>
  </si>
  <si>
    <t>I.C.R</t>
  </si>
  <si>
    <t>EST_FY_2025</t>
  </si>
  <si>
    <t>PROFIT</t>
  </si>
  <si>
    <t>Major Cost</t>
  </si>
  <si>
    <t>Share</t>
  </si>
  <si>
    <t>REGION</t>
  </si>
  <si>
    <t>Expecrtation</t>
  </si>
  <si>
    <t>FairValue</t>
  </si>
  <si>
    <t>RawMaterial</t>
  </si>
  <si>
    <t>AFRICA</t>
  </si>
  <si>
    <t>TRAIL EPS</t>
  </si>
  <si>
    <t>Q2</t>
  </si>
  <si>
    <t>Q3</t>
  </si>
  <si>
    <t>Q4</t>
  </si>
  <si>
    <t>T_EPS_25</t>
  </si>
  <si>
    <t>OTHER EXP</t>
  </si>
  <si>
    <t>MIDDLE EAST</t>
  </si>
  <si>
    <t>EST_FY_2030</t>
  </si>
  <si>
    <t>STOCKINTRADE</t>
  </si>
  <si>
    <t>ASIA</t>
  </si>
  <si>
    <t>EST_FY_2035</t>
  </si>
  <si>
    <t>Employee cost</t>
  </si>
  <si>
    <t>SOUTH PACIFIC</t>
  </si>
  <si>
    <t>EPS_24</t>
  </si>
  <si>
    <t>F-EPS-25</t>
  </si>
  <si>
    <t>D&amp;A</t>
  </si>
  <si>
    <t>FINANCE</t>
  </si>
  <si>
    <t>GLOBAL</t>
  </si>
  <si>
    <t>PE_24</t>
  </si>
  <si>
    <t>F-PE-24</t>
  </si>
  <si>
    <t>INVENTORY</t>
  </si>
  <si>
    <t>Total</t>
  </si>
  <si>
    <t>WWW.PROFITFROMIT.IN</t>
  </si>
  <si>
    <t>Security Code</t>
  </si>
  <si>
    <t>Security Name</t>
  </si>
  <si>
    <t>Market cap</t>
  </si>
  <si>
    <t>CUR ASSET</t>
  </si>
  <si>
    <t>CUR LIABILITY</t>
  </si>
  <si>
    <t>TOT. ASSET</t>
  </si>
  <si>
    <t>TOT. LIABILITY</t>
  </si>
  <si>
    <t>TOT. EQUITY</t>
  </si>
  <si>
    <t>BORROWING</t>
  </si>
  <si>
    <t xml:space="preserve">TRADE REC. </t>
  </si>
  <si>
    <t>NPA in % (For banks only)</t>
  </si>
  <si>
    <t>Companies weightage</t>
  </si>
  <si>
    <t>SALES_18</t>
  </si>
  <si>
    <t>SALES_23</t>
  </si>
  <si>
    <t>PROFIT_23</t>
  </si>
  <si>
    <t>EXPENSE</t>
  </si>
  <si>
    <t>SALES_5Y_GR</t>
  </si>
  <si>
    <t>CUR. RATIO</t>
  </si>
  <si>
    <t>TR.DAYS</t>
  </si>
  <si>
    <t>BERGEPAINT</t>
  </si>
  <si>
    <t>KANSAINER</t>
  </si>
  <si>
    <t>AKZOINDIA</t>
  </si>
  <si>
    <t>INDIGOPNTS</t>
  </si>
  <si>
    <t>SIRCA</t>
  </si>
  <si>
    <t>-</t>
  </si>
  <si>
    <t>SHALPAINTS</t>
  </si>
  <si>
    <t>KAMOPAINTS</t>
  </si>
  <si>
    <t>INDUSTRY</t>
  </si>
  <si>
    <t>PAINT INDUSTRY</t>
  </si>
  <si>
    <t>YEAR</t>
  </si>
  <si>
    <t>SALES IN CR</t>
  </si>
  <si>
    <t>FY_2023</t>
  </si>
  <si>
    <t>ORGANISED</t>
  </si>
  <si>
    <t>EST_FY_2028</t>
  </si>
  <si>
    <t>UNORGANISED</t>
  </si>
  <si>
    <t>MARKETSHARE</t>
  </si>
  <si>
    <t>COMPETITVE MARKET SHARE</t>
  </si>
  <si>
    <t>PAINT COMPANIES</t>
  </si>
  <si>
    <t>LISTED SPACE</t>
  </si>
  <si>
    <t>SALES_23_INCR</t>
  </si>
  <si>
    <t>PROFIT_23_INCR</t>
  </si>
  <si>
    <t>SALES 5Y GR</t>
  </si>
  <si>
    <t>ASIAN PAINTS</t>
  </si>
  <si>
    <t>BERGER PAINTS</t>
  </si>
  <si>
    <t>KANSAI NEROLAC</t>
  </si>
  <si>
    <t>AKZO NOBEL</t>
  </si>
  <si>
    <t>INDIGO PAINTS</t>
  </si>
  <si>
    <t>OTHERS</t>
  </si>
  <si>
    <t>MEDIAN</t>
  </si>
  <si>
    <t>WEALTH</t>
  </si>
  <si>
    <t>PRICE_2023</t>
  </si>
  <si>
    <t>PRICE_2013</t>
  </si>
  <si>
    <t>PRICE_2003</t>
  </si>
  <si>
    <t>10Y CAGR</t>
  </si>
  <si>
    <t>20Y CAGR</t>
  </si>
  <si>
    <t>20 Y X TIMES</t>
  </si>
  <si>
    <t>DIVIDEND %</t>
  </si>
  <si>
    <t>20 Y DIV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</si>
</sst>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0.0%"/>
    <numFmt numFmtId="166" formatCode="#,##0.0"/>
  </numFmts>
  <fonts count="20" x14ac:knownFonts="1">
    <font>
      <sz val="10"/>
      <color rgb="FF000000"/>
      <name val="Calibri"/>
      <scheme val="minor"/>
    </font>
    <font>
      <sz val="11"/>
      <color rgb="FFFFFFFF"/>
      <name val="Arial"/>
    </font>
    <font>
      <sz val="10"/>
      <color theme="1"/>
      <name val="Arial"/>
    </font>
    <font>
      <sz val="10"/>
      <color rgb="FFFFFFFF"/>
      <name val="Arial"/>
    </font>
    <font>
      <sz val="11"/>
      <color rgb="FF000000"/>
      <name val="Calibri"/>
    </font>
    <font>
      <sz val="10"/>
      <color theme="1"/>
      <name val="Calibri"/>
      <scheme val="minor"/>
    </font>
    <font>
      <sz val="11"/>
      <color theme="1"/>
      <name val="Calibri"/>
    </font>
    <font>
      <b/>
      <i/>
      <sz val="11"/>
      <color rgb="FF000000"/>
      <name val="Calibri"/>
    </font>
    <font>
      <b/>
      <i/>
      <sz val="11"/>
      <color theme="1"/>
      <name val="Calibri"/>
    </font>
    <font>
      <sz val="11"/>
      <color rgb="FF000000"/>
      <name val="Arial"/>
    </font>
    <font>
      <i/>
      <sz val="11"/>
      <color theme="1"/>
      <name val="Arial"/>
    </font>
    <font>
      <sz val="11"/>
      <color theme="1"/>
      <name val="Calibri"/>
      <scheme val="minor"/>
    </font>
    <font>
      <b/>
      <sz val="11"/>
      <color theme="1"/>
      <name val="Calibri"/>
    </font>
    <font>
      <sz val="10"/>
      <color theme="1"/>
      <name val="Calibri"/>
    </font>
    <font>
      <sz val="28"/>
      <color theme="1"/>
      <name val="Calibri"/>
      <scheme val="minor"/>
    </font>
    <font>
      <sz val="10"/>
      <name val="Arial"/>
    </font>
    <font>
      <b/>
      <u/>
      <sz val="10"/>
      <color theme="1"/>
      <name val="Calibri"/>
      <scheme val="minor"/>
    </font>
    <font>
      <u/>
      <sz val="36"/>
      <color rgb="FFFFFFFF"/>
      <name val="Arial"/>
    </font>
    <font>
      <b/>
      <i/>
      <u/>
      <sz val="10"/>
      <color theme="1"/>
      <name val="Arial"/>
    </font>
    <font>
      <i/>
      <u/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073763"/>
        <bgColor rgb="FF07376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0" fontId="3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4" fillId="0" borderId="1" xfId="0" applyFont="1" applyBorder="1"/>
    <xf numFmtId="3" fontId="5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0" xfId="0" applyFont="1"/>
    <xf numFmtId="1" fontId="6" fillId="3" borderId="3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5" fillId="0" borderId="1" xfId="0" applyFont="1" applyBorder="1"/>
    <xf numFmtId="1" fontId="4" fillId="0" borderId="1" xfId="0" applyNumberFormat="1" applyFont="1" applyBorder="1"/>
    <xf numFmtId="164" fontId="4" fillId="0" borderId="1" xfId="0" applyNumberFormat="1" applyFont="1" applyBorder="1"/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4" borderId="1" xfId="0" applyFont="1" applyFill="1" applyBorder="1"/>
    <xf numFmtId="9" fontId="7" fillId="4" borderId="1" xfId="0" applyNumberFormat="1" applyFont="1" applyFill="1" applyBorder="1"/>
    <xf numFmtId="9" fontId="8" fillId="4" borderId="1" xfId="0" applyNumberFormat="1" applyFont="1" applyFill="1" applyBorder="1" applyAlignment="1">
      <alignment horizontal="center"/>
    </xf>
    <xf numFmtId="9" fontId="8" fillId="4" borderId="5" xfId="0" applyNumberFormat="1" applyFont="1" applyFill="1" applyBorder="1" applyAlignment="1">
      <alignment horizontal="center"/>
    </xf>
    <xf numFmtId="0" fontId="4" fillId="0" borderId="0" xfId="0" applyFont="1"/>
    <xf numFmtId="0" fontId="3" fillId="2" borderId="0" xfId="0" applyFont="1" applyFill="1"/>
    <xf numFmtId="0" fontId="1" fillId="2" borderId="2" xfId="0" applyFont="1" applyFill="1" applyBorder="1"/>
    <xf numFmtId="0" fontId="2" fillId="0" borderId="2" xfId="0" applyFont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1" fillId="2" borderId="2" xfId="0" applyNumberFormat="1" applyFont="1" applyFill="1" applyBorder="1"/>
    <xf numFmtId="9" fontId="5" fillId="0" borderId="0" xfId="0" applyNumberFormat="1" applyFont="1"/>
    <xf numFmtId="9" fontId="9" fillId="5" borderId="1" xfId="0" applyNumberFormat="1" applyFont="1" applyFill="1" applyBorder="1" applyAlignment="1">
      <alignment horizontal="right"/>
    </xf>
    <xf numFmtId="165" fontId="9" fillId="5" borderId="1" xfId="0" applyNumberFormat="1" applyFont="1" applyFill="1" applyBorder="1" applyAlignment="1">
      <alignment horizontal="right"/>
    </xf>
    <xf numFmtId="164" fontId="9" fillId="5" borderId="1" xfId="0" applyNumberFormat="1" applyFont="1" applyFill="1" applyBorder="1" applyAlignment="1">
      <alignment horizontal="right"/>
    </xf>
    <xf numFmtId="3" fontId="9" fillId="5" borderId="1" xfId="0" applyNumberFormat="1" applyFont="1" applyFill="1" applyBorder="1" applyAlignment="1">
      <alignment horizontal="right"/>
    </xf>
    <xf numFmtId="1" fontId="9" fillId="5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right"/>
    </xf>
    <xf numFmtId="164" fontId="10" fillId="5" borderId="3" xfId="0" applyNumberFormat="1" applyFont="1" applyFill="1" applyBorder="1" applyAlignment="1">
      <alignment horizontal="right"/>
    </xf>
    <xf numFmtId="164" fontId="10" fillId="5" borderId="4" xfId="0" applyNumberFormat="1" applyFont="1" applyFill="1" applyBorder="1" applyAlignment="1">
      <alignment horizontal="right"/>
    </xf>
    <xf numFmtId="3" fontId="10" fillId="5" borderId="4" xfId="0" applyNumberFormat="1" applyFont="1" applyFill="1" applyBorder="1" applyAlignment="1">
      <alignment horizontal="right"/>
    </xf>
    <xf numFmtId="0" fontId="6" fillId="3" borderId="1" xfId="0" applyFont="1" applyFill="1" applyBorder="1"/>
    <xf numFmtId="0" fontId="6" fillId="6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166" fontId="6" fillId="3" borderId="1" xfId="0" applyNumberFormat="1" applyFont="1" applyFill="1" applyBorder="1" applyAlignment="1">
      <alignment horizontal="right"/>
    </xf>
    <xf numFmtId="1" fontId="11" fillId="0" borderId="1" xfId="0" applyNumberFormat="1" applyFont="1" applyBorder="1"/>
    <xf numFmtId="164" fontId="6" fillId="3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right"/>
    </xf>
    <xf numFmtId="9" fontId="6" fillId="0" borderId="1" xfId="0" applyNumberFormat="1" applyFont="1" applyBorder="1" applyAlignment="1">
      <alignment horizontal="right"/>
    </xf>
    <xf numFmtId="166" fontId="12" fillId="3" borderId="1" xfId="0" applyNumberFormat="1" applyFont="1" applyFill="1" applyBorder="1" applyAlignment="1">
      <alignment horizontal="right"/>
    </xf>
    <xf numFmtId="1" fontId="12" fillId="3" borderId="1" xfId="0" applyNumberFormat="1" applyFont="1" applyFill="1" applyBorder="1" applyAlignment="1">
      <alignment horizontal="right"/>
    </xf>
    <xf numFmtId="166" fontId="6" fillId="3" borderId="1" xfId="0" applyNumberFormat="1" applyFont="1" applyFill="1" applyBorder="1"/>
    <xf numFmtId="1" fontId="6" fillId="3" borderId="1" xfId="0" applyNumberFormat="1" applyFont="1" applyFill="1" applyBorder="1"/>
    <xf numFmtId="1" fontId="5" fillId="0" borderId="1" xfId="0" applyNumberFormat="1" applyFont="1" applyBorder="1"/>
    <xf numFmtId="164" fontId="5" fillId="0" borderId="1" xfId="0" applyNumberFormat="1" applyFont="1" applyBorder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9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11" fillId="0" borderId="1" xfId="0" applyFont="1" applyBorder="1"/>
    <xf numFmtId="9" fontId="11" fillId="0" borderId="1" xfId="0" applyNumberFormat="1" applyFont="1" applyBorder="1"/>
    <xf numFmtId="1" fontId="2" fillId="0" borderId="1" xfId="0" applyNumberFormat="1" applyFont="1" applyBorder="1"/>
    <xf numFmtId="165" fontId="2" fillId="0" borderId="1" xfId="0" applyNumberFormat="1" applyFont="1" applyBorder="1"/>
    <xf numFmtId="165" fontId="5" fillId="0" borderId="0" xfId="0" applyNumberFormat="1" applyFont="1"/>
    <xf numFmtId="165" fontId="5" fillId="0" borderId="1" xfId="0" applyNumberFormat="1" applyFont="1" applyBorder="1"/>
    <xf numFmtId="10" fontId="11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13" fillId="0" borderId="3" xfId="0" applyFont="1" applyBorder="1"/>
    <xf numFmtId="9" fontId="13" fillId="0" borderId="4" xfId="0" applyNumberFormat="1" applyFont="1" applyBorder="1" applyAlignment="1">
      <alignment horizontal="right"/>
    </xf>
    <xf numFmtId="10" fontId="5" fillId="0" borderId="0" xfId="0" applyNumberFormat="1" applyFont="1"/>
    <xf numFmtId="4" fontId="11" fillId="0" borderId="1" xfId="0" applyNumberFormat="1" applyFont="1" applyBorder="1"/>
    <xf numFmtId="165" fontId="13" fillId="0" borderId="4" xfId="0" applyNumberFormat="1" applyFont="1" applyBorder="1" applyAlignment="1">
      <alignment horizontal="right"/>
    </xf>
    <xf numFmtId="9" fontId="5" fillId="0" borderId="1" xfId="0" applyNumberFormat="1" applyFont="1" applyBorder="1"/>
    <xf numFmtId="3" fontId="2" fillId="7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5" fillId="0" borderId="9" xfId="0" applyFont="1" applyBorder="1"/>
    <xf numFmtId="9" fontId="5" fillId="0" borderId="9" xfId="0" applyNumberFormat="1" applyFont="1" applyBorder="1"/>
    <xf numFmtId="1" fontId="6" fillId="0" borderId="1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16" fillId="9" borderId="11" xfId="0" applyFont="1" applyFill="1" applyBorder="1"/>
    <xf numFmtId="9" fontId="5" fillId="9" borderId="1" xfId="0" applyNumberFormat="1" applyFont="1" applyFill="1" applyBorder="1"/>
    <xf numFmtId="9" fontId="16" fillId="9" borderId="1" xfId="0" applyNumberFormat="1" applyFont="1" applyFill="1" applyBorder="1"/>
    <xf numFmtId="0" fontId="3" fillId="10" borderId="0" xfId="0" applyFont="1" applyFill="1"/>
    <xf numFmtId="1" fontId="2" fillId="0" borderId="0" xfId="0" applyNumberFormat="1" applyFont="1"/>
    <xf numFmtId="2" fontId="2" fillId="0" borderId="0" xfId="0" applyNumberFormat="1" applyFont="1"/>
    <xf numFmtId="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2" fontId="2" fillId="0" borderId="1" xfId="0" applyNumberFormat="1" applyFont="1" applyBorder="1"/>
    <xf numFmtId="9" fontId="2" fillId="0" borderId="1" xfId="0" applyNumberFormat="1" applyFont="1" applyBorder="1"/>
    <xf numFmtId="164" fontId="2" fillId="0" borderId="1" xfId="0" applyNumberFormat="1" applyFont="1" applyBorder="1"/>
    <xf numFmtId="0" fontId="3" fillId="10" borderId="1" xfId="0" applyFont="1" applyFill="1" applyBorder="1"/>
    <xf numFmtId="0" fontId="6" fillId="0" borderId="1" xfId="0" applyFont="1" applyBorder="1"/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8" fillId="0" borderId="0" xfId="0" applyFont="1"/>
    <xf numFmtId="1" fontId="18" fillId="0" borderId="0" xfId="0" applyNumberFormat="1" applyFont="1"/>
    <xf numFmtId="9" fontId="18" fillId="0" borderId="0" xfId="0" applyNumberFormat="1" applyFont="1"/>
    <xf numFmtId="164" fontId="18" fillId="0" borderId="0" xfId="0" applyNumberFormat="1" applyFont="1"/>
    <xf numFmtId="2" fontId="18" fillId="0" borderId="0" xfId="0" applyNumberFormat="1" applyFont="1"/>
    <xf numFmtId="165" fontId="18" fillId="0" borderId="0" xfId="0" applyNumberFormat="1" applyFont="1"/>
    <xf numFmtId="3" fontId="2" fillId="0" borderId="1" xfId="0" applyNumberFormat="1" applyFont="1" applyBorder="1"/>
    <xf numFmtId="4" fontId="2" fillId="0" borderId="0" xfId="0" applyNumberFormat="1" applyFont="1"/>
    <xf numFmtId="0" fontId="19" fillId="0" borderId="0" xfId="0" applyFont="1"/>
    <xf numFmtId="4" fontId="19" fillId="0" borderId="0" xfId="0" applyNumberFormat="1" applyFont="1"/>
    <xf numFmtId="164" fontId="14" fillId="8" borderId="8" xfId="0" applyNumberFormat="1" applyFont="1" applyFill="1" applyBorder="1" applyAlignment="1">
      <alignment horizontal="center" vertical="center"/>
    </xf>
    <xf numFmtId="0" fontId="15" fillId="0" borderId="8" xfId="0" applyFont="1" applyBorder="1"/>
    <xf numFmtId="0" fontId="15" fillId="0" borderId="10" xfId="0" applyFont="1" applyBorder="1"/>
    <xf numFmtId="0" fontId="17" fillId="2" borderId="12" xfId="0" applyFont="1" applyFill="1" applyBorder="1" applyAlignment="1">
      <alignment horizontal="center" vertical="center"/>
    </xf>
    <xf numFmtId="0" fontId="15" fillId="0" borderId="11" xfId="0" applyFont="1" applyBorder="1"/>
    <xf numFmtId="0" fontId="15" fillId="0" borderId="13" xfId="0" applyFont="1" applyBorder="1"/>
    <xf numFmtId="0" fontId="15" fillId="0" borderId="14" xfId="0" applyFont="1" applyBorder="1"/>
    <xf numFmtId="0" fontId="0" fillId="0" borderId="0" xfId="0"/>
    <xf numFmtId="0" fontId="15" fillId="0" borderId="15" xfId="0" applyFont="1" applyBorder="1"/>
    <xf numFmtId="0" fontId="15" fillId="0" borderId="16" xfId="0" applyFont="1" applyBorder="1"/>
    <xf numFmtId="0" fontId="15" fillId="0" borderId="2" xfId="0" applyFont="1" applyBorder="1"/>
    <xf numFmtId="0" fontId="15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Paint Industry-style" pivot="0" count="3" xr9:uid="{BFD0C294-6E13-41EC-8B10-57AE3EB2C51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 IN CR vs YEAR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SALES IN CR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Industry'!$H$16:$H$17</c:f>
              <c:strCache>
                <c:ptCount val="2"/>
                <c:pt idx="0">
                  <c:v>FY_2023</c:v>
                </c:pt>
                <c:pt idx="1">
                  <c:v>EST_FY_2028</c:v>
                </c:pt>
              </c:strCache>
            </c:strRef>
          </c:cat>
          <c:val>
            <c:numRef>
              <c:f>'Paint Industry'!$I$16:$I$17</c:f>
              <c:numCache>
                <c:formatCode>General</c:formatCode>
                <c:ptCount val="2"/>
                <c:pt idx="0">
                  <c:v>70240</c:v>
                </c:pt>
                <c:pt idx="1">
                  <c:v>110000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8E3-4119-8100-39082F8BC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015418"/>
        <c:axId val="447158167"/>
      </c:barChart>
      <c:catAx>
        <c:axId val="17080154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47158167"/>
        <c:crosses val="autoZero"/>
        <c:auto val="1"/>
        <c:lblAlgn val="ctr"/>
        <c:lblOffset val="100"/>
        <c:noMultiLvlLbl val="1"/>
      </c:catAx>
      <c:valAx>
        <c:axId val="4471581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SALES IN CR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080154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 IN CR vs YEAR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'Paint Industry'!$M$14:$M$15</c:f>
              <c:strCache>
                <c:ptCount val="2"/>
                <c:pt idx="0">
                  <c:v>PAINT INDUSTRY</c:v>
                </c:pt>
                <c:pt idx="1">
                  <c:v>SALES IN CR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4D88-4D08-A139-D9C63C8BC593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4D88-4D08-A139-D9C63C8BC59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'Paint Industry'!$L$16:$L$17</c:f>
              <c:strCache>
                <c:ptCount val="2"/>
                <c:pt idx="0">
                  <c:v>ORGANISED</c:v>
                </c:pt>
                <c:pt idx="1">
                  <c:v>UNORGANISED</c:v>
                </c:pt>
              </c:strCache>
            </c:strRef>
          </c:cat>
          <c:val>
            <c:numRef>
              <c:f>'Paint Industry'!$M$16:$M$17</c:f>
              <c:numCache>
                <c:formatCode>0%</c:formatCode>
                <c:ptCount val="2"/>
                <c:pt idx="0">
                  <c:v>0.67</c:v>
                </c:pt>
                <c:pt idx="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88-4D08-A139-D9C63C8B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 IN CR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'Paint Industry'!$C$33</c:f>
              <c:strCache>
                <c:ptCount val="1"/>
                <c:pt idx="0">
                  <c:v>SALES IN CR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0F36-4291-9F52-76FD1C0AF104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0F36-4291-9F52-76FD1C0AF104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0F36-4291-9F52-76FD1C0AF104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0F36-4291-9F52-76FD1C0AF104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0F36-4291-9F52-76FD1C0AF104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0F36-4291-9F52-76FD1C0AF104}"/>
              </c:ext>
            </c:extLst>
          </c:dPt>
          <c:cat>
            <c:strRef>
              <c:f>'Paint Industry'!$B$34:$B$39</c:f>
              <c:strCache>
                <c:ptCount val="6"/>
                <c:pt idx="0">
                  <c:v>ASIAN PAINTS</c:v>
                </c:pt>
                <c:pt idx="1">
                  <c:v>BERGER PAINTS</c:v>
                </c:pt>
                <c:pt idx="2">
                  <c:v>KANSAI NEROLAC</c:v>
                </c:pt>
                <c:pt idx="3">
                  <c:v>AKZO NOBEL</c:v>
                </c:pt>
                <c:pt idx="4">
                  <c:v>INDIGO PAINTS</c:v>
                </c:pt>
                <c:pt idx="5">
                  <c:v>OTHERS</c:v>
                </c:pt>
              </c:strCache>
            </c:strRef>
          </c:cat>
          <c:val>
            <c:numRef>
              <c:f>'Paint Industry'!$C$34:$C$39</c:f>
              <c:numCache>
                <c:formatCode>0%</c:formatCode>
                <c:ptCount val="6"/>
                <c:pt idx="0">
                  <c:v>0.42</c:v>
                </c:pt>
                <c:pt idx="1">
                  <c:v>0.12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0.02</c:v>
                </c:pt>
                <c:pt idx="5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F36-4291-9F52-76FD1C0A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SALES_23_INCR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'Paint Industry'!$H$33</c:f>
              <c:strCache>
                <c:ptCount val="1"/>
                <c:pt idx="0">
                  <c:v>SALES_23_INCR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DCDC-4A21-A2AE-9EA8C15A8CAE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DCDC-4A21-A2AE-9EA8C15A8CAE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DCDC-4A21-A2AE-9EA8C15A8CAE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DCDC-4A21-A2AE-9EA8C15A8CAE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DCDC-4A21-A2AE-9EA8C15A8CAE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DCDC-4A21-A2AE-9EA8C15A8CAE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DCDC-4A21-A2AE-9EA8C15A8CAE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DCDC-4A21-A2AE-9EA8C15A8CA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'Paint Industry'!$G$34:$G$41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Industry'!$H$34:$H$41</c:f>
              <c:numCache>
                <c:formatCode>General</c:formatCode>
                <c:ptCount val="8"/>
                <c:pt idx="0">
                  <c:v>34253</c:v>
                </c:pt>
                <c:pt idx="1">
                  <c:v>10567</c:v>
                </c:pt>
                <c:pt idx="2">
                  <c:v>7542</c:v>
                </c:pt>
                <c:pt idx="3">
                  <c:v>3802</c:v>
                </c:pt>
                <c:pt idx="4">
                  <c:v>1073</c:v>
                </c:pt>
                <c:pt idx="5">
                  <c:v>267</c:v>
                </c:pt>
                <c:pt idx="6">
                  <c:v>485</c:v>
                </c:pt>
                <c:pt idx="7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DC-4A21-A2AE-9EA8C15A8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PROFIT_23_INCR vs LISTED SPACE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PROFIT_23_INCR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Industry'!$K$34:$K$41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Industry'!$L$34:$L$41</c:f>
              <c:numCache>
                <c:formatCode>General</c:formatCode>
                <c:ptCount val="8"/>
                <c:pt idx="0">
                  <c:v>4195</c:v>
                </c:pt>
                <c:pt idx="1">
                  <c:v>860</c:v>
                </c:pt>
                <c:pt idx="2">
                  <c:v>468</c:v>
                </c:pt>
                <c:pt idx="3">
                  <c:v>335</c:v>
                </c:pt>
                <c:pt idx="4">
                  <c:v>131</c:v>
                </c:pt>
                <c:pt idx="5">
                  <c:v>46</c:v>
                </c:pt>
                <c:pt idx="6">
                  <c:v>-36</c:v>
                </c:pt>
                <c:pt idx="7">
                  <c:v>-11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E50-43EF-8320-011C97BBD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855407"/>
        <c:axId val="1147942406"/>
      </c:barChart>
      <c:catAx>
        <c:axId val="20478554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LISTED SPACE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7942406"/>
        <c:crosses val="autoZero"/>
        <c:auto val="1"/>
        <c:lblAlgn val="ctr"/>
        <c:lblOffset val="100"/>
        <c:noMultiLvlLbl val="1"/>
      </c:catAx>
      <c:valAx>
        <c:axId val="11479424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PROFIT_23_INCR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4785540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'Paint Industry'!$P$33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7591-47EC-BCE6-83F337C7F6FD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7591-47EC-BCE6-83F337C7F6FD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7591-47EC-BCE6-83F337C7F6FD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7591-47EC-BCE6-83F337C7F6FD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7591-47EC-BCE6-83F337C7F6FD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7591-47EC-BCE6-83F337C7F6FD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7591-47EC-BCE6-83F337C7F6FD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7591-47EC-BCE6-83F337C7F6F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'Paint Industry'!$O$34:$O$41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Industry'!$P$34:$P$41</c:f>
              <c:numCache>
                <c:formatCode>0</c:formatCode>
                <c:ptCount val="8"/>
                <c:pt idx="0">
                  <c:v>282805.83772710001</c:v>
                </c:pt>
                <c:pt idx="1">
                  <c:v>64622.574572600002</c:v>
                </c:pt>
                <c:pt idx="2">
                  <c:v>26850.897049899999</c:v>
                </c:pt>
                <c:pt idx="3">
                  <c:v>11816.57</c:v>
                </c:pt>
                <c:pt idx="4">
                  <c:v>6943.138884</c:v>
                </c:pt>
                <c:pt idx="5">
                  <c:v>2117.2449628999998</c:v>
                </c:pt>
                <c:pt idx="6">
                  <c:v>1693.896</c:v>
                </c:pt>
                <c:pt idx="7">
                  <c:v>1415.1917576999999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91-47EC-BCE6-83F337C7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MARGIN (MEDIAN 8%)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MARGIN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8BB-4165-B33B-149C367D1675}"/>
              </c:ext>
            </c:extLst>
          </c:dPt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8BB-4165-B33B-149C367D1675}"/>
              </c:ext>
            </c:extLst>
          </c:dPt>
          <c:dPt>
            <c:idx val="5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8BB-4165-B33B-149C367D1675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8BB-4165-B33B-149C367D1675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8BB-4165-B33B-149C367D16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Industry'!$B$62:$B$69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Industry'!$C$62:$C$69</c:f>
              <c:numCache>
                <c:formatCode>0%</c:formatCode>
                <c:ptCount val="8"/>
                <c:pt idx="0">
                  <c:v>0.12247102443581584</c:v>
                </c:pt>
                <c:pt idx="1">
                  <c:v>8.1385445254092928E-2</c:v>
                </c:pt>
                <c:pt idx="2">
                  <c:v>6.205250596658711E-2</c:v>
                </c:pt>
                <c:pt idx="3">
                  <c:v>8.8111520252498687E-2</c:v>
                </c:pt>
                <c:pt idx="4">
                  <c:v>0.12208760484622554</c:v>
                </c:pt>
                <c:pt idx="5">
                  <c:v>0.17228464419475656</c:v>
                </c:pt>
                <c:pt idx="6">
                  <c:v>-7.422680412371134E-2</c:v>
                </c:pt>
                <c:pt idx="7">
                  <c:v>-4.2471042471042469E-2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8BB-4165-B33B-149C367D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118104"/>
        <c:axId val="510057433"/>
      </c:barChart>
      <c:catAx>
        <c:axId val="1509118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10057433"/>
        <c:crosses val="autoZero"/>
        <c:auto val="1"/>
        <c:lblAlgn val="ctr"/>
        <c:lblOffset val="100"/>
        <c:noMultiLvlLbl val="1"/>
      </c:catAx>
      <c:valAx>
        <c:axId val="5100574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MARGIN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09118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 5Y GR (MEDIAN 16%)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Industry'!$S$33:$S$41</c:f>
              <c:strCache>
                <c:ptCount val="9"/>
                <c:pt idx="0">
                  <c:v>LISTED SPACE</c:v>
                </c:pt>
                <c:pt idx="1">
                  <c:v>ASIANPAINT</c:v>
                </c:pt>
                <c:pt idx="2">
                  <c:v>BERGEPAINT</c:v>
                </c:pt>
                <c:pt idx="3">
                  <c:v>KANSAINER</c:v>
                </c:pt>
                <c:pt idx="4">
                  <c:v>AKZOINDIA</c:v>
                </c:pt>
                <c:pt idx="5">
                  <c:v>INDIGOPNTS</c:v>
                </c:pt>
                <c:pt idx="6">
                  <c:v>SIRCA</c:v>
                </c:pt>
                <c:pt idx="7">
                  <c:v>SHALPAINTS</c:v>
                </c:pt>
                <c:pt idx="8">
                  <c:v>KAMOPAINTS</c:v>
                </c:pt>
              </c:strCache>
            </c:strRef>
          </c:cat>
          <c:val>
            <c:numRef>
              <c:f>'Paint Industry'!$T$33:$T$41</c:f>
              <c:numCache>
                <c:formatCode>0%</c:formatCode>
                <c:ptCount val="9"/>
                <c:pt idx="0" formatCode="General">
                  <c:v>0</c:v>
                </c:pt>
                <c:pt idx="1">
                  <c:v>0.19335600154514365</c:v>
                </c:pt>
                <c:pt idx="2">
                  <c:v>0.15472749763957938</c:v>
                </c:pt>
                <c:pt idx="3">
                  <c:v>9.4219408733998256E-2</c:v>
                </c:pt>
                <c:pt idx="4">
                  <c:v>4.5680811007807742E-2</c:v>
                </c:pt>
                <c:pt idx="5">
                  <c:v>0.21635105221650752</c:v>
                </c:pt>
                <c:pt idx="6">
                  <c:v>0</c:v>
                </c:pt>
                <c:pt idx="7">
                  <c:v>0.11854225213774883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5D9-4406-8301-1D9E3F3D9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70080"/>
        <c:axId val="1528820098"/>
      </c:barChart>
      <c:catAx>
        <c:axId val="209247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LISTED SPACE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28820098"/>
        <c:crosses val="autoZero"/>
        <c:auto val="1"/>
        <c:lblAlgn val="ctr"/>
        <c:lblOffset val="100"/>
        <c:noMultiLvlLbl val="1"/>
      </c:catAx>
      <c:valAx>
        <c:axId val="15288200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SALES 5Y GR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9247008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CUR. RATIO (MEDIAN 1.9X)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CUR. RATIO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236-419D-A9DD-9C8286F0557E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236-419D-A9DD-9C8286F0557E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236-419D-A9DD-9C8286F0557E}"/>
              </c:ext>
            </c:extLst>
          </c:dPt>
          <c:dPt>
            <c:idx val="5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236-419D-A9DD-9C8286F0557E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236-419D-A9DD-9C8286F0557E}"/>
              </c:ext>
            </c:extLst>
          </c:dPt>
          <c:dPt>
            <c:idx val="7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236-419D-A9DD-9C8286F055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Industry'!$F$62:$F$69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Industry'!$G$62:$G$69</c:f>
              <c:numCache>
                <c:formatCode>0.0</c:formatCode>
                <c:ptCount val="8"/>
                <c:pt idx="0">
                  <c:v>1.9878776803118912</c:v>
                </c:pt>
                <c:pt idx="1">
                  <c:v>1.659990104697612</c:v>
                </c:pt>
                <c:pt idx="2">
                  <c:v>2.9748050903866563</c:v>
                </c:pt>
                <c:pt idx="3">
                  <c:v>1.425127830533236</c:v>
                </c:pt>
                <c:pt idx="4">
                  <c:v>1.896797153024911</c:v>
                </c:pt>
                <c:pt idx="5">
                  <c:v>6.6923076923076925</c:v>
                </c:pt>
                <c:pt idx="6">
                  <c:v>1.2</c:v>
                </c:pt>
                <c:pt idx="7">
                  <c:v>2.4500000000000002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1236-419D-A9DD-9C8286F05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044245"/>
        <c:axId val="1937214901"/>
      </c:barChart>
      <c:catAx>
        <c:axId val="2590442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37214901"/>
        <c:crosses val="autoZero"/>
        <c:auto val="1"/>
        <c:lblAlgn val="ctr"/>
        <c:lblOffset val="100"/>
        <c:noMultiLvlLbl val="1"/>
      </c:catAx>
      <c:valAx>
        <c:axId val="19372149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90442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TR.DAYS (Median 68 days)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TR.DAYS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6FD-47A1-AE57-036CF8C2E678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6FD-47A1-AE57-036CF8C2E6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Industry'!$J$62:$J$69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Industry'!$K$62:$K$69</c:f>
              <c:numCache>
                <c:formatCode>0</c:formatCode>
                <c:ptCount val="8"/>
                <c:pt idx="0">
                  <c:v>47.408335036347182</c:v>
                </c:pt>
                <c:pt idx="1">
                  <c:v>57.589656477713639</c:v>
                </c:pt>
                <c:pt idx="2">
                  <c:v>77.719543887562992</c:v>
                </c:pt>
                <c:pt idx="3">
                  <c:v>54.241188847974747</c:v>
                </c:pt>
                <c:pt idx="4">
                  <c:v>61.910531220876045</c:v>
                </c:pt>
                <c:pt idx="5">
                  <c:v>73.82022471910112</c:v>
                </c:pt>
                <c:pt idx="6">
                  <c:v>73.75257731958763</c:v>
                </c:pt>
                <c:pt idx="7">
                  <c:v>163.47490347490347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6FD-47A1-AE57-036CF8C2E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292850"/>
        <c:axId val="799581696"/>
      </c:barChart>
      <c:catAx>
        <c:axId val="6762928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99581696"/>
        <c:crosses val="autoZero"/>
        <c:auto val="1"/>
        <c:lblAlgn val="ctr"/>
        <c:lblOffset val="100"/>
        <c:noMultiLvlLbl val="1"/>
      </c:catAx>
      <c:valAx>
        <c:axId val="7995816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629285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DEBT2EQUITY (Median 0.05)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DEBT2EQUITY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C68-44F9-BF3D-F700BAE97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Industry'!$B$89:$B$96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Industry'!$C$89:$C$96</c:f>
              <c:numCache>
                <c:formatCode>0.00</c:formatCode>
                <c:ptCount val="8"/>
                <c:pt idx="0">
                  <c:v>6.3924540296229279E-2</c:v>
                </c:pt>
                <c:pt idx="1">
                  <c:v>0.14295373262010039</c:v>
                </c:pt>
                <c:pt idx="2">
                  <c:v>3.1324813324059689E-2</c:v>
                </c:pt>
                <c:pt idx="3">
                  <c:v>0</c:v>
                </c:pt>
                <c:pt idx="4">
                  <c:v>2.4449877750611247E-3</c:v>
                </c:pt>
                <c:pt idx="5">
                  <c:v>0</c:v>
                </c:pt>
                <c:pt idx="6">
                  <c:v>0.40063091482649843</c:v>
                </c:pt>
                <c:pt idx="7">
                  <c:v>0.11258278145695365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C68-44F9-BF3D-F700BAE9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141444"/>
        <c:axId val="411759838"/>
      </c:barChart>
      <c:catAx>
        <c:axId val="21051414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1759838"/>
        <c:crosses val="autoZero"/>
        <c:auto val="1"/>
        <c:lblAlgn val="ctr"/>
        <c:lblOffset val="100"/>
        <c:noMultiLvlLbl val="1"/>
      </c:catAx>
      <c:valAx>
        <c:axId val="4117598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051414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ICR (Median 207)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ICR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D41-4859-A758-8F457C9F13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Industry'!$F$89:$F$96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Industry'!$G$89:$G$96</c:f>
              <c:numCache>
                <c:formatCode>0</c:formatCode>
                <c:ptCount val="8"/>
                <c:pt idx="0">
                  <c:v>207.16606311433006</c:v>
                </c:pt>
                <c:pt idx="1">
                  <c:v>138.25717087521451</c:v>
                </c:pt>
                <c:pt idx="2">
                  <c:v>267.617527173913</c:v>
                </c:pt>
                <c:pt idx="3">
                  <c:v>351.66666666666669</c:v>
                </c:pt>
                <c:pt idx="4">
                  <c:v>576</c:v>
                </c:pt>
                <c:pt idx="6">
                  <c:v>26.125</c:v>
                </c:pt>
                <c:pt idx="7">
                  <c:v>69.5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D41-4859-A758-8F457C9F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065555"/>
        <c:axId val="1180941800"/>
      </c:barChart>
      <c:catAx>
        <c:axId val="14230655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0941800"/>
        <c:crosses val="autoZero"/>
        <c:auto val="1"/>
        <c:lblAlgn val="ctr"/>
        <c:lblOffset val="100"/>
        <c:noMultiLvlLbl val="1"/>
      </c:catAx>
      <c:valAx>
        <c:axId val="1180941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2306555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DEBTRATIO (Median 0.37)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DEBTRATIO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733-4684-B707-64368EF85CA1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733-4684-B707-64368EF85C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Industry'!$J$89:$J$96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Industry'!$K$89:$K$96</c:f>
              <c:numCache>
                <c:formatCode>0.00</c:formatCode>
                <c:ptCount val="8"/>
                <c:pt idx="0">
                  <c:v>0.37357217796944864</c:v>
                </c:pt>
                <c:pt idx="1">
                  <c:v>0.42266908810480419</c:v>
                </c:pt>
                <c:pt idx="2">
                  <c:v>0.25082514276725498</c:v>
                </c:pt>
                <c:pt idx="3">
                  <c:v>0.53151260504201681</c:v>
                </c:pt>
                <c:pt idx="4">
                  <c:v>0.29639175257731959</c:v>
                </c:pt>
                <c:pt idx="5">
                  <c:v>0.12307692307692308</c:v>
                </c:pt>
                <c:pt idx="6">
                  <c:v>0.44308231173380036</c:v>
                </c:pt>
                <c:pt idx="7">
                  <c:v>0.37190082644628097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733-4684-B707-64368EF85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839912"/>
        <c:axId val="1381144865"/>
      </c:barChart>
      <c:catAx>
        <c:axId val="1484839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1144865"/>
        <c:crosses val="autoZero"/>
        <c:auto val="1"/>
        <c:lblAlgn val="ctr"/>
        <c:lblOffset val="100"/>
        <c:noMultiLvlLbl val="1"/>
      </c:catAx>
      <c:valAx>
        <c:axId val="13811448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848399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ROE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Industry'!$B$116:$B$123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Industry'!$C$116:$C$123</c:f>
              <c:numCache>
                <c:formatCode>0.0%</c:formatCode>
                <c:ptCount val="8"/>
                <c:pt idx="0">
                  <c:v>0.24420898700715046</c:v>
                </c:pt>
                <c:pt idx="1">
                  <c:v>0.17727755274522536</c:v>
                </c:pt>
                <c:pt idx="2">
                  <c:v>8.7737223266861772E-2</c:v>
                </c:pt>
                <c:pt idx="3">
                  <c:v>0.25037369207772797</c:v>
                </c:pt>
                <c:pt idx="4">
                  <c:v>0.16014669926650366</c:v>
                </c:pt>
                <c:pt idx="5">
                  <c:v>0.16140350877192983</c:v>
                </c:pt>
                <c:pt idx="6">
                  <c:v>-0.11356466876971609</c:v>
                </c:pt>
                <c:pt idx="7">
                  <c:v>-7.2847682119205295E-2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18A-45D9-AB64-D5D23ACDAEAE}"/>
            </c:ext>
          </c:extLst>
        </c:ser>
        <c:ser>
          <c:idx val="1"/>
          <c:order val="1"/>
          <c:tx>
            <c:v>ROA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Industry'!$B$116:$B$123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Industry'!$D$116:$D$123</c:f>
              <c:numCache>
                <c:formatCode>0.0%</c:formatCode>
                <c:ptCount val="8"/>
                <c:pt idx="0">
                  <c:v>0.1529793038511765</c:v>
                </c:pt>
                <c:pt idx="1">
                  <c:v>0.10234781118494965</c:v>
                </c:pt>
                <c:pt idx="2">
                  <c:v>6.5730521714948642E-2</c:v>
                </c:pt>
                <c:pt idx="3">
                  <c:v>0.117296918767507</c:v>
                </c:pt>
                <c:pt idx="4">
                  <c:v>0.11254295532646048</c:v>
                </c:pt>
                <c:pt idx="5">
                  <c:v>0.14153846153846153</c:v>
                </c:pt>
                <c:pt idx="6">
                  <c:v>-6.3047285464098074E-2</c:v>
                </c:pt>
                <c:pt idx="7">
                  <c:v>-4.5454545454545456E-2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18A-45D9-AB64-D5D23ACDA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921327"/>
        <c:axId val="1691369499"/>
      </c:barChart>
      <c:catAx>
        <c:axId val="1906921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91369499"/>
        <c:crosses val="autoZero"/>
        <c:auto val="1"/>
        <c:lblAlgn val="ctr"/>
        <c:lblOffset val="100"/>
        <c:noMultiLvlLbl val="1"/>
      </c:catAx>
      <c:valAx>
        <c:axId val="16913694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069213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ROPE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ROPE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67-4CA2-A989-F8BF5F9C2D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Industry'!$I$116:$I$123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Industry'!$J$116:$J$123</c:f>
              <c:numCache>
                <c:formatCode>0.0</c:formatCode>
                <c:ptCount val="8"/>
                <c:pt idx="0">
                  <c:v>43.734361968306921</c:v>
                </c:pt>
                <c:pt idx="1">
                  <c:v>7.377541391438621</c:v>
                </c:pt>
                <c:pt idx="2">
                  <c:v>5.7892132607619988</c:v>
                </c:pt>
                <c:pt idx="3">
                  <c:v>7.4444444444444446</c:v>
                </c:pt>
                <c:pt idx="4">
                  <c:v>2.7872340425531914</c:v>
                </c:pt>
                <c:pt idx="5">
                  <c:v>0.85185185185185186</c:v>
                </c:pt>
                <c:pt idx="6">
                  <c:v>-2.5714285714285716</c:v>
                </c:pt>
                <c:pt idx="7">
                  <c:v>-0.35483870967741937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267-4CA2-A989-F8BF5F9C2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756852"/>
        <c:axId val="2141756951"/>
      </c:barChart>
      <c:catAx>
        <c:axId val="8337568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1756951"/>
        <c:crosses val="autoZero"/>
        <c:auto val="1"/>
        <c:lblAlgn val="ctr"/>
        <c:lblOffset val="100"/>
        <c:noMultiLvlLbl val="1"/>
      </c:catAx>
      <c:valAx>
        <c:axId val="21417569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ROPE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37568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10Y CAGR and 20Y CAGR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10Y CAGR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Industry'!$B$145:$B$152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Industry'!$F$145:$F$152</c:f>
              <c:numCache>
                <c:formatCode>0.0%</c:formatCode>
                <c:ptCount val="8"/>
                <c:pt idx="0">
                  <c:v>0.19661920372728225</c:v>
                </c:pt>
                <c:pt idx="1">
                  <c:v>0.2334113023058566</c:v>
                </c:pt>
                <c:pt idx="2">
                  <c:v>0.15601421237411683</c:v>
                </c:pt>
                <c:pt idx="3">
                  <c:v>0.11737432524513047</c:v>
                </c:pt>
                <c:pt idx="6">
                  <c:v>0.12230321573880643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993-4825-B701-F7A984EB59B9}"/>
            </c:ext>
          </c:extLst>
        </c:ser>
        <c:ser>
          <c:idx val="1"/>
          <c:order val="1"/>
          <c:tx>
            <c:v>20Y CAGR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Industry'!$B$145:$B$152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Industry'!$G$145:$G$152</c:f>
              <c:numCache>
                <c:formatCode>0.0%</c:formatCode>
                <c:ptCount val="8"/>
                <c:pt idx="0">
                  <c:v>0.25001102157514321</c:v>
                </c:pt>
                <c:pt idx="1">
                  <c:v>0.24429829349529775</c:v>
                </c:pt>
                <c:pt idx="2">
                  <c:v>0.19777209628924908</c:v>
                </c:pt>
                <c:pt idx="3">
                  <c:v>0.16631173699753043</c:v>
                </c:pt>
                <c:pt idx="6">
                  <c:v>0.16664830640190398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993-4825-B701-F7A984EB5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735245"/>
        <c:axId val="1809936779"/>
      </c:barChart>
      <c:catAx>
        <c:axId val="18947352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09936779"/>
        <c:crosses val="autoZero"/>
        <c:auto val="1"/>
        <c:lblAlgn val="ctr"/>
        <c:lblOffset val="100"/>
        <c:noMultiLvlLbl val="1"/>
      </c:catAx>
      <c:valAx>
        <c:axId val="18099367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947352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20 Y X TIMES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 Y X TIMES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Industry'!$B$145:$B$152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Industry'!$H$145:$H$152</c:f>
              <c:numCache>
                <c:formatCode>0</c:formatCode>
                <c:ptCount val="8"/>
                <c:pt idx="0">
                  <c:v>86.751470588235293</c:v>
                </c:pt>
                <c:pt idx="1">
                  <c:v>79.157142857142858</c:v>
                </c:pt>
                <c:pt idx="2">
                  <c:v>36.93888888888889</c:v>
                </c:pt>
                <c:pt idx="3">
                  <c:v>21.691666666666666</c:v>
                </c:pt>
                <c:pt idx="6">
                  <c:v>21.817204301075268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E31-48AD-A602-4B15AE18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206441"/>
        <c:axId val="1342090610"/>
      </c:barChart>
      <c:catAx>
        <c:axId val="4672064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2090610"/>
        <c:crosses val="autoZero"/>
        <c:auto val="1"/>
        <c:lblAlgn val="ctr"/>
        <c:lblOffset val="100"/>
        <c:noMultiLvlLbl val="1"/>
      </c:catAx>
      <c:valAx>
        <c:axId val="13420906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20 Y X TIMES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672064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DIVIDEND % and 20 Y DIV YIELD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DIVIDEND %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Industry'!$B$145:$B$152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Industry'!$I$145:$I$152</c:f>
              <c:numCache>
                <c:formatCode>0%</c:formatCode>
                <c:ptCount val="8"/>
                <c:pt idx="0">
                  <c:v>0.65116279069767447</c:v>
                </c:pt>
                <c:pt idx="1">
                  <c:v>0.36117381489841993</c:v>
                </c:pt>
                <c:pt idx="2">
                  <c:v>0.25597269624573382</c:v>
                </c:pt>
                <c:pt idx="3">
                  <c:v>0.8783783783783784</c:v>
                </c:pt>
                <c:pt idx="4">
                  <c:v>0.12621709340064913</c:v>
                </c:pt>
                <c:pt idx="5">
                  <c:v>0.178359096313912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45C-4C8A-AFD3-941BDD8AC85D}"/>
            </c:ext>
          </c:extLst>
        </c:ser>
        <c:ser>
          <c:idx val="1"/>
          <c:order val="1"/>
          <c:tx>
            <c:v>20 Y DIV YIELD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'Paint Industry'!$B$145:$B$152</c:f>
              <c:strCache>
                <c:ptCount val="8"/>
                <c:pt idx="0">
                  <c:v>ASIANPAINT</c:v>
                </c:pt>
                <c:pt idx="1">
                  <c:v>BERGEPAINT</c:v>
                </c:pt>
                <c:pt idx="2">
                  <c:v>KANSAINER</c:v>
                </c:pt>
                <c:pt idx="3">
                  <c:v>AKZOINDIA</c:v>
                </c:pt>
                <c:pt idx="4">
                  <c:v>INDIGOPNTS</c:v>
                </c:pt>
                <c:pt idx="5">
                  <c:v>SIRCA</c:v>
                </c:pt>
                <c:pt idx="6">
                  <c:v>SHALPAINTS</c:v>
                </c:pt>
                <c:pt idx="7">
                  <c:v>KAMOPAINTS</c:v>
                </c:pt>
              </c:strCache>
            </c:strRef>
          </c:cat>
          <c:val>
            <c:numRef>
              <c:f>'Paint Industry'!$J$145:$J$152</c:f>
              <c:numCache>
                <c:formatCode>0%</c:formatCode>
                <c:ptCount val="8"/>
                <c:pt idx="0">
                  <c:v>0.82352941176470584</c:v>
                </c:pt>
                <c:pt idx="1">
                  <c:v>0.45714285714285718</c:v>
                </c:pt>
                <c:pt idx="2">
                  <c:v>0.25</c:v>
                </c:pt>
                <c:pt idx="3">
                  <c:v>0.54166666666666663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45C-4C8A-AFD3-941BDD8AC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153890"/>
        <c:axId val="757561662"/>
      </c:barChart>
      <c:catAx>
        <c:axId val="20391538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57561662"/>
        <c:crosses val="autoZero"/>
        <c:auto val="1"/>
        <c:lblAlgn val="ctr"/>
        <c:lblOffset val="100"/>
        <c:noMultiLvlLbl val="1"/>
      </c:catAx>
      <c:valAx>
        <c:axId val="7575616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391538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52</xdr:row>
      <xdr:rowOff>152400</xdr:rowOff>
    </xdr:from>
    <xdr:to>
      <xdr:col>7</xdr:col>
      <xdr:colOff>739140</xdr:colOff>
      <xdr:row>84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6BDD59-C5B9-7DB0-555F-E06F0F994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9959340"/>
          <a:ext cx="6278880" cy="6278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17</xdr:row>
      <xdr:rowOff>19050</xdr:rowOff>
    </xdr:from>
    <xdr:ext cx="3867150" cy="21907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CD247B14-661D-4D24-9F72-933BF6758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381000</xdr:colOff>
      <xdr:row>17</xdr:row>
      <xdr:rowOff>19050</xdr:rowOff>
    </xdr:from>
    <xdr:ext cx="3648075" cy="21240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856AB306-C0DB-4151-A2FB-B67C10C4E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304800</xdr:colOff>
      <xdr:row>43</xdr:row>
      <xdr:rowOff>28575</xdr:rowOff>
    </xdr:from>
    <xdr:ext cx="3771900" cy="25812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E67DB0CB-E553-4B9D-97A3-45910B3C2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238125</xdr:colOff>
      <xdr:row>43</xdr:row>
      <xdr:rowOff>28575</xdr:rowOff>
    </xdr:from>
    <xdr:ext cx="4200525" cy="25812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2848C5C6-8C6E-43CC-965D-02A1CA809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8</xdr:col>
      <xdr:colOff>600075</xdr:colOff>
      <xdr:row>43</xdr:row>
      <xdr:rowOff>28575</xdr:rowOff>
    </xdr:from>
    <xdr:ext cx="4200525" cy="258127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C16CFAF-134A-487C-ACF4-31AD857CD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13</xdr:col>
      <xdr:colOff>0</xdr:colOff>
      <xdr:row>43</xdr:row>
      <xdr:rowOff>28575</xdr:rowOff>
    </xdr:from>
    <xdr:ext cx="4133850" cy="258127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7F0008BF-9B0D-46C0-BFFA-9CE6500D5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104775</xdr:colOff>
      <xdr:row>70</xdr:row>
      <xdr:rowOff>171450</xdr:rowOff>
    </xdr:from>
    <xdr:ext cx="3971925" cy="245745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52764D71-B4A1-46B7-99A9-40C5FB996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17</xdr:col>
      <xdr:colOff>295275</xdr:colOff>
      <xdr:row>43</xdr:row>
      <xdr:rowOff>28575</xdr:rowOff>
    </xdr:from>
    <xdr:ext cx="4200525" cy="258127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88793F93-D4A3-409C-B182-AE711B9CB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4</xdr:col>
      <xdr:colOff>238125</xdr:colOff>
      <xdr:row>70</xdr:row>
      <xdr:rowOff>171450</xdr:rowOff>
    </xdr:from>
    <xdr:ext cx="3971925" cy="245745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EC16E229-3D31-4F2A-A9D2-821A0A9D1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8</xdr:col>
      <xdr:colOff>371475</xdr:colOff>
      <xdr:row>70</xdr:row>
      <xdr:rowOff>171450</xdr:rowOff>
    </xdr:from>
    <xdr:ext cx="4029075" cy="245745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4EF76C3B-AAF8-4EE2-8106-79443F225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0</xdr:col>
      <xdr:colOff>0</xdr:colOff>
      <xdr:row>97</xdr:row>
      <xdr:rowOff>190500</xdr:rowOff>
    </xdr:from>
    <xdr:ext cx="4076700" cy="252412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81AD528B-1338-4171-9D00-1A7ED6EEA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4</xdr:col>
      <xdr:colOff>238125</xdr:colOff>
      <xdr:row>97</xdr:row>
      <xdr:rowOff>190500</xdr:rowOff>
    </xdr:from>
    <xdr:ext cx="4029075" cy="252412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6D828A66-3406-4A12-913E-195504113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8</xdr:col>
      <xdr:colOff>476250</xdr:colOff>
      <xdr:row>97</xdr:row>
      <xdr:rowOff>190500</xdr:rowOff>
    </xdr:from>
    <xdr:ext cx="4029075" cy="252412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E63558EF-6144-485B-A28C-5E5471FDF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</xdr:col>
      <xdr:colOff>19050</xdr:colOff>
      <xdr:row>125</xdr:row>
      <xdr:rowOff>85725</xdr:rowOff>
    </xdr:from>
    <xdr:ext cx="5734050" cy="2990850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DFC850D3-9A48-4D23-ADDB-3F1A4EF9E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6</xdr:col>
      <xdr:colOff>952500</xdr:colOff>
      <xdr:row>125</xdr:row>
      <xdr:rowOff>76200</xdr:rowOff>
    </xdr:from>
    <xdr:ext cx="4838700" cy="2990850"/>
    <xdr:graphicFrame macro="">
      <xdr:nvGraphicFramePr>
        <xdr:cNvPr id="16" name="Chart 15" title="Chart">
          <a:extLst>
            <a:ext uri="{FF2B5EF4-FFF2-40B4-BE49-F238E27FC236}">
              <a16:creationId xmlns:a16="http://schemas.microsoft.com/office/drawing/2014/main" id="{CD81B347-F836-457B-85B3-7459C8855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1</xdr:col>
      <xdr:colOff>28575</xdr:colOff>
      <xdr:row>153</xdr:row>
      <xdr:rowOff>161925</xdr:rowOff>
    </xdr:from>
    <xdr:ext cx="4791075" cy="2943225"/>
    <xdr:graphicFrame macro="">
      <xdr:nvGraphicFramePr>
        <xdr:cNvPr id="17" name="Chart 16" title="Chart">
          <a:extLst>
            <a:ext uri="{FF2B5EF4-FFF2-40B4-BE49-F238E27FC236}">
              <a16:creationId xmlns:a16="http://schemas.microsoft.com/office/drawing/2014/main" id="{C24867D7-BE18-4093-BE0D-8570AEB53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6</xdr:col>
      <xdr:colOff>19050</xdr:colOff>
      <xdr:row>153</xdr:row>
      <xdr:rowOff>161925</xdr:rowOff>
    </xdr:from>
    <xdr:ext cx="4791075" cy="2943225"/>
    <xdr:graphicFrame macro="">
      <xdr:nvGraphicFramePr>
        <xdr:cNvPr id="18" name="Chart 17" title="Chart">
          <a:extLst>
            <a:ext uri="{FF2B5EF4-FFF2-40B4-BE49-F238E27FC236}">
              <a16:creationId xmlns:a16="http://schemas.microsoft.com/office/drawing/2014/main" id="{ED367555-75AC-4B64-B7F8-8DC3E75DD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11</xdr:col>
      <xdr:colOff>9525</xdr:colOff>
      <xdr:row>153</xdr:row>
      <xdr:rowOff>161925</xdr:rowOff>
    </xdr:from>
    <xdr:ext cx="4791075" cy="2943225"/>
    <xdr:graphicFrame macro="">
      <xdr:nvGraphicFramePr>
        <xdr:cNvPr id="19" name="Chart 18" title="Chart">
          <a:extLst>
            <a:ext uri="{FF2B5EF4-FFF2-40B4-BE49-F238E27FC236}">
              <a16:creationId xmlns:a16="http://schemas.microsoft.com/office/drawing/2014/main" id="{77629053-6068-41DF-BA96-96A028E66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0</xdr:col>
      <xdr:colOff>228600</xdr:colOff>
      <xdr:row>17</xdr:row>
      <xdr:rowOff>19050</xdr:rowOff>
    </xdr:from>
    <xdr:ext cx="5153025" cy="2314575"/>
    <xdr:pic>
      <xdr:nvPicPr>
        <xdr:cNvPr id="20" name="image2.png" title="Image">
          <a:extLst>
            <a:ext uri="{FF2B5EF4-FFF2-40B4-BE49-F238E27FC236}">
              <a16:creationId xmlns:a16="http://schemas.microsoft.com/office/drawing/2014/main" id="{1F773EDA-9246-4B2B-8BF9-935BA8D86C76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28600" y="3173730"/>
          <a:ext cx="5153025" cy="23145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A5ED68-810F-4031-8B76-3BC9E8632958}" name="Table_1" displayName="Table_1" ref="T34:T41" headerRowCount="0">
  <tableColumns count="1">
    <tableColumn id="1" xr3:uid="{44C147EA-32FA-4586-AFF5-E23238B1051C}" name="Column1"/>
  </tableColumns>
  <tableStyleInfo name="Paint Industry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9DBD5-27E3-4BF5-A0A0-43ADD43393E4}">
  <sheetPr>
    <outlinePr summaryBelow="0" summaryRight="0"/>
  </sheetPr>
  <dimension ref="B1:AC94"/>
  <sheetViews>
    <sheetView showGridLines="0" tabSelected="1" workbookViewId="0"/>
  </sheetViews>
  <sheetFormatPr defaultColWidth="12.6640625" defaultRowHeight="15.75" customHeight="1" x14ac:dyDescent="0.3"/>
  <cols>
    <col min="1" max="1" width="7.21875" customWidth="1"/>
  </cols>
  <sheetData>
    <row r="1" spans="2:22" ht="14.4" x14ac:dyDescent="0.3">
      <c r="R1" s="1" t="s">
        <v>0</v>
      </c>
      <c r="T1" s="2"/>
      <c r="U1" s="3"/>
      <c r="V1" s="3"/>
    </row>
    <row r="2" spans="2:22" ht="14.4" x14ac:dyDescent="0.3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5" t="s">
        <v>18</v>
      </c>
      <c r="T2" s="6" t="s">
        <v>19</v>
      </c>
      <c r="U2" s="6" t="s">
        <v>20</v>
      </c>
      <c r="V2" s="6" t="s">
        <v>21</v>
      </c>
    </row>
    <row r="3" spans="2:22" ht="15.75" customHeight="1" x14ac:dyDescent="0.3">
      <c r="B3" s="7" t="s">
        <v>22</v>
      </c>
      <c r="C3" s="8">
        <f ca="1">IFERROR(__xludf.DUMMYFUNCTION("GOOGLEFINANCE(""nse:""&amp;B3,""price"")"),2949)</f>
        <v>2949</v>
      </c>
      <c r="D3" s="8">
        <f ca="1">IFERROR(__xludf.DUMMYFUNCTION("GOOGLEFINANCE(""nse:""&amp;B3,""MARKETCAP"")/10000000"),282423.7145154)</f>
        <v>282423.7145154</v>
      </c>
      <c r="E3" s="9">
        <f t="shared" ref="E3:G3" si="0">D36</f>
        <v>35170</v>
      </c>
      <c r="F3" s="9">
        <f t="shared" si="0"/>
        <v>5169</v>
      </c>
      <c r="G3" s="10">
        <f t="shared" si="0"/>
        <v>52.980000000000004</v>
      </c>
      <c r="H3" s="11">
        <v>1</v>
      </c>
      <c r="I3" s="11">
        <v>96</v>
      </c>
      <c r="J3" s="11">
        <v>18632</v>
      </c>
      <c r="K3" s="11">
        <v>1106</v>
      </c>
      <c r="L3" s="11">
        <v>1367</v>
      </c>
      <c r="M3" s="11">
        <v>17537</v>
      </c>
      <c r="N3" s="11">
        <v>8500</v>
      </c>
      <c r="O3" s="11">
        <v>29924</v>
      </c>
      <c r="P3" s="11">
        <v>10499</v>
      </c>
      <c r="Q3" s="9">
        <v>4889</v>
      </c>
      <c r="R3" s="12">
        <v>1123</v>
      </c>
      <c r="S3" s="13">
        <v>6103</v>
      </c>
      <c r="T3" s="14">
        <v>-2517</v>
      </c>
      <c r="U3" s="14">
        <v>-2982</v>
      </c>
      <c r="V3" s="14">
        <f t="shared" ref="V3:V4" si="1">SUM(S3:U3)</f>
        <v>604</v>
      </c>
    </row>
    <row r="4" spans="2:22" ht="15.75" customHeight="1" x14ac:dyDescent="0.3">
      <c r="B4" s="7" t="s">
        <v>23</v>
      </c>
      <c r="C4" s="15">
        <v>2846</v>
      </c>
      <c r="D4" s="16">
        <f ca="1">C4*D3/C3</f>
        <v>272559.47491041996</v>
      </c>
      <c r="E4" s="16">
        <f t="shared" ref="E4:G4" si="2">D35</f>
        <v>35382</v>
      </c>
      <c r="F4" s="16">
        <f t="shared" si="2"/>
        <v>5557</v>
      </c>
      <c r="G4" s="17">
        <f t="shared" si="2"/>
        <v>56.95</v>
      </c>
      <c r="H4" s="7">
        <v>1</v>
      </c>
      <c r="I4" s="7">
        <v>96</v>
      </c>
      <c r="J4" s="7">
        <v>15896</v>
      </c>
      <c r="K4" s="11">
        <f>76+896</f>
        <v>972</v>
      </c>
      <c r="L4" s="7">
        <v>960</v>
      </c>
      <c r="M4" s="7">
        <v>16535</v>
      </c>
      <c r="N4" s="7">
        <v>7896</v>
      </c>
      <c r="O4" s="7">
        <v>25798</v>
      </c>
      <c r="P4" s="11">
        <f>1456+N4</f>
        <v>9352</v>
      </c>
      <c r="Q4" s="16">
        <v>4637</v>
      </c>
      <c r="R4" s="12">
        <v>429</v>
      </c>
      <c r="S4" s="18">
        <v>4193</v>
      </c>
      <c r="T4" s="19">
        <v>-1274</v>
      </c>
      <c r="U4" s="19">
        <v>-2140</v>
      </c>
      <c r="V4" s="19">
        <f t="shared" si="1"/>
        <v>779</v>
      </c>
    </row>
    <row r="5" spans="2:22" ht="15.75" customHeight="1" x14ac:dyDescent="0.3">
      <c r="B5" s="20" t="s">
        <v>24</v>
      </c>
      <c r="C5" s="21">
        <f t="shared" ref="C5:V5" ca="1" si="3">(C3/C4)-1</f>
        <v>3.6191145467322494E-2</v>
      </c>
      <c r="D5" s="21">
        <f t="shared" ca="1" si="3"/>
        <v>3.6191145467322494E-2</v>
      </c>
      <c r="E5" s="21">
        <f t="shared" si="3"/>
        <v>-5.9917472160986307E-3</v>
      </c>
      <c r="F5" s="21">
        <f t="shared" si="3"/>
        <v>-6.9821846319956804E-2</v>
      </c>
      <c r="G5" s="21">
        <f t="shared" si="3"/>
        <v>-6.9710272168568843E-2</v>
      </c>
      <c r="H5" s="21">
        <f t="shared" si="3"/>
        <v>0</v>
      </c>
      <c r="I5" s="21">
        <f t="shared" si="3"/>
        <v>0</v>
      </c>
      <c r="J5" s="21">
        <f t="shared" si="3"/>
        <v>0.17211877201811787</v>
      </c>
      <c r="K5" s="21">
        <f t="shared" si="3"/>
        <v>0.13786008230452684</v>
      </c>
      <c r="L5" s="21">
        <f t="shared" si="3"/>
        <v>0.42395833333333344</v>
      </c>
      <c r="M5" s="21">
        <f t="shared" si="3"/>
        <v>6.0598729966737208E-2</v>
      </c>
      <c r="N5" s="21">
        <f t="shared" si="3"/>
        <v>7.6494427558257305E-2</v>
      </c>
      <c r="O5" s="21">
        <f t="shared" si="3"/>
        <v>0.15993487867276523</v>
      </c>
      <c r="P5" s="21">
        <f t="shared" si="3"/>
        <v>0.12264756201881943</v>
      </c>
      <c r="Q5" s="21">
        <f t="shared" si="3"/>
        <v>5.4345481992667644E-2</v>
      </c>
      <c r="R5" s="21">
        <f t="shared" si="3"/>
        <v>1.6177156177156178</v>
      </c>
      <c r="S5" s="22">
        <f t="shared" si="3"/>
        <v>0.45552110660624856</v>
      </c>
      <c r="T5" s="22">
        <f t="shared" si="3"/>
        <v>0.97566718995290413</v>
      </c>
      <c r="U5" s="23">
        <f t="shared" si="3"/>
        <v>0.3934579439252337</v>
      </c>
      <c r="V5" s="23">
        <f t="shared" si="3"/>
        <v>-0.22464698331193833</v>
      </c>
    </row>
    <row r="6" spans="2:22" ht="15.75" customHeight="1" x14ac:dyDescent="0.3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2:22" ht="15.75" customHeight="1" x14ac:dyDescent="0.3">
      <c r="B7" s="25" t="s">
        <v>24</v>
      </c>
      <c r="D7" s="25" t="s">
        <v>25</v>
      </c>
      <c r="E7" s="24"/>
      <c r="F7" s="24"/>
      <c r="G7" s="25" t="s">
        <v>26</v>
      </c>
      <c r="H7" s="24"/>
      <c r="I7" s="24"/>
      <c r="J7" s="25" t="s">
        <v>27</v>
      </c>
      <c r="K7" s="24"/>
      <c r="L7" s="24"/>
      <c r="M7" s="25" t="s">
        <v>28</v>
      </c>
      <c r="N7" s="24"/>
      <c r="O7" s="24"/>
      <c r="P7" s="24"/>
      <c r="Q7" s="24"/>
      <c r="R7" s="26" t="s">
        <v>0</v>
      </c>
      <c r="S7" s="27"/>
      <c r="T7" s="27"/>
    </row>
    <row r="8" spans="2:22" ht="14.4" x14ac:dyDescent="0.3">
      <c r="B8" s="25" t="s">
        <v>29</v>
      </c>
      <c r="C8" s="25" t="s">
        <v>30</v>
      </c>
      <c r="D8" s="25" t="s">
        <v>31</v>
      </c>
      <c r="E8" s="25" t="s">
        <v>32</v>
      </c>
      <c r="F8" s="25" t="s">
        <v>33</v>
      </c>
      <c r="G8" s="25" t="s">
        <v>34</v>
      </c>
      <c r="H8" s="25" t="s">
        <v>35</v>
      </c>
      <c r="I8" s="25" t="s">
        <v>36</v>
      </c>
      <c r="J8" s="25" t="s">
        <v>37</v>
      </c>
      <c r="K8" s="25" t="s">
        <v>38</v>
      </c>
      <c r="L8" s="25" t="s">
        <v>39</v>
      </c>
      <c r="M8" s="25" t="s">
        <v>40</v>
      </c>
      <c r="N8" s="25" t="s">
        <v>41</v>
      </c>
      <c r="O8" s="25" t="s">
        <v>42</v>
      </c>
      <c r="P8" s="25" t="s">
        <v>43</v>
      </c>
      <c r="Q8" s="25" t="s">
        <v>44</v>
      </c>
      <c r="R8" s="28" t="s">
        <v>45</v>
      </c>
      <c r="S8" s="29" t="s">
        <v>46</v>
      </c>
      <c r="T8" s="30" t="s">
        <v>47</v>
      </c>
      <c r="U8" s="31"/>
    </row>
    <row r="9" spans="2:22" ht="15.75" customHeight="1" x14ac:dyDescent="0.3">
      <c r="B9" s="32">
        <f>M46</f>
        <v>-0.02</v>
      </c>
      <c r="C9" s="32">
        <v>0.09</v>
      </c>
      <c r="D9" s="33">
        <f>M48</f>
        <v>0.13200000000000001</v>
      </c>
      <c r="E9" s="34">
        <f>M3/N3</f>
        <v>2.0631764705882354</v>
      </c>
      <c r="F9" s="35">
        <f>(Q3/E3)*365</f>
        <v>50.738839920386695</v>
      </c>
      <c r="G9" s="32">
        <f>K3/(I3+J3)</f>
        <v>5.905595899188381E-2</v>
      </c>
      <c r="H9" s="32">
        <f>P3/O3</f>
        <v>0.35085550060152387</v>
      </c>
      <c r="I9" s="36">
        <f>Q46</f>
        <v>26.654545454545456</v>
      </c>
      <c r="J9" s="32">
        <f>F3/J3</f>
        <v>0.27742593387720049</v>
      </c>
      <c r="K9" s="34">
        <f>F3/I3</f>
        <v>53.84375</v>
      </c>
      <c r="L9" s="32">
        <f>F3/O3</f>
        <v>0.17273760192487636</v>
      </c>
      <c r="M9" s="34">
        <f ca="1">C3/G3</f>
        <v>55.66251415628539</v>
      </c>
      <c r="N9" s="33">
        <f ca="1">G3/C3</f>
        <v>1.7965412004069179E-2</v>
      </c>
      <c r="O9" s="36">
        <f>(J3)/(I3/H3)</f>
        <v>194.08333333333334</v>
      </c>
      <c r="P9" s="37">
        <v>12.6</v>
      </c>
      <c r="Q9" s="34">
        <f>L55</f>
        <v>0</v>
      </c>
      <c r="R9" s="38">
        <f>S3/N3</f>
        <v>0.71799999999999997</v>
      </c>
      <c r="S9" s="39">
        <f>S3/K3</f>
        <v>5.5180831826401446</v>
      </c>
      <c r="T9" s="40">
        <f>S3-R3</f>
        <v>4980</v>
      </c>
    </row>
    <row r="11" spans="2:22" ht="13.8" x14ac:dyDescent="0.3">
      <c r="B11" s="4" t="s">
        <v>48</v>
      </c>
      <c r="C11" s="4" t="s">
        <v>49</v>
      </c>
      <c r="D11" s="4" t="s">
        <v>50</v>
      </c>
      <c r="E11" s="4" t="s">
        <v>51</v>
      </c>
      <c r="F11" s="4" t="s">
        <v>52</v>
      </c>
      <c r="G11" s="4" t="s">
        <v>53</v>
      </c>
      <c r="H11" s="4" t="s">
        <v>54</v>
      </c>
      <c r="I11" s="4" t="s">
        <v>55</v>
      </c>
      <c r="J11" s="4" t="s">
        <v>56</v>
      </c>
      <c r="K11" s="4" t="s">
        <v>57</v>
      </c>
      <c r="L11" s="4" t="s">
        <v>58</v>
      </c>
      <c r="M11" s="4" t="s">
        <v>59</v>
      </c>
    </row>
    <row r="12" spans="2:22" ht="15.75" customHeight="1" x14ac:dyDescent="0.3">
      <c r="B12" s="41"/>
      <c r="C12" s="42" t="s">
        <v>60</v>
      </c>
      <c r="D12" s="43">
        <v>1197</v>
      </c>
      <c r="E12" s="43">
        <v>106</v>
      </c>
      <c r="F12" s="44">
        <v>16.57</v>
      </c>
      <c r="G12" s="45">
        <v>64.2</v>
      </c>
      <c r="H12" s="43">
        <v>198</v>
      </c>
      <c r="I12" s="43">
        <v>136</v>
      </c>
      <c r="J12" s="46">
        <f t="shared" ref="J12:J36" si="4">H12/F12</f>
        <v>11.949305974652987</v>
      </c>
      <c r="K12" s="46">
        <f t="shared" ref="K12:K36" si="5">I12/F12</f>
        <v>8.2076041038020513</v>
      </c>
      <c r="L12" s="47">
        <f t="shared" ref="L12:L30" si="6">F12*50%</f>
        <v>8.2850000000000001</v>
      </c>
      <c r="M12" s="48">
        <f t="shared" ref="M12:M36" si="7">E12/D12</f>
        <v>8.8554720133667497E-2</v>
      </c>
    </row>
    <row r="13" spans="2:22" ht="15.75" customHeight="1" x14ac:dyDescent="0.3">
      <c r="B13" s="41"/>
      <c r="C13" s="42" t="s">
        <v>61</v>
      </c>
      <c r="D13" s="43">
        <v>1331</v>
      </c>
      <c r="E13" s="43">
        <v>114</v>
      </c>
      <c r="F13" s="44">
        <v>22.12</v>
      </c>
      <c r="G13" s="45">
        <v>64.2</v>
      </c>
      <c r="H13" s="43">
        <v>399</v>
      </c>
      <c r="I13" s="43">
        <v>250</v>
      </c>
      <c r="J13" s="46">
        <f t="shared" si="4"/>
        <v>18.037974683544302</v>
      </c>
      <c r="K13" s="46">
        <f t="shared" si="5"/>
        <v>11.301989150090415</v>
      </c>
      <c r="L13" s="47">
        <f t="shared" si="6"/>
        <v>11.06</v>
      </c>
      <c r="M13" s="48">
        <f t="shared" si="7"/>
        <v>8.5649887302779865E-2</v>
      </c>
    </row>
    <row r="14" spans="2:22" ht="15.75" customHeight="1" x14ac:dyDescent="0.3">
      <c r="B14" s="41" t="s">
        <v>62</v>
      </c>
      <c r="C14" s="42" t="s">
        <v>63</v>
      </c>
      <c r="D14" s="43">
        <v>1588</v>
      </c>
      <c r="E14" s="43">
        <v>142</v>
      </c>
      <c r="F14" s="49">
        <v>15.41</v>
      </c>
      <c r="G14" s="45">
        <v>64.2</v>
      </c>
      <c r="H14" s="43">
        <v>472</v>
      </c>
      <c r="I14" s="43">
        <v>257</v>
      </c>
      <c r="J14" s="46">
        <f t="shared" si="4"/>
        <v>30.629461388708631</v>
      </c>
      <c r="K14" s="46">
        <f t="shared" si="5"/>
        <v>16.677482154445165</v>
      </c>
      <c r="L14" s="47">
        <f t="shared" si="6"/>
        <v>7.7050000000000001</v>
      </c>
      <c r="M14" s="48">
        <f t="shared" si="7"/>
        <v>8.9420654911838787E-2</v>
      </c>
    </row>
    <row r="15" spans="2:22" ht="15.75" customHeight="1" x14ac:dyDescent="0.3">
      <c r="B15" s="41"/>
      <c r="C15" s="42" t="s">
        <v>64</v>
      </c>
      <c r="D15" s="43">
        <v>1764</v>
      </c>
      <c r="E15" s="43">
        <v>147</v>
      </c>
      <c r="F15" s="44">
        <v>18.5</v>
      </c>
      <c r="G15" s="45">
        <v>95.9</v>
      </c>
      <c r="H15" s="43">
        <v>352</v>
      </c>
      <c r="I15" s="43">
        <v>245</v>
      </c>
      <c r="J15" s="46">
        <f t="shared" si="4"/>
        <v>19.027027027027028</v>
      </c>
      <c r="K15" s="46">
        <f t="shared" si="5"/>
        <v>13.243243243243244</v>
      </c>
      <c r="L15" s="47">
        <f t="shared" si="6"/>
        <v>9.25</v>
      </c>
      <c r="M15" s="48">
        <f t="shared" si="7"/>
        <v>8.3333333333333329E-2</v>
      </c>
    </row>
    <row r="16" spans="2:22" ht="15.75" customHeight="1" x14ac:dyDescent="0.3">
      <c r="B16" s="41"/>
      <c r="C16" s="42" t="s">
        <v>65</v>
      </c>
      <c r="D16" s="43">
        <v>1973</v>
      </c>
      <c r="E16" s="43">
        <v>173</v>
      </c>
      <c r="F16" s="44">
        <v>19.47</v>
      </c>
      <c r="G16" s="45">
        <v>95.9</v>
      </c>
      <c r="H16" s="43">
        <v>584</v>
      </c>
      <c r="I16" s="43">
        <v>303</v>
      </c>
      <c r="J16" s="46">
        <f t="shared" si="4"/>
        <v>29.994863893168979</v>
      </c>
      <c r="K16" s="46">
        <f t="shared" si="5"/>
        <v>15.562403697996919</v>
      </c>
      <c r="L16" s="50">
        <f t="shared" si="6"/>
        <v>9.7349999999999994</v>
      </c>
      <c r="M16" s="48">
        <f t="shared" si="7"/>
        <v>8.7683730359858089E-2</v>
      </c>
    </row>
    <row r="17" spans="2:13" ht="15.75" customHeight="1" x14ac:dyDescent="0.3">
      <c r="B17" s="41"/>
      <c r="C17" s="42" t="s">
        <v>66</v>
      </c>
      <c r="D17" s="43">
        <v>2355</v>
      </c>
      <c r="E17" s="43">
        <v>186</v>
      </c>
      <c r="F17" s="44">
        <v>19.5</v>
      </c>
      <c r="G17" s="45">
        <v>95.9</v>
      </c>
      <c r="H17" s="43">
        <v>790</v>
      </c>
      <c r="I17" s="43">
        <v>501</v>
      </c>
      <c r="J17" s="46">
        <f t="shared" si="4"/>
        <v>40.512820512820511</v>
      </c>
      <c r="K17" s="46">
        <f t="shared" si="5"/>
        <v>25.692307692307693</v>
      </c>
      <c r="L17" s="47">
        <f t="shared" si="6"/>
        <v>9.75</v>
      </c>
      <c r="M17" s="48">
        <f t="shared" si="7"/>
        <v>7.8980891719745219E-2</v>
      </c>
    </row>
    <row r="18" spans="2:13" ht="15.75" customHeight="1" x14ac:dyDescent="0.3">
      <c r="B18" s="41"/>
      <c r="C18" s="42" t="s">
        <v>67</v>
      </c>
      <c r="D18" s="43">
        <v>2861</v>
      </c>
      <c r="E18" s="43">
        <v>272</v>
      </c>
      <c r="F18" s="44">
        <v>28.36</v>
      </c>
      <c r="G18" s="45">
        <v>95.9</v>
      </c>
      <c r="H18" s="43">
        <v>1125</v>
      </c>
      <c r="I18" s="43">
        <v>642</v>
      </c>
      <c r="J18" s="46">
        <f t="shared" si="4"/>
        <v>39.668547249647389</v>
      </c>
      <c r="K18" s="46">
        <f t="shared" si="5"/>
        <v>22.637517630465446</v>
      </c>
      <c r="L18" s="47">
        <f t="shared" si="6"/>
        <v>14.18</v>
      </c>
      <c r="M18" s="48">
        <f t="shared" si="7"/>
        <v>9.5071653268088085E-2</v>
      </c>
    </row>
    <row r="19" spans="2:13" ht="15.75" customHeight="1" x14ac:dyDescent="0.3">
      <c r="B19" s="41"/>
      <c r="C19" s="42" t="s">
        <v>68</v>
      </c>
      <c r="D19" s="43">
        <v>4404</v>
      </c>
      <c r="E19" s="43">
        <v>375</v>
      </c>
      <c r="F19" s="44">
        <v>39.119999999999997</v>
      </c>
      <c r="G19" s="45">
        <v>95.9</v>
      </c>
      <c r="H19" s="43">
        <v>1320</v>
      </c>
      <c r="I19" s="43">
        <v>830</v>
      </c>
      <c r="J19" s="46">
        <f t="shared" si="4"/>
        <v>33.742331288343557</v>
      </c>
      <c r="K19" s="46">
        <f t="shared" si="5"/>
        <v>21.21676891615542</v>
      </c>
      <c r="L19" s="47">
        <f t="shared" si="6"/>
        <v>19.559999999999999</v>
      </c>
      <c r="M19" s="48">
        <f t="shared" si="7"/>
        <v>8.5149863760217978E-2</v>
      </c>
    </row>
    <row r="20" spans="2:13" ht="15.75" customHeight="1" x14ac:dyDescent="0.3">
      <c r="B20" s="41"/>
      <c r="C20" s="42" t="s">
        <v>69</v>
      </c>
      <c r="D20" s="43">
        <v>4270</v>
      </c>
      <c r="E20" s="43">
        <v>362</v>
      </c>
      <c r="F20" s="44">
        <v>37.78</v>
      </c>
      <c r="G20" s="45">
        <v>95.9</v>
      </c>
      <c r="H20" s="43">
        <v>1811</v>
      </c>
      <c r="I20" s="43">
        <v>680</v>
      </c>
      <c r="J20" s="46">
        <f t="shared" si="4"/>
        <v>47.935415563790365</v>
      </c>
      <c r="K20" s="46">
        <f t="shared" si="5"/>
        <v>17.99894123875066</v>
      </c>
      <c r="L20" s="47">
        <f t="shared" si="6"/>
        <v>18.89</v>
      </c>
      <c r="M20" s="48">
        <f t="shared" si="7"/>
        <v>8.4777517564402813E-2</v>
      </c>
    </row>
    <row r="21" spans="2:13" ht="15.75" customHeight="1" x14ac:dyDescent="0.3">
      <c r="B21" s="41"/>
      <c r="C21" s="42" t="s">
        <v>70</v>
      </c>
      <c r="D21" s="43">
        <v>5125</v>
      </c>
      <c r="E21" s="43">
        <v>774</v>
      </c>
      <c r="F21" s="44">
        <v>80.739999999999995</v>
      </c>
      <c r="G21" s="45">
        <v>95.9</v>
      </c>
      <c r="H21" s="43">
        <v>3027</v>
      </c>
      <c r="I21" s="43">
        <v>1715</v>
      </c>
      <c r="J21" s="46">
        <f t="shared" si="4"/>
        <v>37.490710923953436</v>
      </c>
      <c r="K21" s="46">
        <f t="shared" si="5"/>
        <v>21.241020559821653</v>
      </c>
      <c r="L21" s="47">
        <f t="shared" si="6"/>
        <v>40.369999999999997</v>
      </c>
      <c r="M21" s="48">
        <f t="shared" si="7"/>
        <v>0.15102439024390243</v>
      </c>
    </row>
    <row r="22" spans="2:13" ht="15.75" customHeight="1" x14ac:dyDescent="0.3">
      <c r="B22" s="41"/>
      <c r="C22" s="42" t="s">
        <v>71</v>
      </c>
      <c r="D22" s="43">
        <v>6222</v>
      </c>
      <c r="E22" s="43">
        <v>775</v>
      </c>
      <c r="F22" s="44">
        <v>80.81</v>
      </c>
      <c r="G22" s="45">
        <v>95.9</v>
      </c>
      <c r="H22" s="43">
        <v>3366</v>
      </c>
      <c r="I22" s="43">
        <v>2395</v>
      </c>
      <c r="J22" s="46">
        <f t="shared" si="4"/>
        <v>41.653260735057543</v>
      </c>
      <c r="K22" s="46">
        <f t="shared" si="5"/>
        <v>29.637421111248607</v>
      </c>
      <c r="L22" s="47">
        <f t="shared" si="6"/>
        <v>40.405000000000001</v>
      </c>
      <c r="M22" s="48">
        <f t="shared" si="7"/>
        <v>0.12455801992928318</v>
      </c>
    </row>
    <row r="23" spans="2:13" ht="15.75" customHeight="1" x14ac:dyDescent="0.3">
      <c r="B23" s="41"/>
      <c r="C23" s="42" t="s">
        <v>72</v>
      </c>
      <c r="D23" s="43">
        <v>7964</v>
      </c>
      <c r="E23" s="43">
        <v>958</v>
      </c>
      <c r="F23" s="44">
        <v>99.92</v>
      </c>
      <c r="G23" s="45">
        <v>95.9</v>
      </c>
      <c r="H23" s="43">
        <v>4494</v>
      </c>
      <c r="I23" s="43">
        <v>2556</v>
      </c>
      <c r="J23" s="46">
        <f t="shared" si="4"/>
        <v>44.975980784627701</v>
      </c>
      <c r="K23" s="46">
        <f t="shared" si="5"/>
        <v>25.580464371497197</v>
      </c>
      <c r="L23" s="47">
        <f t="shared" si="6"/>
        <v>49.96</v>
      </c>
      <c r="M23" s="48">
        <f t="shared" si="7"/>
        <v>0.12029131089904571</v>
      </c>
    </row>
    <row r="24" spans="2:13" ht="15.75" customHeight="1" x14ac:dyDescent="0.3">
      <c r="B24" s="41"/>
      <c r="C24" s="42" t="s">
        <v>73</v>
      </c>
      <c r="D24" s="43">
        <v>8971</v>
      </c>
      <c r="E24" s="43">
        <v>1050</v>
      </c>
      <c r="F24" s="44">
        <v>109.42</v>
      </c>
      <c r="G24" s="45">
        <v>95.9</v>
      </c>
      <c r="H24" s="43">
        <v>5247</v>
      </c>
      <c r="I24" s="43">
        <v>3760</v>
      </c>
      <c r="J24" s="46">
        <f t="shared" si="4"/>
        <v>47.952842259184791</v>
      </c>
      <c r="K24" s="46">
        <f t="shared" si="5"/>
        <v>34.363004935112407</v>
      </c>
      <c r="L24" s="47">
        <f t="shared" si="6"/>
        <v>54.71</v>
      </c>
      <c r="M24" s="48">
        <f t="shared" si="7"/>
        <v>0.11704380782521458</v>
      </c>
    </row>
    <row r="25" spans="2:13" ht="15.75" customHeight="1" x14ac:dyDescent="0.3">
      <c r="B25" s="41" t="s">
        <v>74</v>
      </c>
      <c r="C25" s="42" t="s">
        <v>75</v>
      </c>
      <c r="D25" s="43">
        <v>10418</v>
      </c>
      <c r="E25" s="43">
        <v>1169</v>
      </c>
      <c r="F25" s="44">
        <v>12.9</v>
      </c>
      <c r="G25" s="45">
        <v>95.9</v>
      </c>
      <c r="H25" s="43">
        <v>809</v>
      </c>
      <c r="I25" s="43">
        <v>461</v>
      </c>
      <c r="J25" s="46">
        <f t="shared" si="4"/>
        <v>62.713178294573645</v>
      </c>
      <c r="K25" s="46">
        <f t="shared" si="5"/>
        <v>35.736434108527128</v>
      </c>
      <c r="L25" s="47">
        <f t="shared" si="6"/>
        <v>6.45</v>
      </c>
      <c r="M25" s="48">
        <f t="shared" si="7"/>
        <v>0.11220963716644269</v>
      </c>
    </row>
    <row r="26" spans="2:13" ht="15.75" customHeight="1" x14ac:dyDescent="0.3">
      <c r="B26" s="41"/>
      <c r="C26" s="42" t="s">
        <v>76</v>
      </c>
      <c r="D26" s="43">
        <v>11648</v>
      </c>
      <c r="E26" s="43">
        <v>1327</v>
      </c>
      <c r="F26" s="44">
        <v>13.84</v>
      </c>
      <c r="G26" s="45">
        <v>95.9</v>
      </c>
      <c r="H26" s="43">
        <v>925</v>
      </c>
      <c r="I26" s="43">
        <v>693</v>
      </c>
      <c r="J26" s="46">
        <f t="shared" si="4"/>
        <v>66.835260115606943</v>
      </c>
      <c r="K26" s="46">
        <f t="shared" si="5"/>
        <v>50.072254335260119</v>
      </c>
      <c r="L26" s="47">
        <f t="shared" si="6"/>
        <v>6.92</v>
      </c>
      <c r="M26" s="48">
        <f t="shared" si="7"/>
        <v>0.11392513736263736</v>
      </c>
    </row>
    <row r="27" spans="2:13" ht="15.75" customHeight="1" x14ac:dyDescent="0.3">
      <c r="B27" s="41"/>
      <c r="C27" s="42" t="s">
        <v>77</v>
      </c>
      <c r="D27" s="43">
        <v>15534</v>
      </c>
      <c r="E27" s="43">
        <v>1597</v>
      </c>
      <c r="F27" s="44">
        <v>16.649999999999999</v>
      </c>
      <c r="G27" s="45">
        <v>95.9</v>
      </c>
      <c r="H27" s="43">
        <v>1230</v>
      </c>
      <c r="I27" s="43">
        <v>825</v>
      </c>
      <c r="J27" s="46">
        <f t="shared" si="4"/>
        <v>73.873873873873876</v>
      </c>
      <c r="K27" s="46">
        <f t="shared" si="5"/>
        <v>49.549549549549553</v>
      </c>
      <c r="L27" s="47">
        <f t="shared" si="6"/>
        <v>8.3249999999999993</v>
      </c>
      <c r="M27" s="48">
        <f t="shared" si="7"/>
        <v>0.10280674649156689</v>
      </c>
    </row>
    <row r="28" spans="2:13" ht="14.4" x14ac:dyDescent="0.3">
      <c r="B28" s="41"/>
      <c r="C28" s="42" t="s">
        <v>78</v>
      </c>
      <c r="D28" s="43">
        <v>17347</v>
      </c>
      <c r="E28" s="43">
        <v>1803</v>
      </c>
      <c r="F28" s="44">
        <v>18.8</v>
      </c>
      <c r="G28" s="45">
        <v>95.9</v>
      </c>
      <c r="H28" s="43">
        <v>1261</v>
      </c>
      <c r="I28" s="43">
        <v>883</v>
      </c>
      <c r="J28" s="46">
        <f t="shared" si="4"/>
        <v>67.074468085106375</v>
      </c>
      <c r="K28" s="46">
        <f t="shared" si="5"/>
        <v>46.968085106382979</v>
      </c>
      <c r="L28" s="47">
        <f t="shared" si="6"/>
        <v>9.4</v>
      </c>
      <c r="M28" s="48">
        <f t="shared" si="7"/>
        <v>0.10393728022136392</v>
      </c>
    </row>
    <row r="29" spans="2:13" ht="14.4" x14ac:dyDescent="0.3">
      <c r="B29" s="41"/>
      <c r="C29" s="42" t="s">
        <v>79</v>
      </c>
      <c r="D29" s="43">
        <v>17482</v>
      </c>
      <c r="E29" s="43">
        <v>1894</v>
      </c>
      <c r="F29" s="44">
        <v>19.75</v>
      </c>
      <c r="G29" s="45">
        <v>95.9</v>
      </c>
      <c r="H29" s="43">
        <v>1489</v>
      </c>
      <c r="I29" s="43">
        <v>1082</v>
      </c>
      <c r="J29" s="46">
        <f t="shared" si="4"/>
        <v>75.392405063291136</v>
      </c>
      <c r="K29" s="46">
        <f t="shared" si="5"/>
        <v>54.784810126582279</v>
      </c>
      <c r="L29" s="47">
        <f t="shared" si="6"/>
        <v>9.875</v>
      </c>
      <c r="M29" s="48">
        <f t="shared" si="7"/>
        <v>0.10834000686420318</v>
      </c>
    </row>
    <row r="30" spans="2:13" ht="14.4" x14ac:dyDescent="0.3">
      <c r="B30" s="41"/>
      <c r="C30" s="42" t="s">
        <v>80</v>
      </c>
      <c r="D30" s="43">
        <v>19576</v>
      </c>
      <c r="E30" s="43">
        <v>2212</v>
      </c>
      <c r="F30" s="44">
        <v>22.51</v>
      </c>
      <c r="G30" s="45">
        <v>95.9</v>
      </c>
      <c r="H30" s="43">
        <v>1530</v>
      </c>
      <c r="I30" s="43">
        <v>1118</v>
      </c>
      <c r="J30" s="46">
        <f t="shared" si="4"/>
        <v>67.969791203909367</v>
      </c>
      <c r="K30" s="46">
        <f t="shared" si="5"/>
        <v>49.666814749000437</v>
      </c>
      <c r="L30" s="47">
        <f t="shared" si="6"/>
        <v>11.255000000000001</v>
      </c>
      <c r="M30" s="48">
        <f t="shared" si="7"/>
        <v>0.1129955046996322</v>
      </c>
    </row>
    <row r="31" spans="2:13" ht="14.4" x14ac:dyDescent="0.3">
      <c r="B31" s="41"/>
      <c r="C31" s="42" t="s">
        <v>81</v>
      </c>
      <c r="D31" s="43">
        <v>20211</v>
      </c>
      <c r="E31" s="43">
        <v>2774</v>
      </c>
      <c r="F31" s="44">
        <v>28.2</v>
      </c>
      <c r="G31" s="45">
        <v>95.9</v>
      </c>
      <c r="H31" s="43">
        <v>1917</v>
      </c>
      <c r="I31" s="43">
        <v>1291</v>
      </c>
      <c r="J31" s="46">
        <f t="shared" si="4"/>
        <v>67.978723404255319</v>
      </c>
      <c r="K31" s="46">
        <f t="shared" si="5"/>
        <v>45.780141843971634</v>
      </c>
      <c r="L31" s="47">
        <v>8.65</v>
      </c>
      <c r="M31" s="48">
        <f t="shared" si="7"/>
        <v>0.13725199148978279</v>
      </c>
    </row>
    <row r="32" spans="2:13" ht="14.4" x14ac:dyDescent="0.3">
      <c r="B32" s="41"/>
      <c r="C32" s="42" t="s">
        <v>82</v>
      </c>
      <c r="D32" s="43">
        <v>21713</v>
      </c>
      <c r="E32" s="43">
        <v>3207</v>
      </c>
      <c r="F32" s="44">
        <v>32.729999999999997</v>
      </c>
      <c r="G32" s="45">
        <v>95.9</v>
      </c>
      <c r="H32" s="43">
        <v>2874</v>
      </c>
      <c r="I32" s="43">
        <v>1483</v>
      </c>
      <c r="J32" s="46">
        <f t="shared" si="4"/>
        <v>87.80934922089827</v>
      </c>
      <c r="K32" s="46">
        <f t="shared" si="5"/>
        <v>45.310113046135051</v>
      </c>
      <c r="L32" s="47">
        <v>13</v>
      </c>
      <c r="M32" s="48">
        <f t="shared" si="7"/>
        <v>0.14769953484087875</v>
      </c>
    </row>
    <row r="33" spans="2:29" ht="14.4" x14ac:dyDescent="0.3">
      <c r="B33" s="41"/>
      <c r="C33" s="42" t="s">
        <v>83</v>
      </c>
      <c r="D33" s="43">
        <v>28924</v>
      </c>
      <c r="E33" s="43">
        <v>3085</v>
      </c>
      <c r="F33" s="51">
        <v>32.17</v>
      </c>
      <c r="G33" s="45">
        <v>95.9</v>
      </c>
      <c r="H33" s="41">
        <v>3590</v>
      </c>
      <c r="I33" s="41">
        <v>2485</v>
      </c>
      <c r="J33" s="46">
        <f t="shared" si="4"/>
        <v>111.59465340379235</v>
      </c>
      <c r="K33" s="46">
        <f t="shared" si="5"/>
        <v>77.245881255828408</v>
      </c>
      <c r="L33" s="52">
        <v>19.149999999999999</v>
      </c>
      <c r="M33" s="48">
        <f t="shared" si="7"/>
        <v>0.10665883003733924</v>
      </c>
    </row>
    <row r="34" spans="2:29" ht="14.4" x14ac:dyDescent="0.3">
      <c r="B34" s="15"/>
      <c r="C34" s="42" t="s">
        <v>84</v>
      </c>
      <c r="D34" s="53">
        <v>34368</v>
      </c>
      <c r="E34" s="53">
        <v>4195</v>
      </c>
      <c r="F34" s="54">
        <v>42.83</v>
      </c>
      <c r="G34" s="53">
        <v>96</v>
      </c>
      <c r="H34" s="15">
        <v>3582</v>
      </c>
      <c r="I34" s="15">
        <v>2560</v>
      </c>
      <c r="J34" s="46">
        <f t="shared" si="4"/>
        <v>83.632967546112539</v>
      </c>
      <c r="K34" s="46">
        <f t="shared" si="5"/>
        <v>59.771188419332248</v>
      </c>
      <c r="L34" s="53">
        <v>25.65</v>
      </c>
      <c r="M34" s="48">
        <f t="shared" si="7"/>
        <v>0.12206121973929236</v>
      </c>
    </row>
    <row r="35" spans="2:29" ht="14.4" x14ac:dyDescent="0.3">
      <c r="B35" s="15"/>
      <c r="C35" s="42" t="s">
        <v>85</v>
      </c>
      <c r="D35" s="53">
        <v>35382</v>
      </c>
      <c r="E35" s="53">
        <v>5557</v>
      </c>
      <c r="F35" s="54">
        <v>56.95</v>
      </c>
      <c r="G35" s="53">
        <v>96</v>
      </c>
      <c r="H35" s="15">
        <v>3568</v>
      </c>
      <c r="I35" s="15">
        <v>2708</v>
      </c>
      <c r="J35" s="46">
        <f t="shared" si="4"/>
        <v>62.651448639157152</v>
      </c>
      <c r="K35" s="46">
        <f t="shared" si="5"/>
        <v>47.550482879719048</v>
      </c>
      <c r="L35" s="53">
        <v>28.15</v>
      </c>
      <c r="M35" s="48">
        <f t="shared" si="7"/>
        <v>0.15705726075405574</v>
      </c>
    </row>
    <row r="36" spans="2:29" ht="14.4" x14ac:dyDescent="0.3">
      <c r="B36" s="15"/>
      <c r="C36" s="42" t="s">
        <v>86</v>
      </c>
      <c r="D36" s="53">
        <f>D35+Q39-R39</f>
        <v>35170</v>
      </c>
      <c r="E36" s="53">
        <f>E35+Q42-R42</f>
        <v>5169</v>
      </c>
      <c r="F36" s="54">
        <f>N51</f>
        <v>52.980000000000004</v>
      </c>
      <c r="G36" s="53">
        <v>96</v>
      </c>
      <c r="H36" s="15">
        <v>2852</v>
      </c>
      <c r="I36" s="15">
        <v>2674</v>
      </c>
      <c r="J36" s="46">
        <f t="shared" si="4"/>
        <v>53.83163457908644</v>
      </c>
      <c r="K36" s="46">
        <f t="shared" si="5"/>
        <v>50.471876179690447</v>
      </c>
      <c r="L36" s="53">
        <f>F36*50%</f>
        <v>26.490000000000002</v>
      </c>
      <c r="M36" s="48">
        <f t="shared" si="7"/>
        <v>0.14697185100938301</v>
      </c>
    </row>
    <row r="37" spans="2:29" ht="13.8" x14ac:dyDescent="0.3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P37" s="12"/>
      <c r="Q37" s="12"/>
      <c r="R37" s="12" t="s">
        <v>87</v>
      </c>
      <c r="S37" s="31">
        <v>7.0000000000000007E-2</v>
      </c>
      <c r="U37" s="12"/>
      <c r="V37" s="12"/>
      <c r="W37" s="12" t="s">
        <v>87</v>
      </c>
      <c r="X37" s="31">
        <v>0.1</v>
      </c>
      <c r="Z37" s="12"/>
      <c r="AA37" s="12"/>
      <c r="AB37" s="12" t="s">
        <v>87</v>
      </c>
      <c r="AC37" s="31">
        <v>0.09</v>
      </c>
    </row>
    <row r="38" spans="2:29" ht="13.8" x14ac:dyDescent="0.3">
      <c r="B38" s="4" t="s">
        <v>24</v>
      </c>
      <c r="C38" s="4" t="s">
        <v>49</v>
      </c>
      <c r="D38" s="4" t="s">
        <v>50</v>
      </c>
      <c r="E38" s="4" t="s">
        <v>51</v>
      </c>
      <c r="F38" s="4" t="s">
        <v>52</v>
      </c>
      <c r="G38" s="4" t="s">
        <v>53</v>
      </c>
      <c r="H38" s="4" t="s">
        <v>54</v>
      </c>
      <c r="I38" s="4" t="s">
        <v>55</v>
      </c>
      <c r="J38" s="4" t="s">
        <v>56</v>
      </c>
      <c r="K38" s="4" t="s">
        <v>57</v>
      </c>
      <c r="L38" s="4" t="s">
        <v>88</v>
      </c>
      <c r="M38" s="4" t="s">
        <v>59</v>
      </c>
      <c r="P38" s="4" t="s">
        <v>89</v>
      </c>
      <c r="Q38" s="4" t="s">
        <v>90</v>
      </c>
      <c r="R38" s="4" t="s">
        <v>91</v>
      </c>
      <c r="S38" s="4" t="s">
        <v>92</v>
      </c>
      <c r="U38" s="4" t="s">
        <v>89</v>
      </c>
      <c r="V38" s="4" t="s">
        <v>93</v>
      </c>
      <c r="W38" s="4" t="s">
        <v>94</v>
      </c>
      <c r="X38" s="4" t="s">
        <v>92</v>
      </c>
      <c r="Z38" s="4" t="s">
        <v>89</v>
      </c>
      <c r="AA38" s="4" t="s">
        <v>23</v>
      </c>
      <c r="AB38" s="4" t="s">
        <v>95</v>
      </c>
      <c r="AC38" s="4" t="s">
        <v>92</v>
      </c>
    </row>
    <row r="39" spans="2:29" ht="14.4" x14ac:dyDescent="0.3">
      <c r="B39" s="56"/>
      <c r="C39" s="57" t="s">
        <v>96</v>
      </c>
      <c r="D39" s="58">
        <f t="shared" ref="D39:E39" si="8">(D35/D15)^(1/20)-1</f>
        <v>0.16175403586858583</v>
      </c>
      <c r="E39" s="58">
        <f t="shared" si="8"/>
        <v>0.19915729307383057</v>
      </c>
      <c r="F39" s="58">
        <f>((12.5*F35)/F15)^(1/20)-1</f>
        <v>0.20022204851572689</v>
      </c>
      <c r="G39" s="58">
        <f>(G35/G15)^(1/20)-1</f>
        <v>5.2111836696733249E-5</v>
      </c>
      <c r="H39" s="58">
        <f t="shared" ref="H39:I39" si="9">((12.5*H35)/H15)^(1/20)-1</f>
        <v>0.27391253139924587</v>
      </c>
      <c r="I39" s="58">
        <f t="shared" si="9"/>
        <v>0.27943913150274113</v>
      </c>
      <c r="J39" s="59">
        <f t="shared" ref="J39:K39" si="10">MEDIAN(J15:J35)</f>
        <v>62.651448639157152</v>
      </c>
      <c r="K39" s="59">
        <f t="shared" si="10"/>
        <v>35.736434108527128</v>
      </c>
      <c r="L39" s="59">
        <f t="shared" ref="L39:L43" si="11">AVERAGE(J39:K39)</f>
        <v>49.193941373842136</v>
      </c>
      <c r="M39" s="60">
        <f>MEDIAN(M15:M35)</f>
        <v>0.11220963716644269</v>
      </c>
      <c r="P39" s="61" t="s">
        <v>97</v>
      </c>
      <c r="Q39" s="61">
        <v>8970</v>
      </c>
      <c r="R39" s="61">
        <v>9182</v>
      </c>
      <c r="S39" s="62">
        <f t="shared" ref="S39:S44" si="12">(Q39/R39)^(1/1)-1</f>
        <v>-2.3088651709867181E-2</v>
      </c>
      <c r="U39" s="61" t="s">
        <v>97</v>
      </c>
      <c r="V39" s="61">
        <v>8701</v>
      </c>
      <c r="W39" s="61">
        <v>8750</v>
      </c>
      <c r="X39" s="62">
        <f t="shared" ref="X39:X44" si="13">(V39/W39)^(1/1)-1</f>
        <v>-5.6000000000000494E-3</v>
      </c>
      <c r="Z39" s="61" t="s">
        <v>97</v>
      </c>
      <c r="AA39" s="61">
        <v>35382</v>
      </c>
      <c r="AB39" s="61">
        <v>34367</v>
      </c>
      <c r="AC39" s="62">
        <f t="shared" ref="AC39:AC44" si="14">(AA39/AB39)^(1/1)-1</f>
        <v>2.9534146128553651E-2</v>
      </c>
    </row>
    <row r="40" spans="2:29" ht="14.4" x14ac:dyDescent="0.3">
      <c r="B40" s="56"/>
      <c r="C40" s="57" t="s">
        <v>98</v>
      </c>
      <c r="D40" s="58">
        <f t="shared" ref="D40:E40" si="15">(D35/D18)^(1/15)-1</f>
        <v>0.18254488708713601</v>
      </c>
      <c r="E40" s="58">
        <f t="shared" si="15"/>
        <v>0.22278874552008365</v>
      </c>
      <c r="F40" s="58">
        <f>((10*F35)/F20)^(1/15)-1</f>
        <v>0.19825371737267439</v>
      </c>
      <c r="G40" s="58">
        <f>(G35/G18)^(1/15)-1</f>
        <v>6.9483052398400247E-5</v>
      </c>
      <c r="H40" s="58">
        <f t="shared" ref="H40:I40" si="16">((10*H35)/H20)^(1/15)-1</f>
        <v>0.21983313555323281</v>
      </c>
      <c r="I40" s="58">
        <f t="shared" si="16"/>
        <v>0.27842714399354973</v>
      </c>
      <c r="J40" s="63">
        <f t="shared" ref="J40:K40" si="17">MEDIAN(J20:J35)</f>
        <v>66.954864100356659</v>
      </c>
      <c r="K40" s="63">
        <f t="shared" si="17"/>
        <v>46.37411347517731</v>
      </c>
      <c r="L40" s="59">
        <f t="shared" si="11"/>
        <v>56.664488787766985</v>
      </c>
      <c r="M40" s="64">
        <f>MEDIAN(M20:M35)</f>
        <v>0.11548447259392597</v>
      </c>
      <c r="P40" s="61" t="s">
        <v>99</v>
      </c>
      <c r="Q40" s="61">
        <v>55</v>
      </c>
      <c r="R40" s="61">
        <v>46</v>
      </c>
      <c r="S40" s="62">
        <f t="shared" si="12"/>
        <v>0.19565217391304346</v>
      </c>
      <c r="U40" s="61" t="s">
        <v>99</v>
      </c>
      <c r="V40" s="61">
        <v>54</v>
      </c>
      <c r="W40" s="61">
        <v>39</v>
      </c>
      <c r="X40" s="62">
        <f t="shared" si="13"/>
        <v>0.38461538461538458</v>
      </c>
      <c r="Z40" s="61" t="s">
        <v>99</v>
      </c>
      <c r="AA40" s="61">
        <v>205</v>
      </c>
      <c r="AB40" s="61">
        <v>144</v>
      </c>
      <c r="AC40" s="62">
        <f t="shared" si="14"/>
        <v>0.42361111111111116</v>
      </c>
    </row>
    <row r="41" spans="2:29" ht="14.4" x14ac:dyDescent="0.3">
      <c r="B41" s="56"/>
      <c r="C41" s="57" t="s">
        <v>100</v>
      </c>
      <c r="D41" s="58">
        <f t="shared" ref="D41:I41" si="18">(D35/D25)^(1/10)-1</f>
        <v>0.13005557586057126</v>
      </c>
      <c r="E41" s="58">
        <f t="shared" si="18"/>
        <v>0.16869877429591074</v>
      </c>
      <c r="F41" s="58">
        <f t="shared" si="18"/>
        <v>0.1600865772024751</v>
      </c>
      <c r="G41" s="58">
        <f t="shared" si="18"/>
        <v>1.042263890371764E-4</v>
      </c>
      <c r="H41" s="58">
        <f t="shared" si="18"/>
        <v>0.15997233728305038</v>
      </c>
      <c r="I41" s="58">
        <f t="shared" si="18"/>
        <v>0.19369884448069108</v>
      </c>
      <c r="J41" s="63">
        <f t="shared" ref="J41:K41" si="19">MEDIAN(J25:J35)</f>
        <v>67.978723404255319</v>
      </c>
      <c r="K41" s="63">
        <f t="shared" si="19"/>
        <v>49.549549549549553</v>
      </c>
      <c r="L41" s="59">
        <f t="shared" si="11"/>
        <v>58.764136476902436</v>
      </c>
      <c r="M41" s="64">
        <f>MEDIAN(M25:M35)</f>
        <v>0.1129955046996322</v>
      </c>
      <c r="N41" s="65"/>
      <c r="P41" s="15" t="s">
        <v>101</v>
      </c>
      <c r="Q41" s="15">
        <v>7559</v>
      </c>
      <c r="R41" s="15">
        <v>7305</v>
      </c>
      <c r="S41" s="62">
        <f t="shared" si="12"/>
        <v>3.477070499657775E-2</v>
      </c>
      <c r="U41" s="15" t="s">
        <v>101</v>
      </c>
      <c r="V41" s="15">
        <v>7319</v>
      </c>
      <c r="W41" s="15">
        <v>7181</v>
      </c>
      <c r="X41" s="62">
        <f t="shared" si="13"/>
        <v>1.921737919509825E-2</v>
      </c>
      <c r="Z41" s="15" t="s">
        <v>101</v>
      </c>
      <c r="AA41" s="15">
        <v>28967</v>
      </c>
      <c r="AB41" s="15">
        <v>29231</v>
      </c>
      <c r="AC41" s="62">
        <f t="shared" si="14"/>
        <v>-9.0315076459922539E-3</v>
      </c>
    </row>
    <row r="42" spans="2:29" ht="14.4" x14ac:dyDescent="0.3">
      <c r="B42" s="56"/>
      <c r="C42" s="57" t="s">
        <v>102</v>
      </c>
      <c r="D42" s="58">
        <f t="shared" ref="D42:I42" si="20">(D35/D30)^(1/5)-1</f>
        <v>0.12567153550734567</v>
      </c>
      <c r="E42" s="58">
        <f t="shared" si="20"/>
        <v>0.20229503827300976</v>
      </c>
      <c r="F42" s="58">
        <f t="shared" si="20"/>
        <v>0.20399212599611771</v>
      </c>
      <c r="G42" s="58">
        <f t="shared" si="20"/>
        <v>2.0846364121429595E-4</v>
      </c>
      <c r="H42" s="58">
        <f t="shared" si="20"/>
        <v>0.18453168727469937</v>
      </c>
      <c r="I42" s="58">
        <f t="shared" si="20"/>
        <v>0.19355207266571628</v>
      </c>
      <c r="J42" s="59">
        <f t="shared" ref="J42:K42" si="21">MEDIAN(J30:J35)</f>
        <v>75.805845475183929</v>
      </c>
      <c r="K42" s="59">
        <f t="shared" si="21"/>
        <v>48.608648814359739</v>
      </c>
      <c r="L42" s="59">
        <f t="shared" si="11"/>
        <v>62.207247144771834</v>
      </c>
      <c r="M42" s="60">
        <f>MEDIAN(M30:M35)</f>
        <v>0.12965660561453757</v>
      </c>
      <c r="P42" s="15" t="s">
        <v>51</v>
      </c>
      <c r="Q42" s="15">
        <v>1187</v>
      </c>
      <c r="R42" s="15">
        <v>1575</v>
      </c>
      <c r="S42" s="62">
        <f t="shared" si="12"/>
        <v>-0.24634920634920632</v>
      </c>
      <c r="U42" s="15" t="s">
        <v>51</v>
      </c>
      <c r="V42" s="15">
        <v>1275</v>
      </c>
      <c r="W42" s="15">
        <v>1258</v>
      </c>
      <c r="X42" s="62">
        <f t="shared" si="13"/>
        <v>1.3513513513513598E-2</v>
      </c>
      <c r="Z42" s="15" t="s">
        <v>51</v>
      </c>
      <c r="AA42" s="15">
        <v>5557</v>
      </c>
      <c r="AB42" s="15">
        <v>4195</v>
      </c>
      <c r="AC42" s="62">
        <f t="shared" si="14"/>
        <v>0.32467222884386171</v>
      </c>
    </row>
    <row r="43" spans="2:29" ht="14.4" x14ac:dyDescent="0.3">
      <c r="B43" s="56"/>
      <c r="C43" s="57" t="s">
        <v>103</v>
      </c>
      <c r="D43" s="58">
        <f t="shared" ref="D43:I43" si="22">(D35/D34)-1</f>
        <v>2.9504189944134174E-2</v>
      </c>
      <c r="E43" s="58">
        <f t="shared" si="22"/>
        <v>0.32467222884386171</v>
      </c>
      <c r="F43" s="58">
        <f t="shared" si="22"/>
        <v>0.3296754611253796</v>
      </c>
      <c r="G43" s="58">
        <f t="shared" si="22"/>
        <v>0</v>
      </c>
      <c r="H43" s="58">
        <f t="shared" si="22"/>
        <v>-3.9084310441094283E-3</v>
      </c>
      <c r="I43" s="58">
        <f t="shared" si="22"/>
        <v>5.7812500000000044E-2</v>
      </c>
      <c r="J43" s="59">
        <f t="shared" ref="J43:K43" si="23">J35</f>
        <v>62.651448639157152</v>
      </c>
      <c r="K43" s="59">
        <f t="shared" si="23"/>
        <v>47.550482879719048</v>
      </c>
      <c r="L43" s="59">
        <f t="shared" si="11"/>
        <v>55.100965759438097</v>
      </c>
      <c r="M43" s="60">
        <f>M35</f>
        <v>0.15705726075405574</v>
      </c>
      <c r="P43" s="15" t="s">
        <v>8</v>
      </c>
      <c r="Q43" s="15">
        <v>95.92</v>
      </c>
      <c r="R43" s="15">
        <v>95.92</v>
      </c>
      <c r="S43" s="62">
        <f t="shared" si="12"/>
        <v>0</v>
      </c>
      <c r="U43" s="15" t="s">
        <v>8</v>
      </c>
      <c r="V43" s="15">
        <v>95.92</v>
      </c>
      <c r="W43" s="15">
        <v>95.92</v>
      </c>
      <c r="X43" s="62">
        <f t="shared" si="13"/>
        <v>0</v>
      </c>
      <c r="Z43" s="15" t="s">
        <v>8</v>
      </c>
      <c r="AA43" s="15">
        <v>95.92</v>
      </c>
      <c r="AB43" s="15">
        <v>95.92</v>
      </c>
      <c r="AC43" s="62">
        <f t="shared" si="14"/>
        <v>0</v>
      </c>
    </row>
    <row r="44" spans="2:29" ht="14.4" x14ac:dyDescent="0.3">
      <c r="P44" s="15" t="s">
        <v>104</v>
      </c>
      <c r="Q44" s="54">
        <v>12.2</v>
      </c>
      <c r="R44" s="54">
        <v>16.170000000000002</v>
      </c>
      <c r="S44" s="62">
        <f t="shared" si="12"/>
        <v>-0.2455163883735314</v>
      </c>
      <c r="U44" s="15" t="s">
        <v>104</v>
      </c>
      <c r="V44" s="54">
        <v>13.11</v>
      </c>
      <c r="W44" s="54">
        <v>12.87</v>
      </c>
      <c r="X44" s="62">
        <f t="shared" si="13"/>
        <v>1.8648018648018683E-2</v>
      </c>
      <c r="Z44" s="15" t="s">
        <v>104</v>
      </c>
      <c r="AA44" s="54">
        <v>56.95</v>
      </c>
      <c r="AB44" s="54">
        <v>42.83</v>
      </c>
      <c r="AC44" s="62">
        <f t="shared" si="14"/>
        <v>0.3296754611253796</v>
      </c>
    </row>
    <row r="45" spans="2:29" ht="14.4" x14ac:dyDescent="0.3">
      <c r="B45" s="25" t="s">
        <v>105</v>
      </c>
      <c r="C45" s="4" t="s">
        <v>106</v>
      </c>
      <c r="D45" s="4" t="s">
        <v>97</v>
      </c>
      <c r="E45" s="4" t="s">
        <v>51</v>
      </c>
      <c r="F45" s="4" t="s">
        <v>104</v>
      </c>
      <c r="G45" s="4" t="s">
        <v>107</v>
      </c>
      <c r="I45" s="4" t="s">
        <v>108</v>
      </c>
      <c r="J45" s="4" t="s">
        <v>109</v>
      </c>
      <c r="K45" s="4" t="s">
        <v>110</v>
      </c>
      <c r="L45" s="4" t="s">
        <v>23</v>
      </c>
      <c r="M45" s="4" t="s">
        <v>90</v>
      </c>
      <c r="N45" s="4" t="s">
        <v>111</v>
      </c>
      <c r="P45" s="15" t="s">
        <v>59</v>
      </c>
      <c r="Q45" s="66">
        <f t="shared" ref="Q45:R45" si="24">Q42/Q39</f>
        <v>0.13232998885172798</v>
      </c>
      <c r="R45" s="66">
        <f t="shared" si="24"/>
        <v>0.1715312568067959</v>
      </c>
      <c r="S45" s="67">
        <f t="shared" ref="S45:S46" si="25">Q45-R45</f>
        <v>-3.9201267955067925E-2</v>
      </c>
      <c r="U45" s="15" t="s">
        <v>59</v>
      </c>
      <c r="V45" s="66">
        <f t="shared" ref="V45:W45" si="26">V42/V39</f>
        <v>0.14653488104815537</v>
      </c>
      <c r="W45" s="66">
        <f t="shared" si="26"/>
        <v>0.14377142857142858</v>
      </c>
      <c r="X45" s="67">
        <f t="shared" ref="X45:X46" si="27">V45-W45</f>
        <v>2.7634524767267965E-3</v>
      </c>
      <c r="Z45" s="15" t="s">
        <v>59</v>
      </c>
      <c r="AA45" s="66">
        <f t="shared" ref="AA45:AB45" si="28">AA42/AA39</f>
        <v>0.15705726075405574</v>
      </c>
      <c r="AB45" s="66">
        <f t="shared" si="28"/>
        <v>0.12206477143771641</v>
      </c>
      <c r="AC45" s="67">
        <f t="shared" ref="AC45:AC46" si="29">AA45-AB45</f>
        <v>3.4992489316339331E-2</v>
      </c>
    </row>
    <row r="46" spans="2:29" ht="14.4" x14ac:dyDescent="0.3">
      <c r="B46" s="56"/>
      <c r="C46" s="68" t="s">
        <v>112</v>
      </c>
      <c r="D46" s="58">
        <f>MEDIAN(D39:D42)</f>
        <v>0.14590480586457855</v>
      </c>
      <c r="E46" s="58">
        <v>0.15</v>
      </c>
      <c r="F46" s="58">
        <v>0.15</v>
      </c>
      <c r="G46" s="60">
        <f>AVERAGE(M39:M43)</f>
        <v>0.12548069616571883</v>
      </c>
      <c r="I46" s="69" t="s">
        <v>113</v>
      </c>
      <c r="J46" s="70">
        <v>0.04</v>
      </c>
      <c r="K46" s="70">
        <v>0.04</v>
      </c>
      <c r="L46" s="70">
        <v>0.03</v>
      </c>
      <c r="M46" s="70">
        <v>-0.02</v>
      </c>
      <c r="N46" s="70">
        <v>0.05</v>
      </c>
      <c r="O46" s="71"/>
      <c r="P46" s="15" t="s">
        <v>114</v>
      </c>
      <c r="Q46" s="53">
        <f t="shared" ref="Q46:R46" si="30">(Q39-Q41+Q40)/Q40</f>
        <v>26.654545454545456</v>
      </c>
      <c r="R46" s="53">
        <f t="shared" si="30"/>
        <v>41.804347826086953</v>
      </c>
      <c r="S46" s="72">
        <f t="shared" si="25"/>
        <v>-15.149802371541497</v>
      </c>
      <c r="U46" s="15" t="s">
        <v>114</v>
      </c>
      <c r="V46" s="53">
        <f t="shared" ref="V46:W46" si="31">(V39-V41+V40)/V40</f>
        <v>26.592592592592592</v>
      </c>
      <c r="W46" s="53">
        <f t="shared" si="31"/>
        <v>41.230769230769234</v>
      </c>
      <c r="X46" s="72">
        <f t="shared" si="27"/>
        <v>-14.638176638176642</v>
      </c>
      <c r="Z46" s="15" t="s">
        <v>114</v>
      </c>
      <c r="AA46" s="53">
        <f t="shared" ref="AA46:AB46" si="32">(AA39-AA41+AA40)/AA40</f>
        <v>32.292682926829265</v>
      </c>
      <c r="AB46" s="53">
        <f t="shared" si="32"/>
        <v>36.666666666666664</v>
      </c>
      <c r="AC46" s="72">
        <f t="shared" si="29"/>
        <v>-4.3739837398373993</v>
      </c>
    </row>
    <row r="47" spans="2:29" ht="13.8" x14ac:dyDescent="0.3">
      <c r="B47" s="56"/>
      <c r="C47" s="68" t="s">
        <v>115</v>
      </c>
      <c r="D47" s="58">
        <v>0.05</v>
      </c>
      <c r="E47" s="58">
        <f>(E50/E35)-1</f>
        <v>-0.11751930897966523</v>
      </c>
      <c r="F47" s="58">
        <v>-0.12</v>
      </c>
      <c r="G47" s="60">
        <v>0.13200000000000001</v>
      </c>
      <c r="I47" s="69" t="s">
        <v>116</v>
      </c>
      <c r="J47" s="70">
        <v>0.53</v>
      </c>
      <c r="K47" s="70">
        <v>0.46</v>
      </c>
      <c r="L47" s="70">
        <v>0.32</v>
      </c>
      <c r="M47" s="70">
        <v>-0.25</v>
      </c>
      <c r="N47" s="70">
        <v>-0.12</v>
      </c>
      <c r="O47" s="65"/>
    </row>
    <row r="48" spans="2:29" ht="13.8" x14ac:dyDescent="0.3">
      <c r="I48" s="69" t="s">
        <v>107</v>
      </c>
      <c r="J48" s="73">
        <v>0.159</v>
      </c>
      <c r="K48" s="73">
        <v>0.16</v>
      </c>
      <c r="L48" s="73">
        <v>0.157</v>
      </c>
      <c r="M48" s="73">
        <v>0.13200000000000001</v>
      </c>
      <c r="N48" s="73">
        <v>0.13200000000000001</v>
      </c>
      <c r="P48" s="4" t="s">
        <v>117</v>
      </c>
      <c r="Q48" s="4" t="s">
        <v>90</v>
      </c>
      <c r="R48" s="4" t="s">
        <v>91</v>
      </c>
      <c r="S48" s="4" t="s">
        <v>118</v>
      </c>
      <c r="T48" s="4" t="s">
        <v>92</v>
      </c>
      <c r="V48" s="4" t="s">
        <v>119</v>
      </c>
      <c r="W48" s="4" t="s">
        <v>90</v>
      </c>
      <c r="X48" s="4" t="s">
        <v>91</v>
      </c>
      <c r="Y48" s="4" t="s">
        <v>118</v>
      </c>
      <c r="Z48" s="4" t="s">
        <v>92</v>
      </c>
    </row>
    <row r="49" spans="2:26" ht="13.8" x14ac:dyDescent="0.3">
      <c r="B49" s="25" t="s">
        <v>120</v>
      </c>
      <c r="C49" s="4" t="s">
        <v>106</v>
      </c>
      <c r="D49" s="4" t="s">
        <v>97</v>
      </c>
      <c r="E49" s="4" t="s">
        <v>51</v>
      </c>
      <c r="F49" s="4" t="s">
        <v>104</v>
      </c>
      <c r="G49" s="4" t="s">
        <v>121</v>
      </c>
      <c r="P49" s="15" t="s">
        <v>122</v>
      </c>
      <c r="Q49" s="15">
        <v>4079</v>
      </c>
      <c r="R49" s="15">
        <v>4071</v>
      </c>
      <c r="S49" s="74">
        <f t="shared" ref="S49:S55" si="33">Q49/$Q$58</f>
        <v>0.53969304048690125</v>
      </c>
      <c r="T49" s="74">
        <f t="shared" ref="T49:T55" si="34">(Q49/R49)^(1/1)-1</f>
        <v>1.9651191353475816E-3</v>
      </c>
      <c r="V49" s="15" t="s">
        <v>123</v>
      </c>
      <c r="W49" s="15">
        <v>147</v>
      </c>
      <c r="X49" s="15">
        <v>159</v>
      </c>
      <c r="Y49" s="74">
        <f t="shared" ref="Y49:Y52" si="35">W49/$W$55</f>
        <v>1.6387959866220735E-2</v>
      </c>
      <c r="Z49" s="74">
        <f t="shared" ref="Z49:Z52" si="36">(W49/X49)^(1/1)-1</f>
        <v>-7.547169811320753E-2</v>
      </c>
    </row>
    <row r="50" spans="2:26" ht="13.8" x14ac:dyDescent="0.3">
      <c r="B50" s="56"/>
      <c r="C50" s="68" t="s">
        <v>115</v>
      </c>
      <c r="D50" s="75">
        <f>FV(D47,1,0,-D35,0)</f>
        <v>37151.1</v>
      </c>
      <c r="E50" s="75">
        <f>D50*G47</f>
        <v>4903.9452000000001</v>
      </c>
      <c r="F50" s="75">
        <f>FV(F47,1,0,-F35,0)</f>
        <v>50.116</v>
      </c>
      <c r="G50" s="75">
        <f t="shared" ref="G50:G51" si="37">F50*50</f>
        <v>2505.8000000000002</v>
      </c>
      <c r="I50" s="4" t="s">
        <v>124</v>
      </c>
      <c r="J50" s="4" t="s">
        <v>125</v>
      </c>
      <c r="K50" s="4" t="s">
        <v>126</v>
      </c>
      <c r="L50" s="4" t="s">
        <v>127</v>
      </c>
      <c r="M50" s="4" t="s">
        <v>90</v>
      </c>
      <c r="N50" s="4" t="s">
        <v>128</v>
      </c>
      <c r="P50" s="15" t="s">
        <v>129</v>
      </c>
      <c r="Q50" s="15">
        <v>1447</v>
      </c>
      <c r="R50" s="15">
        <v>1275</v>
      </c>
      <c r="S50" s="74">
        <f t="shared" si="33"/>
        <v>0.19145276528182059</v>
      </c>
      <c r="T50" s="74">
        <f t="shared" si="34"/>
        <v>0.13490196078431382</v>
      </c>
      <c r="V50" s="15" t="s">
        <v>130</v>
      </c>
      <c r="W50" s="15">
        <v>254</v>
      </c>
      <c r="X50" s="15">
        <v>249</v>
      </c>
      <c r="Y50" s="74">
        <f t="shared" si="35"/>
        <v>2.8316610925306577E-2</v>
      </c>
      <c r="Z50" s="74">
        <f t="shared" si="36"/>
        <v>2.008032128514059E-2</v>
      </c>
    </row>
    <row r="51" spans="2:26" ht="14.4" x14ac:dyDescent="0.3">
      <c r="B51" s="56"/>
      <c r="C51" s="68" t="s">
        <v>131</v>
      </c>
      <c r="D51" s="75">
        <f>FV(D46,5,0,-D50,0)</f>
        <v>73403.096578500146</v>
      </c>
      <c r="E51" s="75">
        <f>D51*G46</f>
        <v>9210.6716593896926</v>
      </c>
      <c r="F51" s="75">
        <f>E51*F50/E50</f>
        <v>94.128707001451374</v>
      </c>
      <c r="G51" s="75">
        <f t="shared" si="37"/>
        <v>4706.4353500725683</v>
      </c>
      <c r="I51" s="15" t="s">
        <v>104</v>
      </c>
      <c r="J51" s="76">
        <v>12.57</v>
      </c>
      <c r="K51" s="76">
        <v>15.1</v>
      </c>
      <c r="L51" s="76">
        <v>13.11</v>
      </c>
      <c r="M51" s="76">
        <v>12.2</v>
      </c>
      <c r="N51" s="76">
        <f>SUM(J51:M51)</f>
        <v>52.980000000000004</v>
      </c>
      <c r="P51" s="15" t="s">
        <v>132</v>
      </c>
      <c r="Q51" s="15">
        <v>954</v>
      </c>
      <c r="R51" s="15">
        <v>857</v>
      </c>
      <c r="S51" s="74">
        <f t="shared" si="33"/>
        <v>0.12622386874834612</v>
      </c>
      <c r="T51" s="74">
        <f t="shared" si="34"/>
        <v>0.11318553092182038</v>
      </c>
      <c r="V51" s="15" t="s">
        <v>133</v>
      </c>
      <c r="W51" s="15">
        <v>255</v>
      </c>
      <c r="X51" s="15">
        <v>275</v>
      </c>
      <c r="Y51" s="74">
        <f t="shared" si="35"/>
        <v>2.8428093645484948E-2</v>
      </c>
      <c r="Z51" s="74">
        <f t="shared" si="36"/>
        <v>-7.2727272727272751E-2</v>
      </c>
    </row>
    <row r="52" spans="2:26" ht="14.4" thickBot="1" x14ac:dyDescent="0.35">
      <c r="B52" s="56"/>
      <c r="C52" s="68" t="s">
        <v>134</v>
      </c>
      <c r="D52" s="75">
        <f t="shared" ref="D52:F52" si="38">FV(D46,5,0,-D51,0)</f>
        <v>145029.74574945614</v>
      </c>
      <c r="E52" s="75">
        <f t="shared" si="38"/>
        <v>18525.950643816006</v>
      </c>
      <c r="F52" s="75">
        <f t="shared" si="38"/>
        <v>189.32645137745072</v>
      </c>
      <c r="G52" s="75">
        <f>F52*45</f>
        <v>8519.6903119852832</v>
      </c>
      <c r="P52" s="15" t="s">
        <v>135</v>
      </c>
      <c r="Q52" s="15">
        <v>674</v>
      </c>
      <c r="R52" s="15">
        <v>546</v>
      </c>
      <c r="S52" s="74">
        <f t="shared" si="33"/>
        <v>8.9177030960571585E-2</v>
      </c>
      <c r="T52" s="74">
        <f t="shared" si="34"/>
        <v>0.23443223443223449</v>
      </c>
      <c r="V52" s="15" t="s">
        <v>136</v>
      </c>
      <c r="W52" s="15">
        <v>35</v>
      </c>
      <c r="X52" s="15">
        <v>34</v>
      </c>
      <c r="Y52" s="74">
        <f t="shared" si="35"/>
        <v>3.9018952062430325E-3</v>
      </c>
      <c r="Z52" s="74">
        <f t="shared" si="36"/>
        <v>2.9411764705882248E-2</v>
      </c>
    </row>
    <row r="53" spans="2:26" ht="15" thickTop="1" thickBot="1" x14ac:dyDescent="0.35">
      <c r="I53" s="77" t="s">
        <v>137</v>
      </c>
      <c r="J53" s="77" t="s">
        <v>6</v>
      </c>
      <c r="K53" s="78" t="s">
        <v>138</v>
      </c>
      <c r="L53" s="79" t="s">
        <v>44</v>
      </c>
      <c r="P53" s="15" t="s">
        <v>139</v>
      </c>
      <c r="Q53" s="15">
        <v>228</v>
      </c>
      <c r="R53" s="15">
        <v>198</v>
      </c>
      <c r="S53" s="74">
        <f t="shared" si="33"/>
        <v>3.0166710770044985E-2</v>
      </c>
      <c r="T53" s="74">
        <f t="shared" si="34"/>
        <v>0.1515151515151516</v>
      </c>
    </row>
    <row r="54" spans="2:26" ht="15" thickTop="1" x14ac:dyDescent="0.3">
      <c r="I54" s="80">
        <v>57</v>
      </c>
      <c r="J54" s="80">
        <v>52.98</v>
      </c>
      <c r="K54" s="81">
        <v>50</v>
      </c>
      <c r="L54" s="112">
        <f ca="1">K56/(-12)</f>
        <v>-4.915</v>
      </c>
      <c r="P54" s="15" t="s">
        <v>140</v>
      </c>
      <c r="Q54" s="61">
        <v>55</v>
      </c>
      <c r="R54" s="61">
        <v>46</v>
      </c>
      <c r="S54" s="74">
        <f t="shared" si="33"/>
        <v>7.2770574225985707E-3</v>
      </c>
      <c r="T54" s="74">
        <f t="shared" si="34"/>
        <v>0.19565217391304346</v>
      </c>
      <c r="V54" s="82" t="s">
        <v>141</v>
      </c>
      <c r="W54" s="82">
        <v>679</v>
      </c>
      <c r="X54" s="82">
        <v>695</v>
      </c>
      <c r="Y54" s="83">
        <f t="shared" ref="Y54:Y55" si="39">W54/$W$55</f>
        <v>7.5696767001114829E-2</v>
      </c>
      <c r="Z54" s="83">
        <f t="shared" ref="Z54:Z55" si="40">(W54/X54)^(1/1)-1</f>
        <v>-2.302158273381294E-2</v>
      </c>
    </row>
    <row r="55" spans="2:26" ht="13.8" x14ac:dyDescent="0.3">
      <c r="I55" s="77" t="s">
        <v>142</v>
      </c>
      <c r="J55" s="77" t="s">
        <v>40</v>
      </c>
      <c r="K55" s="78" t="s">
        <v>143</v>
      </c>
      <c r="L55" s="113"/>
      <c r="P55" s="15" t="s">
        <v>144</v>
      </c>
      <c r="Q55" s="15">
        <v>121</v>
      </c>
      <c r="R55" s="15">
        <v>313</v>
      </c>
      <c r="S55" s="74">
        <f t="shared" si="33"/>
        <v>1.6009526329716858E-2</v>
      </c>
      <c r="T55" s="74">
        <f t="shared" si="34"/>
        <v>-0.61341853035143767</v>
      </c>
      <c r="V55" s="15" t="s">
        <v>21</v>
      </c>
      <c r="W55" s="15">
        <v>8970</v>
      </c>
      <c r="X55" s="15">
        <v>9182</v>
      </c>
      <c r="Y55" s="74">
        <f t="shared" si="39"/>
        <v>1</v>
      </c>
      <c r="Z55" s="74">
        <f t="shared" si="40"/>
        <v>-2.3088651709867181E-2</v>
      </c>
    </row>
    <row r="56" spans="2:26" ht="15" thickBot="1" x14ac:dyDescent="0.35">
      <c r="I56" s="84">
        <f>C4/I54</f>
        <v>49.929824561403507</v>
      </c>
      <c r="J56" s="84">
        <f t="shared" ref="J56:K56" ca="1" si="41">$C$3/J54</f>
        <v>55.662514156285397</v>
      </c>
      <c r="K56" s="85">
        <f t="shared" ca="1" si="41"/>
        <v>58.98</v>
      </c>
      <c r="L56" s="114"/>
      <c r="P56" s="15"/>
      <c r="Q56" s="15"/>
      <c r="R56" s="15"/>
      <c r="S56" s="74"/>
      <c r="T56" s="74"/>
    </row>
    <row r="57" spans="2:26" ht="14.4" thickTop="1" x14ac:dyDescent="0.3">
      <c r="I57" s="12"/>
      <c r="J57" s="12"/>
    </row>
    <row r="58" spans="2:26" ht="13.8" x14ac:dyDescent="0.3">
      <c r="P58" s="86" t="s">
        <v>145</v>
      </c>
      <c r="Q58" s="86">
        <f t="shared" ref="Q58:R58" si="42">SUM(Q49:Q56)</f>
        <v>7558</v>
      </c>
      <c r="R58" s="86">
        <f t="shared" si="42"/>
        <v>7306</v>
      </c>
      <c r="S58" s="87">
        <f>Q58/$Q$58</f>
        <v>1</v>
      </c>
      <c r="T58" s="88">
        <f>(Q58/R58)^(1/1)-1</f>
        <v>3.4492198193265766E-2</v>
      </c>
    </row>
    <row r="92" spans="2:14" ht="13.8" x14ac:dyDescent="0.3">
      <c r="B92" s="115" t="s">
        <v>146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7"/>
    </row>
    <row r="93" spans="2:14" ht="13.8" x14ac:dyDescent="0.3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20"/>
    </row>
    <row r="94" spans="2:14" ht="13.8" x14ac:dyDescent="0.3">
      <c r="B94" s="121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3"/>
    </row>
  </sheetData>
  <mergeCells count="2">
    <mergeCell ref="L54:L56"/>
    <mergeCell ref="B92:N94"/>
  </mergeCells>
  <conditionalFormatting sqref="D12:D36">
    <cfRule type="colorScale" priority="15">
      <colorScale>
        <cfvo type="min"/>
        <cfvo type="max"/>
        <color rgb="FFFFFFFF"/>
        <color rgb="FF57BB8A"/>
      </colorScale>
    </cfRule>
  </conditionalFormatting>
  <conditionalFormatting sqref="D46:F47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37:I43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2:E36">
    <cfRule type="colorScale" priority="16">
      <colorScale>
        <cfvo type="min"/>
        <cfvo type="max"/>
        <color rgb="FFFFFFFF"/>
        <color rgb="FF57BB8A"/>
      </colorScale>
    </cfRule>
  </conditionalFormatting>
  <conditionalFormatting sqref="E3:G4">
    <cfRule type="colorScale" priority="1">
      <colorScale>
        <cfvo type="min"/>
        <cfvo type="max"/>
        <color rgb="FFFFFFFF"/>
        <color rgb="FF57BB8A"/>
      </colorScale>
    </cfRule>
  </conditionalFormatting>
  <conditionalFormatting sqref="F3:G4">
    <cfRule type="colorScale" priority="2">
      <colorScale>
        <cfvo type="min"/>
        <cfvo type="max"/>
        <color rgb="FFFFFFFF"/>
        <color rgb="FF57BB8A"/>
      </colorScale>
    </cfRule>
  </conditionalFormatting>
  <conditionalFormatting sqref="G3:G4">
    <cfRule type="colorScale" priority="3">
      <colorScale>
        <cfvo type="min"/>
        <cfvo type="max"/>
        <color rgb="FFFFFFFF"/>
        <color rgb="FF57BB8A"/>
      </colorScale>
    </cfRule>
  </conditionalFormatting>
  <conditionalFormatting sqref="I54:K54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56:K56">
    <cfRule type="colorScale" priority="2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51:M51">
    <cfRule type="colorScale" priority="14">
      <colorScale>
        <cfvo type="min"/>
        <cfvo type="max"/>
        <color rgb="FFFFFFFF"/>
        <color rgb="FF57BB8A"/>
      </colorScale>
    </cfRule>
  </conditionalFormatting>
  <conditionalFormatting sqref="J3:J4">
    <cfRule type="colorScale" priority="4">
      <colorScale>
        <cfvo type="min"/>
        <cfvo type="max"/>
        <color rgb="FFFFFFFF"/>
        <color rgb="FF57BB8A"/>
      </colorScale>
    </cfRule>
  </conditionalFormatting>
  <conditionalFormatting sqref="J12:K36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37:L43 M39 M42:M43">
    <cfRule type="colorScale" priority="2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46:M46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7:M47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8:M48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3:L4">
    <cfRule type="colorScale" priority="5">
      <colorScale>
        <cfvo type="min"/>
        <cfvo type="max"/>
        <color rgb="FF57BB8A"/>
        <color rgb="FFFFFFFF"/>
      </colorScale>
    </cfRule>
  </conditionalFormatting>
  <conditionalFormatting sqref="M3:M4">
    <cfRule type="colorScale" priority="6">
      <colorScale>
        <cfvo type="min"/>
        <cfvo type="max"/>
        <color rgb="FFFFFFFF"/>
        <color rgb="FF57BB8A"/>
      </colorScale>
    </cfRule>
  </conditionalFormatting>
  <conditionalFormatting sqref="M12:M36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37:M43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3:N4">
    <cfRule type="colorScale" priority="7">
      <colorScale>
        <cfvo type="min"/>
        <cfvo type="max"/>
        <color rgb="FF57BB8A"/>
        <color rgb="FFFFFFFF"/>
      </colorScale>
    </cfRule>
  </conditionalFormatting>
  <conditionalFormatting sqref="O3:O4">
    <cfRule type="colorScale" priority="8">
      <colorScale>
        <cfvo type="min"/>
        <cfvo type="max"/>
        <color rgb="FFFFFFFF"/>
        <color rgb="FF57BB8A"/>
      </colorScale>
    </cfRule>
  </conditionalFormatting>
  <conditionalFormatting sqref="P3:P4">
    <cfRule type="colorScale" priority="9">
      <colorScale>
        <cfvo type="min"/>
        <cfvo type="max"/>
        <color rgb="FF57BB8A"/>
        <color rgb="FFFFFFFF"/>
      </colorScale>
    </cfRule>
  </conditionalFormatting>
  <conditionalFormatting sqref="Q3:Q4">
    <cfRule type="colorScale" priority="10">
      <colorScale>
        <cfvo type="min"/>
        <cfvo type="max"/>
        <color rgb="FF57BB8A"/>
        <color rgb="FFFFFFFF"/>
      </colorScale>
    </cfRule>
  </conditionalFormatting>
  <conditionalFormatting sqref="R3:R4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37:S46 X37:X46 AC37:AC47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49:S55">
    <cfRule type="colorScale" priority="3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49:T55">
    <cfRule type="colorScale" priority="3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37:X46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49:Y52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Z49:Z55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92" r:id="rId1" xr:uid="{CD062E5C-3E00-48BB-942D-15078623C72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6C466-1DD8-4536-8117-E4E6D446517A}">
  <sheetPr>
    <outlinePr summaryBelow="0" summaryRight="0"/>
  </sheetPr>
  <dimension ref="A1:AI1000"/>
  <sheetViews>
    <sheetView workbookViewId="0"/>
  </sheetViews>
  <sheetFormatPr defaultColWidth="12.6640625" defaultRowHeight="15.75" customHeight="1" x14ac:dyDescent="0.3"/>
  <cols>
    <col min="1" max="6" width="12.6640625" customWidth="1"/>
  </cols>
  <sheetData>
    <row r="1" spans="1:35" ht="15.75" customHeight="1" x14ac:dyDescent="0.3">
      <c r="A1" s="89" t="s">
        <v>147</v>
      </c>
      <c r="B1" s="89" t="s">
        <v>148</v>
      </c>
      <c r="C1" s="89" t="s">
        <v>2</v>
      </c>
      <c r="D1" s="89" t="s">
        <v>149</v>
      </c>
      <c r="E1" s="89" t="s">
        <v>150</v>
      </c>
      <c r="F1" s="89" t="s">
        <v>151</v>
      </c>
      <c r="G1" s="89" t="s">
        <v>152</v>
      </c>
      <c r="H1" s="89" t="s">
        <v>153</v>
      </c>
      <c r="I1" s="89" t="s">
        <v>53</v>
      </c>
      <c r="J1" s="89" t="s">
        <v>154</v>
      </c>
      <c r="K1" s="89" t="s">
        <v>155</v>
      </c>
      <c r="L1" s="89" t="s">
        <v>156</v>
      </c>
      <c r="M1" s="89" t="s">
        <v>7</v>
      </c>
      <c r="N1" s="89" t="s">
        <v>157</v>
      </c>
      <c r="O1" s="89" t="s">
        <v>6</v>
      </c>
      <c r="P1" s="89" t="s">
        <v>158</v>
      </c>
      <c r="Q1" s="89" t="s">
        <v>159</v>
      </c>
      <c r="R1" s="89" t="s">
        <v>160</v>
      </c>
      <c r="S1" s="89" t="s">
        <v>161</v>
      </c>
      <c r="T1" s="89" t="s">
        <v>140</v>
      </c>
      <c r="U1" s="89" t="s">
        <v>162</v>
      </c>
      <c r="V1" s="89" t="s">
        <v>163</v>
      </c>
      <c r="W1" s="89" t="s">
        <v>107</v>
      </c>
      <c r="X1" s="89" t="s">
        <v>36</v>
      </c>
      <c r="Y1" s="89" t="s">
        <v>164</v>
      </c>
      <c r="Z1" s="89" t="s">
        <v>165</v>
      </c>
      <c r="AA1" s="89" t="s">
        <v>34</v>
      </c>
      <c r="AB1" s="89" t="s">
        <v>35</v>
      </c>
      <c r="AC1" s="89" t="s">
        <v>37</v>
      </c>
      <c r="AD1" s="89" t="s">
        <v>38</v>
      </c>
      <c r="AE1" s="89" t="s">
        <v>39</v>
      </c>
      <c r="AF1" s="89" t="s">
        <v>40</v>
      </c>
      <c r="AG1" s="89" t="s">
        <v>41</v>
      </c>
      <c r="AH1" s="89" t="s">
        <v>42</v>
      </c>
      <c r="AI1" s="89" t="s">
        <v>43</v>
      </c>
    </row>
    <row r="2" spans="1:35" ht="15.75" customHeight="1" x14ac:dyDescent="0.3">
      <c r="A2" s="11">
        <v>500820</v>
      </c>
      <c r="B2" s="7" t="s">
        <v>22</v>
      </c>
      <c r="C2" s="57">
        <v>2949.55</v>
      </c>
      <c r="D2" s="63">
        <v>282806</v>
      </c>
      <c r="E2" s="90">
        <v>16643</v>
      </c>
      <c r="F2" s="90">
        <v>8372</v>
      </c>
      <c r="G2" s="90">
        <v>27422</v>
      </c>
      <c r="H2" s="90">
        <v>10244</v>
      </c>
      <c r="I2" s="90">
        <v>96</v>
      </c>
      <c r="J2" s="90">
        <v>17178</v>
      </c>
      <c r="K2" s="56">
        <v>1098.0899999999999</v>
      </c>
      <c r="L2" s="90">
        <v>4449</v>
      </c>
      <c r="M2" s="56">
        <v>1</v>
      </c>
      <c r="O2" s="91">
        <v>52</v>
      </c>
      <c r="Q2" s="56">
        <v>14153</v>
      </c>
      <c r="R2" s="56">
        <v>34253</v>
      </c>
      <c r="S2" s="56">
        <v>4195</v>
      </c>
      <c r="T2" s="90">
        <v>97</v>
      </c>
      <c r="U2" s="90">
        <v>14327</v>
      </c>
      <c r="V2" s="92">
        <v>0.19</v>
      </c>
      <c r="W2" s="92">
        <v>0.12</v>
      </c>
      <c r="X2" s="90">
        <v>207</v>
      </c>
      <c r="Y2" s="93">
        <v>2</v>
      </c>
      <c r="Z2" s="90">
        <v>47</v>
      </c>
      <c r="AA2" s="91">
        <v>0.06</v>
      </c>
      <c r="AB2" s="91">
        <v>0.37</v>
      </c>
      <c r="AC2" s="94">
        <v>0.24399999999999999</v>
      </c>
      <c r="AD2" s="93">
        <v>43.7</v>
      </c>
      <c r="AE2" s="94">
        <v>0.153</v>
      </c>
      <c r="AF2" s="93">
        <v>56.7</v>
      </c>
      <c r="AG2" s="94">
        <v>1.7999999999999999E-2</v>
      </c>
      <c r="AH2" s="93">
        <v>179.1</v>
      </c>
      <c r="AI2" s="93">
        <v>16.5</v>
      </c>
    </row>
    <row r="3" spans="1:35" ht="15.75" customHeight="1" x14ac:dyDescent="0.3">
      <c r="A3" s="11">
        <v>509480</v>
      </c>
      <c r="B3" s="7" t="s">
        <v>166</v>
      </c>
      <c r="C3" s="57">
        <v>554.1</v>
      </c>
      <c r="D3" s="63">
        <v>64623</v>
      </c>
      <c r="E3" s="90">
        <v>4999</v>
      </c>
      <c r="F3" s="90">
        <v>3012</v>
      </c>
      <c r="G3" s="90">
        <v>8403</v>
      </c>
      <c r="H3" s="90">
        <v>3552</v>
      </c>
      <c r="I3" s="90">
        <v>117</v>
      </c>
      <c r="J3" s="90">
        <v>4851</v>
      </c>
      <c r="K3" s="56">
        <v>693.49</v>
      </c>
      <c r="L3" s="90">
        <v>1667</v>
      </c>
      <c r="M3" s="56">
        <v>1</v>
      </c>
      <c r="O3" s="91">
        <v>8.35</v>
      </c>
      <c r="Q3" s="56">
        <v>5147</v>
      </c>
      <c r="R3" s="56">
        <v>10567</v>
      </c>
      <c r="S3" s="56">
        <v>860</v>
      </c>
      <c r="T3" s="90">
        <v>41</v>
      </c>
      <c r="U3" s="90">
        <v>4968</v>
      </c>
      <c r="V3" s="92">
        <v>0.15</v>
      </c>
      <c r="W3" s="92">
        <v>0.08</v>
      </c>
      <c r="X3" s="90">
        <v>138</v>
      </c>
      <c r="Y3" s="93">
        <v>1.7</v>
      </c>
      <c r="Z3" s="90">
        <v>58</v>
      </c>
      <c r="AA3" s="91">
        <v>0.14000000000000001</v>
      </c>
      <c r="AB3" s="91">
        <v>0.42</v>
      </c>
      <c r="AC3" s="94">
        <v>0.17699999999999999</v>
      </c>
      <c r="AD3" s="93">
        <v>7.4</v>
      </c>
      <c r="AE3" s="94">
        <v>0.10199999999999999</v>
      </c>
      <c r="AF3" s="93">
        <v>66.400000000000006</v>
      </c>
      <c r="AG3" s="94">
        <v>1.4999999999999999E-2</v>
      </c>
      <c r="AH3" s="93">
        <v>41.6</v>
      </c>
      <c r="AI3" s="93">
        <v>13.3</v>
      </c>
    </row>
    <row r="4" spans="1:35" ht="15.75" customHeight="1" x14ac:dyDescent="0.3">
      <c r="A4" s="11">
        <v>500165</v>
      </c>
      <c r="B4" s="7" t="s">
        <v>167</v>
      </c>
      <c r="C4" s="57">
        <v>332.45</v>
      </c>
      <c r="D4" s="63">
        <v>26851</v>
      </c>
      <c r="E4" s="90">
        <v>4514</v>
      </c>
      <c r="F4" s="90">
        <v>1517</v>
      </c>
      <c r="G4" s="90">
        <v>7120</v>
      </c>
      <c r="H4" s="90">
        <v>1786</v>
      </c>
      <c r="I4" s="90">
        <v>81</v>
      </c>
      <c r="J4" s="90">
        <v>5334</v>
      </c>
      <c r="K4" s="56">
        <v>167.09</v>
      </c>
      <c r="L4" s="90">
        <v>1606</v>
      </c>
      <c r="M4" s="56">
        <v>1</v>
      </c>
      <c r="O4" s="91">
        <v>13.98</v>
      </c>
      <c r="Q4" s="56">
        <v>4808</v>
      </c>
      <c r="R4" s="56">
        <v>7542</v>
      </c>
      <c r="S4" s="56">
        <v>468</v>
      </c>
      <c r="T4" s="90">
        <v>15</v>
      </c>
      <c r="U4" s="90">
        <v>3617</v>
      </c>
      <c r="V4" s="92">
        <v>0.09</v>
      </c>
      <c r="W4" s="92">
        <v>0.06</v>
      </c>
      <c r="X4" s="90">
        <v>268</v>
      </c>
      <c r="Y4" s="93">
        <v>3</v>
      </c>
      <c r="Z4" s="90">
        <v>78</v>
      </c>
      <c r="AA4" s="91">
        <v>0.03</v>
      </c>
      <c r="AB4" s="91">
        <v>0.25</v>
      </c>
      <c r="AC4" s="94">
        <v>8.7999999999999995E-2</v>
      </c>
      <c r="AD4" s="93">
        <v>5.8</v>
      </c>
      <c r="AE4" s="94">
        <v>6.6000000000000003E-2</v>
      </c>
      <c r="AF4" s="93">
        <v>23.8</v>
      </c>
      <c r="AG4" s="94">
        <v>4.2000000000000003E-2</v>
      </c>
      <c r="AH4" s="93">
        <v>66</v>
      </c>
      <c r="AI4" s="93">
        <v>5</v>
      </c>
    </row>
    <row r="5" spans="1:35" ht="15.75" customHeight="1" x14ac:dyDescent="0.3">
      <c r="A5" s="11">
        <v>500710</v>
      </c>
      <c r="B5" s="7" t="s">
        <v>168</v>
      </c>
      <c r="C5" s="57">
        <v>2603</v>
      </c>
      <c r="D5" s="63">
        <v>11817</v>
      </c>
      <c r="E5" s="90">
        <v>1951</v>
      </c>
      <c r="F5" s="90">
        <v>1369</v>
      </c>
      <c r="G5" s="90">
        <v>2856</v>
      </c>
      <c r="H5" s="90">
        <v>1518</v>
      </c>
      <c r="I5" s="90">
        <v>45</v>
      </c>
      <c r="J5" s="90">
        <v>1338</v>
      </c>
      <c r="K5" s="56">
        <v>0</v>
      </c>
      <c r="L5" s="90">
        <v>565</v>
      </c>
      <c r="M5" s="56">
        <v>10</v>
      </c>
      <c r="O5" s="91">
        <v>87.16</v>
      </c>
      <c r="Q5" s="56">
        <v>3041</v>
      </c>
      <c r="R5" s="56">
        <v>3802</v>
      </c>
      <c r="S5" s="56">
        <v>335</v>
      </c>
      <c r="T5" s="90">
        <v>6</v>
      </c>
      <c r="U5" s="90">
        <v>1698</v>
      </c>
      <c r="V5" s="92">
        <v>0.05</v>
      </c>
      <c r="W5" s="92">
        <v>0.09</v>
      </c>
      <c r="X5" s="90">
        <v>352</v>
      </c>
      <c r="Y5" s="93">
        <v>1.4</v>
      </c>
      <c r="Z5" s="90">
        <v>54</v>
      </c>
      <c r="AA5" s="91">
        <v>0</v>
      </c>
      <c r="AB5" s="91">
        <v>0.53</v>
      </c>
      <c r="AC5" s="94">
        <v>0.25</v>
      </c>
      <c r="AD5" s="93">
        <v>7.4</v>
      </c>
      <c r="AE5" s="94">
        <v>0.11700000000000001</v>
      </c>
      <c r="AF5" s="93">
        <v>29.9</v>
      </c>
      <c r="AG5" s="94">
        <v>3.3000000000000002E-2</v>
      </c>
      <c r="AH5" s="93">
        <v>297.3</v>
      </c>
      <c r="AI5" s="93">
        <v>8.8000000000000007</v>
      </c>
    </row>
    <row r="6" spans="1:35" ht="15.75" customHeight="1" x14ac:dyDescent="0.3">
      <c r="A6" s="11">
        <v>543258</v>
      </c>
      <c r="B6" s="7" t="s">
        <v>169</v>
      </c>
      <c r="C6" s="57">
        <v>1454.95</v>
      </c>
      <c r="D6" s="63">
        <v>6943</v>
      </c>
      <c r="E6" s="90">
        <v>533</v>
      </c>
      <c r="F6" s="90">
        <v>281</v>
      </c>
      <c r="G6" s="90">
        <v>1164</v>
      </c>
      <c r="H6" s="90">
        <v>345</v>
      </c>
      <c r="I6" s="90">
        <v>47</v>
      </c>
      <c r="J6" s="90">
        <v>818</v>
      </c>
      <c r="K6" s="56">
        <v>2</v>
      </c>
      <c r="L6" s="90">
        <v>182</v>
      </c>
      <c r="M6" s="56">
        <v>10</v>
      </c>
      <c r="O6" s="91">
        <v>27.8</v>
      </c>
      <c r="Q6" s="56">
        <v>403</v>
      </c>
      <c r="R6" s="56">
        <v>1073</v>
      </c>
      <c r="S6" s="56">
        <v>131</v>
      </c>
      <c r="T6" s="90">
        <v>1</v>
      </c>
      <c r="U6" s="90">
        <v>498</v>
      </c>
      <c r="V6" s="92">
        <v>0.22</v>
      </c>
      <c r="W6" s="92">
        <v>0.12</v>
      </c>
      <c r="X6" s="90">
        <v>576</v>
      </c>
      <c r="Y6" s="93">
        <v>1.9</v>
      </c>
      <c r="Z6" s="90">
        <v>62</v>
      </c>
      <c r="AA6" s="91">
        <v>0</v>
      </c>
      <c r="AB6" s="91">
        <v>0.3</v>
      </c>
      <c r="AC6" s="94">
        <v>0.16</v>
      </c>
      <c r="AD6" s="93">
        <v>2.8</v>
      </c>
      <c r="AE6" s="94">
        <v>0.113</v>
      </c>
      <c r="AF6" s="93">
        <v>52.3</v>
      </c>
      <c r="AG6" s="94">
        <v>1.9E-2</v>
      </c>
      <c r="AH6" s="93">
        <v>174</v>
      </c>
      <c r="AI6" s="93">
        <v>8.4</v>
      </c>
    </row>
    <row r="7" spans="1:35" ht="15.75" customHeight="1" x14ac:dyDescent="0.3">
      <c r="A7" s="11">
        <v>543686</v>
      </c>
      <c r="B7" s="7" t="s">
        <v>170</v>
      </c>
      <c r="C7" s="57">
        <v>385.95</v>
      </c>
      <c r="D7" s="63">
        <v>2117</v>
      </c>
      <c r="E7" s="90">
        <v>261</v>
      </c>
      <c r="F7" s="90">
        <v>39</v>
      </c>
      <c r="G7" s="90">
        <v>325</v>
      </c>
      <c r="H7" s="90">
        <v>40</v>
      </c>
      <c r="I7" s="90">
        <v>54</v>
      </c>
      <c r="J7" s="90">
        <v>285</v>
      </c>
      <c r="K7" s="56">
        <v>0</v>
      </c>
      <c r="L7" s="90">
        <v>54</v>
      </c>
      <c r="M7" s="56">
        <v>10</v>
      </c>
      <c r="O7" s="91">
        <v>8.84</v>
      </c>
      <c r="Q7" s="56" t="s">
        <v>171</v>
      </c>
      <c r="R7" s="56">
        <v>267</v>
      </c>
      <c r="S7" s="56">
        <v>46</v>
      </c>
      <c r="T7" s="90" t="s">
        <v>171</v>
      </c>
      <c r="U7" s="90">
        <v>120</v>
      </c>
      <c r="V7" s="56" t="e">
        <v>#VALUE!</v>
      </c>
      <c r="W7" s="92">
        <v>0.17</v>
      </c>
      <c r="X7" s="90"/>
      <c r="Y7" s="93">
        <v>6.7</v>
      </c>
      <c r="Z7" s="90">
        <v>74</v>
      </c>
      <c r="AA7" s="91">
        <v>0</v>
      </c>
      <c r="AB7" s="91">
        <v>0.12</v>
      </c>
      <c r="AC7" s="94">
        <v>0.161</v>
      </c>
      <c r="AD7" s="93">
        <v>0.9</v>
      </c>
      <c r="AE7" s="94">
        <v>0.14199999999999999</v>
      </c>
      <c r="AF7" s="93">
        <v>43.7</v>
      </c>
      <c r="AG7" s="94">
        <v>2.3E-2</v>
      </c>
      <c r="AH7" s="93">
        <v>52.8</v>
      </c>
      <c r="AI7" s="93">
        <v>7.3</v>
      </c>
    </row>
    <row r="8" spans="1:35" ht="15.75" customHeight="1" x14ac:dyDescent="0.3">
      <c r="A8" s="11">
        <v>509874</v>
      </c>
      <c r="B8" s="7" t="s">
        <v>172</v>
      </c>
      <c r="C8" s="57">
        <v>202.9</v>
      </c>
      <c r="D8" s="63">
        <v>1694</v>
      </c>
      <c r="E8" s="90">
        <v>282</v>
      </c>
      <c r="F8" s="90">
        <v>235</v>
      </c>
      <c r="G8" s="90">
        <v>571</v>
      </c>
      <c r="H8" s="90">
        <v>253</v>
      </c>
      <c r="I8" s="90">
        <v>14</v>
      </c>
      <c r="J8" s="90">
        <v>317</v>
      </c>
      <c r="K8" s="56">
        <v>127</v>
      </c>
      <c r="L8" s="90">
        <v>98</v>
      </c>
      <c r="M8" s="56">
        <v>2</v>
      </c>
      <c r="O8" s="91">
        <v>-6.18</v>
      </c>
      <c r="Q8" s="56">
        <v>277</v>
      </c>
      <c r="R8" s="56">
        <v>485</v>
      </c>
      <c r="S8" s="56">
        <v>-36</v>
      </c>
      <c r="T8" s="90">
        <v>8</v>
      </c>
      <c r="U8" s="90">
        <v>284</v>
      </c>
      <c r="V8" s="92">
        <v>0.12</v>
      </c>
      <c r="W8" s="92">
        <v>-7.0000000000000007E-2</v>
      </c>
      <c r="X8" s="90">
        <v>26</v>
      </c>
      <c r="Y8" s="93">
        <v>1.2</v>
      </c>
      <c r="Z8" s="90">
        <v>74</v>
      </c>
      <c r="AA8" s="91">
        <v>0.4</v>
      </c>
      <c r="AB8" s="91">
        <v>0.44</v>
      </c>
      <c r="AC8" s="94">
        <v>-0.114</v>
      </c>
      <c r="AD8" s="93">
        <v>-2.6</v>
      </c>
      <c r="AE8" s="94">
        <v>-6.3E-2</v>
      </c>
      <c r="AF8" s="93">
        <v>-32.799999999999997</v>
      </c>
      <c r="AG8" s="94">
        <v>-0.03</v>
      </c>
      <c r="AH8" s="93">
        <v>45.3</v>
      </c>
      <c r="AI8" s="93">
        <v>4.5</v>
      </c>
    </row>
    <row r="9" spans="1:35" ht="15.75" customHeight="1" x14ac:dyDescent="0.3">
      <c r="A9" s="11">
        <v>543747</v>
      </c>
      <c r="B9" s="7" t="s">
        <v>173</v>
      </c>
      <c r="C9" s="57">
        <v>224.9</v>
      </c>
      <c r="D9" s="63">
        <v>1415</v>
      </c>
      <c r="E9" s="90">
        <v>196</v>
      </c>
      <c r="F9" s="90">
        <v>80</v>
      </c>
      <c r="G9" s="90">
        <v>242</v>
      </c>
      <c r="H9" s="90">
        <v>90</v>
      </c>
      <c r="I9" s="90">
        <v>31</v>
      </c>
      <c r="J9" s="90">
        <v>151</v>
      </c>
      <c r="K9" s="56">
        <v>17</v>
      </c>
      <c r="L9" s="90">
        <v>116</v>
      </c>
      <c r="M9" s="56">
        <v>5</v>
      </c>
      <c r="O9" s="91">
        <v>-0.11</v>
      </c>
      <c r="Q9" s="56" t="s">
        <v>171</v>
      </c>
      <c r="R9" s="56">
        <v>259</v>
      </c>
      <c r="S9" s="56">
        <v>-11</v>
      </c>
      <c r="T9" s="90">
        <v>2</v>
      </c>
      <c r="U9" s="90">
        <v>122</v>
      </c>
      <c r="V9" s="56" t="e">
        <v>#VALUE!</v>
      </c>
      <c r="W9" s="92">
        <v>-0.04</v>
      </c>
      <c r="X9" s="90">
        <v>70</v>
      </c>
      <c r="Y9" s="93">
        <v>2.5</v>
      </c>
      <c r="Z9" s="90">
        <v>163</v>
      </c>
      <c r="AA9" s="91">
        <v>0.11</v>
      </c>
      <c r="AB9" s="91">
        <v>0.37</v>
      </c>
      <c r="AC9" s="94">
        <v>-7.2999999999999995E-2</v>
      </c>
      <c r="AD9" s="93">
        <v>-0.4</v>
      </c>
      <c r="AE9" s="94">
        <v>-4.4999999999999998E-2</v>
      </c>
      <c r="AF9" s="93">
        <v>-2044.5</v>
      </c>
      <c r="AG9" s="94">
        <v>0</v>
      </c>
      <c r="AH9" s="93">
        <v>24.4</v>
      </c>
      <c r="AI9" s="93">
        <v>9.1999999999999993</v>
      </c>
    </row>
    <row r="10" spans="1:35" ht="15.75" customHeight="1" x14ac:dyDescent="0.3">
      <c r="A10" s="11"/>
      <c r="B10" s="7"/>
      <c r="C10" s="57"/>
      <c r="D10" s="63"/>
      <c r="E10" s="90"/>
      <c r="O10" s="91"/>
    </row>
    <row r="11" spans="1:35" ht="13.8" x14ac:dyDescent="0.3">
      <c r="A11" s="57" t="s">
        <v>174</v>
      </c>
      <c r="B11" s="57" t="s">
        <v>21</v>
      </c>
      <c r="C11" s="57"/>
      <c r="D11" s="63">
        <f t="shared" ref="D11:L11" si="0">SUM(D2:D9)</f>
        <v>398266</v>
      </c>
      <c r="E11" s="63">
        <f t="shared" si="0"/>
        <v>29379</v>
      </c>
      <c r="F11" s="63">
        <f t="shared" si="0"/>
        <v>14905</v>
      </c>
      <c r="G11" s="63">
        <f t="shared" si="0"/>
        <v>48103</v>
      </c>
      <c r="H11" s="63">
        <f t="shared" si="0"/>
        <v>17828</v>
      </c>
      <c r="I11" s="63">
        <f t="shared" si="0"/>
        <v>485</v>
      </c>
      <c r="J11" s="63">
        <f t="shared" si="0"/>
        <v>30272</v>
      </c>
      <c r="K11" s="57">
        <f t="shared" si="0"/>
        <v>2104.67</v>
      </c>
      <c r="L11" s="63">
        <f t="shared" si="0"/>
        <v>8737</v>
      </c>
      <c r="M11" s="57">
        <f>MEDIAN(M2:M9)</f>
        <v>3.5</v>
      </c>
      <c r="O11" s="95">
        <f>SUM(O2:O9)</f>
        <v>191.84</v>
      </c>
      <c r="Q11" s="57">
        <f t="shared" ref="Q11:U11" si="1">SUM(Q2:Q9)</f>
        <v>27829</v>
      </c>
      <c r="R11" s="57">
        <f t="shared" si="1"/>
        <v>58248</v>
      </c>
      <c r="S11" s="57">
        <f t="shared" si="1"/>
        <v>5988</v>
      </c>
      <c r="T11" s="63">
        <f t="shared" si="1"/>
        <v>170</v>
      </c>
      <c r="U11" s="63">
        <f t="shared" si="1"/>
        <v>25634</v>
      </c>
      <c r="V11" s="92">
        <f>(R11/Q11)^(1/5)-1</f>
        <v>0.15919549176996273</v>
      </c>
      <c r="W11" s="96">
        <f t="shared" ref="W11:AG11" si="2">MEDIAN(W2:W9)</f>
        <v>8.4999999999999992E-2</v>
      </c>
      <c r="X11" s="63">
        <f t="shared" si="2"/>
        <v>207</v>
      </c>
      <c r="Y11" s="97">
        <f t="shared" si="2"/>
        <v>1.95</v>
      </c>
      <c r="Z11" s="63">
        <f t="shared" si="2"/>
        <v>68</v>
      </c>
      <c r="AA11" s="95">
        <f t="shared" si="2"/>
        <v>4.4999999999999998E-2</v>
      </c>
      <c r="AB11" s="95">
        <f t="shared" si="2"/>
        <v>0.37</v>
      </c>
      <c r="AC11" s="64">
        <f t="shared" si="2"/>
        <v>0.1605</v>
      </c>
      <c r="AD11" s="97">
        <f t="shared" si="2"/>
        <v>4.3</v>
      </c>
      <c r="AE11" s="64">
        <f t="shared" si="2"/>
        <v>0.1075</v>
      </c>
      <c r="AF11" s="97">
        <f t="shared" si="2"/>
        <v>36.799999999999997</v>
      </c>
      <c r="AG11" s="64">
        <f t="shared" si="2"/>
        <v>1.8499999999999999E-2</v>
      </c>
      <c r="AH11" s="97">
        <f>SUM(AH2:AH9)</f>
        <v>880.49999999999989</v>
      </c>
      <c r="AI11" s="97">
        <f>MEDIAN(AI2:AI9)</f>
        <v>8.6000000000000014</v>
      </c>
    </row>
    <row r="12" spans="1:35" ht="13.8" x14ac:dyDescent="0.3">
      <c r="O12" s="91"/>
    </row>
    <row r="13" spans="1:35" ht="13.8" x14ac:dyDescent="0.3">
      <c r="O13" s="91"/>
    </row>
    <row r="14" spans="1:35" ht="13.8" x14ac:dyDescent="0.3">
      <c r="H14" s="56" t="s">
        <v>175</v>
      </c>
      <c r="L14" s="56" t="s">
        <v>175</v>
      </c>
      <c r="O14" s="91"/>
    </row>
    <row r="15" spans="1:35" ht="13.8" x14ac:dyDescent="0.3">
      <c r="A15" s="89" t="s">
        <v>174</v>
      </c>
      <c r="H15" s="89" t="s">
        <v>176</v>
      </c>
      <c r="I15" s="89" t="s">
        <v>177</v>
      </c>
      <c r="J15" s="89" t="s">
        <v>24</v>
      </c>
      <c r="L15" s="89" t="s">
        <v>176</v>
      </c>
      <c r="M15" s="89" t="s">
        <v>177</v>
      </c>
      <c r="N15" s="89" t="s">
        <v>24</v>
      </c>
      <c r="O15" s="91"/>
    </row>
    <row r="16" spans="1:35" ht="13.8" x14ac:dyDescent="0.3">
      <c r="H16" s="56" t="s">
        <v>178</v>
      </c>
      <c r="I16" s="56">
        <f>8.78*80*100</f>
        <v>70240</v>
      </c>
      <c r="L16" s="56" t="s">
        <v>179</v>
      </c>
      <c r="M16" s="92">
        <v>0.67</v>
      </c>
      <c r="N16" s="92">
        <v>0.13</v>
      </c>
      <c r="O16" s="91"/>
    </row>
    <row r="17" spans="1:15" ht="13.8" x14ac:dyDescent="0.3">
      <c r="H17" s="56" t="s">
        <v>180</v>
      </c>
      <c r="I17" s="56">
        <f>13.75*80*100</f>
        <v>110000</v>
      </c>
      <c r="J17" s="94">
        <f>(I17/I16)^(1/5)-1</f>
        <v>9.3859735539490119E-2</v>
      </c>
      <c r="L17" s="56" t="s">
        <v>181</v>
      </c>
      <c r="M17" s="92">
        <v>0.33</v>
      </c>
      <c r="N17" s="94"/>
      <c r="O17" s="91"/>
    </row>
    <row r="18" spans="1:15" ht="13.8" x14ac:dyDescent="0.3">
      <c r="O18" s="91"/>
    </row>
    <row r="19" spans="1:15" ht="13.8" x14ac:dyDescent="0.3">
      <c r="O19" s="91"/>
    </row>
    <row r="20" spans="1:15" ht="13.8" x14ac:dyDescent="0.3">
      <c r="O20" s="91"/>
    </row>
    <row r="21" spans="1:15" ht="13.8" x14ac:dyDescent="0.3">
      <c r="O21" s="91"/>
    </row>
    <row r="22" spans="1:15" ht="13.8" x14ac:dyDescent="0.3">
      <c r="O22" s="91"/>
    </row>
    <row r="23" spans="1:15" ht="13.8" x14ac:dyDescent="0.3">
      <c r="O23" s="91"/>
    </row>
    <row r="24" spans="1:15" ht="13.8" x14ac:dyDescent="0.3">
      <c r="O24" s="91"/>
    </row>
    <row r="25" spans="1:15" ht="13.8" x14ac:dyDescent="0.3">
      <c r="O25" s="91"/>
    </row>
    <row r="26" spans="1:15" ht="13.8" x14ac:dyDescent="0.3">
      <c r="O26" s="91"/>
    </row>
    <row r="27" spans="1:15" ht="13.8" x14ac:dyDescent="0.3">
      <c r="O27" s="91"/>
    </row>
    <row r="28" spans="1:15" ht="13.8" x14ac:dyDescent="0.3">
      <c r="O28" s="91"/>
    </row>
    <row r="29" spans="1:15" ht="13.8" x14ac:dyDescent="0.3">
      <c r="O29" s="91"/>
    </row>
    <row r="30" spans="1:15" ht="13.8" x14ac:dyDescent="0.3">
      <c r="A30" s="89" t="s">
        <v>182</v>
      </c>
      <c r="O30" s="91"/>
    </row>
    <row r="31" spans="1:15" ht="13.8" x14ac:dyDescent="0.3">
      <c r="O31" s="91"/>
    </row>
    <row r="32" spans="1:15" ht="13.8" x14ac:dyDescent="0.3">
      <c r="B32" s="56" t="s">
        <v>183</v>
      </c>
      <c r="O32" s="91"/>
    </row>
    <row r="33" spans="2:20" ht="13.8" x14ac:dyDescent="0.3">
      <c r="B33" s="89" t="s">
        <v>184</v>
      </c>
      <c r="C33" s="89" t="s">
        <v>177</v>
      </c>
      <c r="G33" s="98" t="s">
        <v>185</v>
      </c>
      <c r="H33" s="98" t="s">
        <v>186</v>
      </c>
      <c r="K33" s="98" t="s">
        <v>185</v>
      </c>
      <c r="L33" s="98" t="s">
        <v>187</v>
      </c>
      <c r="O33" s="98" t="s">
        <v>185</v>
      </c>
      <c r="P33" s="98" t="s">
        <v>149</v>
      </c>
      <c r="S33" s="98" t="s">
        <v>185</v>
      </c>
      <c r="T33" s="98" t="s">
        <v>188</v>
      </c>
    </row>
    <row r="34" spans="2:20" ht="14.4" x14ac:dyDescent="0.3">
      <c r="B34" s="56" t="s">
        <v>189</v>
      </c>
      <c r="C34" s="92">
        <v>0.42</v>
      </c>
      <c r="G34" s="99" t="s">
        <v>22</v>
      </c>
      <c r="H34" s="100">
        <v>34253</v>
      </c>
      <c r="K34" s="99" t="s">
        <v>22</v>
      </c>
      <c r="L34" s="100">
        <v>4195</v>
      </c>
      <c r="O34" s="99" t="s">
        <v>22</v>
      </c>
      <c r="P34" s="101">
        <v>282805.83772710001</v>
      </c>
      <c r="S34" s="99" t="s">
        <v>22</v>
      </c>
      <c r="T34" s="58">
        <v>0.19335600154514365</v>
      </c>
    </row>
    <row r="35" spans="2:20" ht="14.4" x14ac:dyDescent="0.3">
      <c r="B35" s="56" t="s">
        <v>190</v>
      </c>
      <c r="C35" s="92">
        <v>0.12</v>
      </c>
      <c r="G35" s="99" t="s">
        <v>166</v>
      </c>
      <c r="H35" s="100">
        <v>10567</v>
      </c>
      <c r="K35" s="99" t="s">
        <v>166</v>
      </c>
      <c r="L35" s="100">
        <v>860</v>
      </c>
      <c r="O35" s="99" t="s">
        <v>166</v>
      </c>
      <c r="P35" s="101">
        <v>64622.574572600002</v>
      </c>
      <c r="S35" s="99" t="s">
        <v>166</v>
      </c>
      <c r="T35" s="58">
        <v>0.15472749763957938</v>
      </c>
    </row>
    <row r="36" spans="2:20" ht="14.4" x14ac:dyDescent="0.3">
      <c r="B36" s="56" t="s">
        <v>191</v>
      </c>
      <c r="C36" s="92">
        <v>7.0000000000000007E-2</v>
      </c>
      <c r="G36" s="99" t="s">
        <v>167</v>
      </c>
      <c r="H36" s="100">
        <v>7542</v>
      </c>
      <c r="K36" s="99" t="s">
        <v>167</v>
      </c>
      <c r="L36" s="100">
        <v>468</v>
      </c>
      <c r="O36" s="99" t="s">
        <v>167</v>
      </c>
      <c r="P36" s="101">
        <v>26850.897049899999</v>
      </c>
      <c r="S36" s="99" t="s">
        <v>167</v>
      </c>
      <c r="T36" s="58">
        <v>9.4219408733998256E-2</v>
      </c>
    </row>
    <row r="37" spans="2:20" ht="14.4" x14ac:dyDescent="0.3">
      <c r="B37" s="56" t="s">
        <v>192</v>
      </c>
      <c r="C37" s="92">
        <v>0.05</v>
      </c>
      <c r="G37" s="99" t="s">
        <v>168</v>
      </c>
      <c r="H37" s="100">
        <v>3802</v>
      </c>
      <c r="K37" s="99" t="s">
        <v>168</v>
      </c>
      <c r="L37" s="100">
        <v>335</v>
      </c>
      <c r="O37" s="99" t="s">
        <v>168</v>
      </c>
      <c r="P37" s="101">
        <v>11816.57</v>
      </c>
      <c r="S37" s="99" t="s">
        <v>168</v>
      </c>
      <c r="T37" s="58">
        <v>4.5680811007807742E-2</v>
      </c>
    </row>
    <row r="38" spans="2:20" ht="14.4" x14ac:dyDescent="0.3">
      <c r="B38" s="56" t="s">
        <v>193</v>
      </c>
      <c r="C38" s="92">
        <v>0.02</v>
      </c>
      <c r="G38" s="99" t="s">
        <v>169</v>
      </c>
      <c r="H38" s="100">
        <v>1073</v>
      </c>
      <c r="K38" s="99" t="s">
        <v>169</v>
      </c>
      <c r="L38" s="100">
        <v>131</v>
      </c>
      <c r="O38" s="99" t="s">
        <v>169</v>
      </c>
      <c r="P38" s="101">
        <v>6943.138884</v>
      </c>
      <c r="S38" s="99" t="s">
        <v>169</v>
      </c>
      <c r="T38" s="58">
        <v>0.21635105221650752</v>
      </c>
    </row>
    <row r="39" spans="2:20" ht="14.4" x14ac:dyDescent="0.3">
      <c r="B39" s="56" t="s">
        <v>194</v>
      </c>
      <c r="C39" s="92">
        <v>0.33</v>
      </c>
      <c r="G39" s="99" t="s">
        <v>170</v>
      </c>
      <c r="H39" s="100">
        <v>267</v>
      </c>
      <c r="K39" s="99" t="s">
        <v>170</v>
      </c>
      <c r="L39" s="100">
        <v>46</v>
      </c>
      <c r="O39" s="99" t="s">
        <v>170</v>
      </c>
      <c r="P39" s="101">
        <v>2117.2449628999998</v>
      </c>
      <c r="S39" s="99" t="s">
        <v>170</v>
      </c>
      <c r="T39" s="58" t="e">
        <v>#VALUE!</v>
      </c>
    </row>
    <row r="40" spans="2:20" ht="14.4" x14ac:dyDescent="0.3">
      <c r="G40" s="99" t="s">
        <v>172</v>
      </c>
      <c r="H40" s="100">
        <v>485</v>
      </c>
      <c r="K40" s="99" t="s">
        <v>172</v>
      </c>
      <c r="L40" s="100">
        <v>-36</v>
      </c>
      <c r="O40" s="99" t="s">
        <v>172</v>
      </c>
      <c r="P40" s="101">
        <v>1693.896</v>
      </c>
      <c r="S40" s="99" t="s">
        <v>172</v>
      </c>
      <c r="T40" s="58">
        <v>0.11854225213774883</v>
      </c>
    </row>
    <row r="41" spans="2:20" ht="14.4" x14ac:dyDescent="0.3">
      <c r="G41" s="99" t="s">
        <v>173</v>
      </c>
      <c r="H41" s="100">
        <v>259</v>
      </c>
      <c r="K41" s="99" t="s">
        <v>173</v>
      </c>
      <c r="L41" s="100">
        <v>-11</v>
      </c>
      <c r="O41" s="99" t="s">
        <v>173</v>
      </c>
      <c r="P41" s="101">
        <v>1415.1917576999999</v>
      </c>
      <c r="S41" s="99" t="s">
        <v>173</v>
      </c>
      <c r="T41" s="58" t="e">
        <v>#VALUE!</v>
      </c>
    </row>
    <row r="42" spans="2:20" ht="13.8" x14ac:dyDescent="0.3">
      <c r="P42" s="90"/>
    </row>
    <row r="43" spans="2:20" ht="13.8" x14ac:dyDescent="0.3">
      <c r="G43" s="102" t="s">
        <v>21</v>
      </c>
      <c r="H43" s="102">
        <f>SUM(H34:H41)</f>
        <v>58248</v>
      </c>
      <c r="K43" s="102" t="s">
        <v>21</v>
      </c>
      <c r="L43" s="102">
        <v>5988</v>
      </c>
      <c r="O43" s="102" t="s">
        <v>21</v>
      </c>
      <c r="P43" s="103">
        <v>398265.35095420002</v>
      </c>
      <c r="S43" s="102" t="s">
        <v>21</v>
      </c>
      <c r="T43" s="104">
        <v>0.15919549176996273</v>
      </c>
    </row>
    <row r="44" spans="2:20" ht="13.8" x14ac:dyDescent="0.3">
      <c r="O44" s="91"/>
    </row>
    <row r="45" spans="2:20" ht="13.8" x14ac:dyDescent="0.3">
      <c r="O45" s="91"/>
    </row>
    <row r="46" spans="2:20" ht="13.8" x14ac:dyDescent="0.3">
      <c r="O46" s="91"/>
    </row>
    <row r="47" spans="2:20" ht="13.8" x14ac:dyDescent="0.3">
      <c r="O47" s="91"/>
    </row>
    <row r="48" spans="2:20" ht="13.8" x14ac:dyDescent="0.3">
      <c r="O48" s="91"/>
    </row>
    <row r="49" spans="1:15" ht="13.8" x14ac:dyDescent="0.3">
      <c r="O49" s="91"/>
    </row>
    <row r="50" spans="1:15" ht="13.8" x14ac:dyDescent="0.3">
      <c r="O50" s="91"/>
    </row>
    <row r="51" spans="1:15" ht="13.8" x14ac:dyDescent="0.3">
      <c r="O51" s="91"/>
    </row>
    <row r="52" spans="1:15" ht="13.8" x14ac:dyDescent="0.3">
      <c r="O52" s="91"/>
    </row>
    <row r="53" spans="1:15" ht="13.8" x14ac:dyDescent="0.3">
      <c r="O53" s="91"/>
    </row>
    <row r="54" spans="1:15" ht="13.8" x14ac:dyDescent="0.3">
      <c r="O54" s="91"/>
    </row>
    <row r="55" spans="1:15" ht="13.8" x14ac:dyDescent="0.3">
      <c r="O55" s="91"/>
    </row>
    <row r="56" spans="1:15" ht="13.8" x14ac:dyDescent="0.3">
      <c r="O56" s="91"/>
    </row>
    <row r="57" spans="1:15" ht="13.8" x14ac:dyDescent="0.3">
      <c r="O57" s="91"/>
    </row>
    <row r="58" spans="1:15" ht="13.8" x14ac:dyDescent="0.3">
      <c r="O58" s="91"/>
    </row>
    <row r="59" spans="1:15" ht="13.8" x14ac:dyDescent="0.3">
      <c r="A59" s="89" t="s">
        <v>25</v>
      </c>
      <c r="O59" s="91"/>
    </row>
    <row r="60" spans="1:15" ht="13.8" x14ac:dyDescent="0.3">
      <c r="O60" s="91"/>
    </row>
    <row r="61" spans="1:15" ht="13.8" x14ac:dyDescent="0.3">
      <c r="B61" s="98" t="s">
        <v>148</v>
      </c>
      <c r="C61" s="98" t="s">
        <v>107</v>
      </c>
      <c r="F61" s="98" t="s">
        <v>148</v>
      </c>
      <c r="G61" s="98" t="s">
        <v>164</v>
      </c>
      <c r="J61" s="98" t="s">
        <v>148</v>
      </c>
      <c r="K61" s="98" t="s">
        <v>165</v>
      </c>
      <c r="O61" s="91"/>
    </row>
    <row r="62" spans="1:15" ht="13.8" x14ac:dyDescent="0.3">
      <c r="B62" s="57" t="s">
        <v>22</v>
      </c>
      <c r="C62" s="96">
        <v>0.12247102443581584</v>
      </c>
      <c r="F62" s="57" t="s">
        <v>22</v>
      </c>
      <c r="G62" s="97">
        <v>1.9878776803118912</v>
      </c>
      <c r="J62" s="57" t="s">
        <v>22</v>
      </c>
      <c r="K62" s="63">
        <v>47.408335036347182</v>
      </c>
      <c r="O62" s="91"/>
    </row>
    <row r="63" spans="1:15" ht="13.8" x14ac:dyDescent="0.3">
      <c r="B63" s="57" t="s">
        <v>166</v>
      </c>
      <c r="C63" s="96">
        <v>8.1385445254092928E-2</v>
      </c>
      <c r="F63" s="57" t="s">
        <v>166</v>
      </c>
      <c r="G63" s="97">
        <v>1.659990104697612</v>
      </c>
      <c r="J63" s="57" t="s">
        <v>166</v>
      </c>
      <c r="K63" s="63">
        <v>57.589656477713639</v>
      </c>
      <c r="O63" s="91"/>
    </row>
    <row r="64" spans="1:15" ht="13.8" x14ac:dyDescent="0.3">
      <c r="B64" s="57" t="s">
        <v>167</v>
      </c>
      <c r="C64" s="96">
        <v>6.205250596658711E-2</v>
      </c>
      <c r="F64" s="57" t="s">
        <v>167</v>
      </c>
      <c r="G64" s="97">
        <v>2.9748050903866563</v>
      </c>
      <c r="J64" s="57" t="s">
        <v>167</v>
      </c>
      <c r="K64" s="63">
        <v>77.719543887562992</v>
      </c>
      <c r="O64" s="91"/>
    </row>
    <row r="65" spans="2:15" ht="13.8" x14ac:dyDescent="0.3">
      <c r="B65" s="57" t="s">
        <v>168</v>
      </c>
      <c r="C65" s="96">
        <v>8.8111520252498687E-2</v>
      </c>
      <c r="F65" s="57" t="s">
        <v>168</v>
      </c>
      <c r="G65" s="97">
        <v>1.425127830533236</v>
      </c>
      <c r="J65" s="57" t="s">
        <v>168</v>
      </c>
      <c r="K65" s="63">
        <v>54.241188847974747</v>
      </c>
      <c r="O65" s="91"/>
    </row>
    <row r="66" spans="2:15" ht="13.8" x14ac:dyDescent="0.3">
      <c r="B66" s="57" t="s">
        <v>169</v>
      </c>
      <c r="C66" s="96">
        <v>0.12208760484622554</v>
      </c>
      <c r="F66" s="57" t="s">
        <v>169</v>
      </c>
      <c r="G66" s="97">
        <v>1.896797153024911</v>
      </c>
      <c r="J66" s="57" t="s">
        <v>169</v>
      </c>
      <c r="K66" s="63">
        <v>61.910531220876045</v>
      </c>
      <c r="O66" s="91"/>
    </row>
    <row r="67" spans="2:15" ht="13.8" x14ac:dyDescent="0.3">
      <c r="B67" s="57" t="s">
        <v>170</v>
      </c>
      <c r="C67" s="96">
        <v>0.17228464419475656</v>
      </c>
      <c r="F67" s="57" t="s">
        <v>170</v>
      </c>
      <c r="G67" s="97">
        <v>6.6923076923076925</v>
      </c>
      <c r="J67" s="57" t="s">
        <v>170</v>
      </c>
      <c r="K67" s="63">
        <v>73.82022471910112</v>
      </c>
      <c r="O67" s="91"/>
    </row>
    <row r="68" spans="2:15" ht="13.8" x14ac:dyDescent="0.3">
      <c r="B68" s="57" t="s">
        <v>172</v>
      </c>
      <c r="C68" s="96">
        <v>-7.422680412371134E-2</v>
      </c>
      <c r="F68" s="57" t="s">
        <v>172</v>
      </c>
      <c r="G68" s="97">
        <v>1.2</v>
      </c>
      <c r="J68" s="57" t="s">
        <v>172</v>
      </c>
      <c r="K68" s="63">
        <v>73.75257731958763</v>
      </c>
      <c r="O68" s="91"/>
    </row>
    <row r="69" spans="2:15" ht="13.8" x14ac:dyDescent="0.3">
      <c r="B69" s="57" t="s">
        <v>173</v>
      </c>
      <c r="C69" s="96">
        <v>-4.2471042471042469E-2</v>
      </c>
      <c r="F69" s="57" t="s">
        <v>173</v>
      </c>
      <c r="G69" s="97">
        <v>2.4500000000000002</v>
      </c>
      <c r="J69" s="57" t="s">
        <v>173</v>
      </c>
      <c r="K69" s="63">
        <v>163.47490347490347</v>
      </c>
      <c r="O69" s="91"/>
    </row>
    <row r="70" spans="2:15" ht="13.8" x14ac:dyDescent="0.3">
      <c r="O70" s="91"/>
    </row>
    <row r="71" spans="2:15" ht="13.8" x14ac:dyDescent="0.3">
      <c r="B71" s="102" t="s">
        <v>195</v>
      </c>
      <c r="C71" s="104">
        <v>8.4748482753295801E-2</v>
      </c>
      <c r="F71" s="102" t="s">
        <v>195</v>
      </c>
      <c r="G71" s="105">
        <v>1.9423374166684011</v>
      </c>
      <c r="J71" s="102" t="s">
        <v>195</v>
      </c>
      <c r="K71" s="103">
        <v>67.831554270231834</v>
      </c>
      <c r="O71" s="91"/>
    </row>
    <row r="72" spans="2:15" ht="13.8" x14ac:dyDescent="0.3">
      <c r="O72" s="91"/>
    </row>
    <row r="73" spans="2:15" ht="13.8" x14ac:dyDescent="0.3">
      <c r="O73" s="91"/>
    </row>
    <row r="74" spans="2:15" ht="13.8" x14ac:dyDescent="0.3">
      <c r="O74" s="91"/>
    </row>
    <row r="75" spans="2:15" ht="13.8" x14ac:dyDescent="0.3">
      <c r="O75" s="91"/>
    </row>
    <row r="76" spans="2:15" ht="13.8" x14ac:dyDescent="0.3">
      <c r="O76" s="91"/>
    </row>
    <row r="77" spans="2:15" ht="13.8" x14ac:dyDescent="0.3">
      <c r="O77" s="91"/>
    </row>
    <row r="78" spans="2:15" ht="13.8" x14ac:dyDescent="0.3">
      <c r="O78" s="91"/>
    </row>
    <row r="79" spans="2:15" ht="13.8" x14ac:dyDescent="0.3">
      <c r="O79" s="91"/>
    </row>
    <row r="80" spans="2:15" ht="13.8" x14ac:dyDescent="0.3">
      <c r="O80" s="91"/>
    </row>
    <row r="81" spans="1:15" ht="13.8" x14ac:dyDescent="0.3">
      <c r="O81" s="91"/>
    </row>
    <row r="82" spans="1:15" ht="13.8" x14ac:dyDescent="0.3">
      <c r="O82" s="91"/>
    </row>
    <row r="83" spans="1:15" ht="13.8" x14ac:dyDescent="0.3">
      <c r="O83" s="91"/>
    </row>
    <row r="84" spans="1:15" ht="13.8" x14ac:dyDescent="0.3">
      <c r="O84" s="91"/>
    </row>
    <row r="85" spans="1:15" ht="13.8" x14ac:dyDescent="0.3">
      <c r="O85" s="91"/>
    </row>
    <row r="86" spans="1:15" ht="13.8" x14ac:dyDescent="0.3">
      <c r="A86" s="89" t="s">
        <v>26</v>
      </c>
      <c r="O86" s="91"/>
    </row>
    <row r="87" spans="1:15" ht="13.8" x14ac:dyDescent="0.3">
      <c r="O87" s="91"/>
    </row>
    <row r="88" spans="1:15" ht="13.8" x14ac:dyDescent="0.3">
      <c r="B88" s="98" t="s">
        <v>148</v>
      </c>
      <c r="C88" s="98" t="s">
        <v>34</v>
      </c>
      <c r="F88" s="98" t="s">
        <v>148</v>
      </c>
      <c r="G88" s="98" t="s">
        <v>36</v>
      </c>
      <c r="J88" s="98" t="s">
        <v>148</v>
      </c>
      <c r="K88" s="98" t="s">
        <v>35</v>
      </c>
      <c r="O88" s="91"/>
    </row>
    <row r="89" spans="1:15" ht="13.8" x14ac:dyDescent="0.3">
      <c r="B89" s="57" t="s">
        <v>22</v>
      </c>
      <c r="C89" s="95">
        <v>6.3924540296229279E-2</v>
      </c>
      <c r="F89" s="57" t="s">
        <v>22</v>
      </c>
      <c r="G89" s="63">
        <v>207.16606311433006</v>
      </c>
      <c r="J89" s="57" t="s">
        <v>22</v>
      </c>
      <c r="K89" s="95">
        <v>0.37357217796944864</v>
      </c>
      <c r="O89" s="91"/>
    </row>
    <row r="90" spans="1:15" ht="13.8" x14ac:dyDescent="0.3">
      <c r="B90" s="57" t="s">
        <v>166</v>
      </c>
      <c r="C90" s="95">
        <v>0.14295373262010039</v>
      </c>
      <c r="F90" s="57" t="s">
        <v>166</v>
      </c>
      <c r="G90" s="63">
        <v>138.25717087521451</v>
      </c>
      <c r="J90" s="57" t="s">
        <v>166</v>
      </c>
      <c r="K90" s="95">
        <v>0.42266908810480419</v>
      </c>
      <c r="O90" s="91"/>
    </row>
    <row r="91" spans="1:15" ht="13.8" x14ac:dyDescent="0.3">
      <c r="B91" s="57" t="s">
        <v>167</v>
      </c>
      <c r="C91" s="95">
        <v>3.1324813324059689E-2</v>
      </c>
      <c r="F91" s="57" t="s">
        <v>167</v>
      </c>
      <c r="G91" s="63">
        <v>267.617527173913</v>
      </c>
      <c r="J91" s="57" t="s">
        <v>167</v>
      </c>
      <c r="K91" s="95">
        <v>0.25082514276725498</v>
      </c>
      <c r="O91" s="91"/>
    </row>
    <row r="92" spans="1:15" ht="13.8" x14ac:dyDescent="0.3">
      <c r="B92" s="57" t="s">
        <v>168</v>
      </c>
      <c r="C92" s="95">
        <v>0</v>
      </c>
      <c r="F92" s="57" t="s">
        <v>168</v>
      </c>
      <c r="G92" s="63">
        <v>351.66666666666669</v>
      </c>
      <c r="J92" s="57" t="s">
        <v>168</v>
      </c>
      <c r="K92" s="95">
        <v>0.53151260504201681</v>
      </c>
      <c r="O92" s="91"/>
    </row>
    <row r="93" spans="1:15" ht="13.8" x14ac:dyDescent="0.3">
      <c r="B93" s="57" t="s">
        <v>169</v>
      </c>
      <c r="C93" s="95">
        <v>2.4449877750611247E-3</v>
      </c>
      <c r="F93" s="57" t="s">
        <v>169</v>
      </c>
      <c r="G93" s="63">
        <v>576</v>
      </c>
      <c r="J93" s="57" t="s">
        <v>169</v>
      </c>
      <c r="K93" s="95">
        <v>0.29639175257731959</v>
      </c>
      <c r="O93" s="91"/>
    </row>
    <row r="94" spans="1:15" ht="13.8" x14ac:dyDescent="0.3">
      <c r="B94" s="57" t="s">
        <v>170</v>
      </c>
      <c r="C94" s="95">
        <v>0</v>
      </c>
      <c r="F94" s="57" t="s">
        <v>170</v>
      </c>
      <c r="G94" s="63"/>
      <c r="J94" s="57" t="s">
        <v>170</v>
      </c>
      <c r="K94" s="95">
        <v>0.12307692307692308</v>
      </c>
      <c r="O94" s="91"/>
    </row>
    <row r="95" spans="1:15" ht="13.8" x14ac:dyDescent="0.3">
      <c r="B95" s="57" t="s">
        <v>172</v>
      </c>
      <c r="C95" s="95">
        <v>0.40063091482649843</v>
      </c>
      <c r="F95" s="57" t="s">
        <v>172</v>
      </c>
      <c r="G95" s="63">
        <v>26.125</v>
      </c>
      <c r="J95" s="57" t="s">
        <v>172</v>
      </c>
      <c r="K95" s="95">
        <v>0.44308231173380036</v>
      </c>
      <c r="O95" s="91"/>
    </row>
    <row r="96" spans="1:15" ht="13.8" x14ac:dyDescent="0.3">
      <c r="B96" s="57" t="s">
        <v>173</v>
      </c>
      <c r="C96" s="95">
        <v>0.11258278145695365</v>
      </c>
      <c r="F96" s="57" t="s">
        <v>173</v>
      </c>
      <c r="G96" s="63">
        <v>69.5</v>
      </c>
      <c r="J96" s="57" t="s">
        <v>173</v>
      </c>
      <c r="K96" s="95">
        <v>0.37190082644628097</v>
      </c>
      <c r="O96" s="91"/>
    </row>
    <row r="97" spans="2:15" ht="13.8" x14ac:dyDescent="0.3">
      <c r="O97" s="91"/>
    </row>
    <row r="98" spans="2:15" ht="13.8" x14ac:dyDescent="0.3">
      <c r="B98" s="102" t="s">
        <v>195</v>
      </c>
      <c r="C98" s="106">
        <v>4.7624676810144484E-2</v>
      </c>
      <c r="F98" s="102" t="s">
        <v>195</v>
      </c>
      <c r="G98" s="103">
        <v>207.16606311433006</v>
      </c>
      <c r="J98" s="102" t="s">
        <v>195</v>
      </c>
      <c r="K98" s="106">
        <v>0.37273650220786481</v>
      </c>
      <c r="O98" s="91"/>
    </row>
    <row r="99" spans="2:15" ht="13.8" x14ac:dyDescent="0.3">
      <c r="O99" s="91"/>
    </row>
    <row r="100" spans="2:15" ht="13.8" x14ac:dyDescent="0.3">
      <c r="O100" s="91"/>
    </row>
    <row r="101" spans="2:15" ht="13.8" x14ac:dyDescent="0.3">
      <c r="O101" s="91"/>
    </row>
    <row r="102" spans="2:15" ht="13.8" x14ac:dyDescent="0.3">
      <c r="O102" s="91"/>
    </row>
    <row r="103" spans="2:15" ht="13.8" x14ac:dyDescent="0.3">
      <c r="O103" s="91"/>
    </row>
    <row r="104" spans="2:15" ht="13.8" x14ac:dyDescent="0.3">
      <c r="O104" s="91"/>
    </row>
    <row r="105" spans="2:15" ht="13.8" x14ac:dyDescent="0.3">
      <c r="O105" s="91"/>
    </row>
    <row r="106" spans="2:15" ht="13.8" x14ac:dyDescent="0.3">
      <c r="O106" s="91"/>
    </row>
    <row r="107" spans="2:15" ht="13.8" x14ac:dyDescent="0.3">
      <c r="O107" s="91"/>
    </row>
    <row r="108" spans="2:15" ht="13.8" x14ac:dyDescent="0.3">
      <c r="O108" s="91"/>
    </row>
    <row r="109" spans="2:15" ht="13.8" x14ac:dyDescent="0.3">
      <c r="O109" s="91"/>
    </row>
    <row r="110" spans="2:15" ht="13.8" x14ac:dyDescent="0.3">
      <c r="O110" s="91"/>
    </row>
    <row r="111" spans="2:15" ht="13.8" x14ac:dyDescent="0.3">
      <c r="O111" s="91"/>
    </row>
    <row r="112" spans="2:15" ht="13.8" x14ac:dyDescent="0.3">
      <c r="O112" s="91"/>
    </row>
    <row r="113" spans="1:15" ht="13.8" x14ac:dyDescent="0.3">
      <c r="A113" s="89" t="s">
        <v>27</v>
      </c>
      <c r="O113" s="91"/>
    </row>
    <row r="114" spans="1:15" ht="13.8" x14ac:dyDescent="0.3">
      <c r="O114" s="91"/>
    </row>
    <row r="115" spans="1:15" ht="13.8" x14ac:dyDescent="0.3">
      <c r="B115" s="98" t="s">
        <v>148</v>
      </c>
      <c r="C115" s="98" t="s">
        <v>37</v>
      </c>
      <c r="D115" s="98" t="s">
        <v>39</v>
      </c>
      <c r="I115" s="98" t="s">
        <v>148</v>
      </c>
      <c r="J115" s="98" t="s">
        <v>38</v>
      </c>
      <c r="O115" s="91"/>
    </row>
    <row r="116" spans="1:15" ht="13.8" x14ac:dyDescent="0.3">
      <c r="B116" s="57" t="s">
        <v>22</v>
      </c>
      <c r="C116" s="64">
        <v>0.24420898700715046</v>
      </c>
      <c r="D116" s="64">
        <v>0.1529793038511765</v>
      </c>
      <c r="I116" s="57" t="s">
        <v>22</v>
      </c>
      <c r="J116" s="97">
        <v>43.734361968306921</v>
      </c>
      <c r="O116" s="91"/>
    </row>
    <row r="117" spans="1:15" ht="13.8" x14ac:dyDescent="0.3">
      <c r="B117" s="57" t="s">
        <v>166</v>
      </c>
      <c r="C117" s="64">
        <v>0.17727755274522536</v>
      </c>
      <c r="D117" s="64">
        <v>0.10234781118494965</v>
      </c>
      <c r="I117" s="57" t="s">
        <v>166</v>
      </c>
      <c r="J117" s="97">
        <v>7.377541391438621</v>
      </c>
      <c r="O117" s="91"/>
    </row>
    <row r="118" spans="1:15" ht="13.8" x14ac:dyDescent="0.3">
      <c r="B118" s="57" t="s">
        <v>167</v>
      </c>
      <c r="C118" s="64">
        <v>8.7737223266861772E-2</v>
      </c>
      <c r="D118" s="64">
        <v>6.5730521714948642E-2</v>
      </c>
      <c r="I118" s="57" t="s">
        <v>167</v>
      </c>
      <c r="J118" s="97">
        <v>5.7892132607619988</v>
      </c>
      <c r="O118" s="91"/>
    </row>
    <row r="119" spans="1:15" ht="13.8" x14ac:dyDescent="0.3">
      <c r="B119" s="57" t="s">
        <v>168</v>
      </c>
      <c r="C119" s="64">
        <v>0.25037369207772797</v>
      </c>
      <c r="D119" s="64">
        <v>0.117296918767507</v>
      </c>
      <c r="I119" s="57" t="s">
        <v>168</v>
      </c>
      <c r="J119" s="97">
        <v>7.4444444444444446</v>
      </c>
      <c r="O119" s="91"/>
    </row>
    <row r="120" spans="1:15" ht="13.8" x14ac:dyDescent="0.3">
      <c r="B120" s="57" t="s">
        <v>169</v>
      </c>
      <c r="C120" s="64">
        <v>0.16014669926650366</v>
      </c>
      <c r="D120" s="64">
        <v>0.11254295532646048</v>
      </c>
      <c r="I120" s="57" t="s">
        <v>169</v>
      </c>
      <c r="J120" s="97">
        <v>2.7872340425531914</v>
      </c>
      <c r="O120" s="91"/>
    </row>
    <row r="121" spans="1:15" ht="13.8" x14ac:dyDescent="0.3">
      <c r="B121" s="57" t="s">
        <v>170</v>
      </c>
      <c r="C121" s="64">
        <v>0.16140350877192983</v>
      </c>
      <c r="D121" s="64">
        <v>0.14153846153846153</v>
      </c>
      <c r="I121" s="57" t="s">
        <v>170</v>
      </c>
      <c r="J121" s="97">
        <v>0.85185185185185186</v>
      </c>
      <c r="O121" s="91"/>
    </row>
    <row r="122" spans="1:15" ht="13.8" x14ac:dyDescent="0.3">
      <c r="B122" s="57" t="s">
        <v>172</v>
      </c>
      <c r="C122" s="64">
        <v>-0.11356466876971609</v>
      </c>
      <c r="D122" s="64">
        <v>-6.3047285464098074E-2</v>
      </c>
      <c r="I122" s="57" t="s">
        <v>172</v>
      </c>
      <c r="J122" s="97">
        <v>-2.5714285714285716</v>
      </c>
      <c r="O122" s="91"/>
    </row>
    <row r="123" spans="1:15" ht="13.8" x14ac:dyDescent="0.3">
      <c r="B123" s="57" t="s">
        <v>173</v>
      </c>
      <c r="C123" s="64">
        <v>-7.2847682119205295E-2</v>
      </c>
      <c r="D123" s="64">
        <v>-4.5454545454545456E-2</v>
      </c>
      <c r="I123" s="57" t="s">
        <v>173</v>
      </c>
      <c r="J123" s="97">
        <v>-0.35483870967741937</v>
      </c>
      <c r="O123" s="91"/>
    </row>
    <row r="124" spans="1:15" ht="13.8" x14ac:dyDescent="0.3">
      <c r="O124" s="91"/>
    </row>
    <row r="125" spans="1:15" ht="13.8" x14ac:dyDescent="0.3">
      <c r="B125" s="102" t="s">
        <v>195</v>
      </c>
      <c r="C125" s="107">
        <v>0.16077510401921674</v>
      </c>
      <c r="D125" s="107">
        <v>0.10744538325570507</v>
      </c>
      <c r="I125" s="102" t="s">
        <v>195</v>
      </c>
      <c r="J125" s="105">
        <v>4.2882236516575949</v>
      </c>
      <c r="O125" s="91"/>
    </row>
    <row r="126" spans="1:15" ht="13.8" x14ac:dyDescent="0.3">
      <c r="O126" s="91"/>
    </row>
    <row r="127" spans="1:15" ht="13.8" x14ac:dyDescent="0.3">
      <c r="O127" s="91"/>
    </row>
    <row r="128" spans="1:15" ht="13.8" x14ac:dyDescent="0.3">
      <c r="O128" s="91"/>
    </row>
    <row r="129" spans="1:15" ht="13.8" x14ac:dyDescent="0.3">
      <c r="O129" s="91"/>
    </row>
    <row r="130" spans="1:15" ht="13.8" x14ac:dyDescent="0.3">
      <c r="O130" s="91"/>
    </row>
    <row r="131" spans="1:15" ht="13.8" x14ac:dyDescent="0.3">
      <c r="O131" s="91"/>
    </row>
    <row r="132" spans="1:15" ht="13.8" x14ac:dyDescent="0.3">
      <c r="O132" s="91"/>
    </row>
    <row r="133" spans="1:15" ht="13.8" x14ac:dyDescent="0.3">
      <c r="O133" s="91"/>
    </row>
    <row r="134" spans="1:15" ht="13.8" x14ac:dyDescent="0.3">
      <c r="O134" s="91"/>
    </row>
    <row r="135" spans="1:15" ht="13.8" x14ac:dyDescent="0.3">
      <c r="O135" s="91"/>
    </row>
    <row r="136" spans="1:15" ht="13.8" x14ac:dyDescent="0.3">
      <c r="O136" s="91"/>
    </row>
    <row r="137" spans="1:15" ht="13.8" x14ac:dyDescent="0.3">
      <c r="O137" s="91"/>
    </row>
    <row r="138" spans="1:15" ht="13.8" x14ac:dyDescent="0.3">
      <c r="O138" s="91"/>
    </row>
    <row r="139" spans="1:15" ht="13.8" x14ac:dyDescent="0.3">
      <c r="O139" s="91"/>
    </row>
    <row r="140" spans="1:15" ht="13.8" x14ac:dyDescent="0.3">
      <c r="O140" s="91"/>
    </row>
    <row r="141" spans="1:15" ht="13.8" x14ac:dyDescent="0.3">
      <c r="O141" s="91"/>
    </row>
    <row r="142" spans="1:15" ht="13.8" x14ac:dyDescent="0.3">
      <c r="O142" s="91"/>
    </row>
    <row r="143" spans="1:15" ht="13.8" x14ac:dyDescent="0.3">
      <c r="A143" s="89" t="s">
        <v>196</v>
      </c>
      <c r="O143" s="91"/>
    </row>
    <row r="144" spans="1:15" ht="13.8" x14ac:dyDescent="0.3">
      <c r="B144" s="98" t="s">
        <v>148</v>
      </c>
      <c r="C144" s="98" t="s">
        <v>197</v>
      </c>
      <c r="D144" s="98" t="s">
        <v>198</v>
      </c>
      <c r="E144" s="98" t="s">
        <v>199</v>
      </c>
      <c r="F144" s="98" t="s">
        <v>200</v>
      </c>
      <c r="G144" s="98" t="s">
        <v>201</v>
      </c>
      <c r="H144" s="98" t="s">
        <v>202</v>
      </c>
      <c r="I144" s="98" t="s">
        <v>203</v>
      </c>
      <c r="J144" s="98" t="s">
        <v>204</v>
      </c>
      <c r="O144" s="91"/>
    </row>
    <row r="145" spans="2:15" ht="13.8" x14ac:dyDescent="0.3">
      <c r="B145" s="57" t="s">
        <v>22</v>
      </c>
      <c r="C145" s="108">
        <v>2949.55</v>
      </c>
      <c r="D145" s="108">
        <v>490</v>
      </c>
      <c r="E145" s="108">
        <v>34</v>
      </c>
      <c r="F145" s="64">
        <f t="shared" ref="F145:F148" si="3">(C145/D145)^(1/10)-1</f>
        <v>0.19661920372728225</v>
      </c>
      <c r="G145" s="64">
        <f t="shared" ref="G145:G148" si="4">(C145/E145)^(1/20)-1</f>
        <v>0.25001102157514321</v>
      </c>
      <c r="H145" s="63">
        <f t="shared" ref="H145:H148" si="5">C145/E145</f>
        <v>86.751470588235293</v>
      </c>
      <c r="I145" s="96">
        <f>28/43</f>
        <v>0.65116279069767447</v>
      </c>
      <c r="J145" s="96">
        <f>28/E145</f>
        <v>0.82352941176470584</v>
      </c>
      <c r="O145" s="91"/>
    </row>
    <row r="146" spans="2:15" ht="13.8" x14ac:dyDescent="0.3">
      <c r="B146" s="57" t="s">
        <v>166</v>
      </c>
      <c r="C146" s="108">
        <v>554.1</v>
      </c>
      <c r="D146" s="108">
        <v>68</v>
      </c>
      <c r="E146" s="108">
        <v>7</v>
      </c>
      <c r="F146" s="64">
        <f t="shared" si="3"/>
        <v>0.2334113023058566</v>
      </c>
      <c r="G146" s="64">
        <f t="shared" si="4"/>
        <v>0.24429829349529775</v>
      </c>
      <c r="H146" s="63">
        <f t="shared" si="5"/>
        <v>79.157142857142858</v>
      </c>
      <c r="I146" s="96">
        <f>3.2/8.86</f>
        <v>0.36117381489841993</v>
      </c>
      <c r="J146" s="96">
        <f>3.2/E146</f>
        <v>0.45714285714285718</v>
      </c>
      <c r="O146" s="91"/>
    </row>
    <row r="147" spans="2:15" ht="13.8" x14ac:dyDescent="0.3">
      <c r="B147" s="57" t="s">
        <v>167</v>
      </c>
      <c r="C147" s="108">
        <v>332.45</v>
      </c>
      <c r="D147" s="108">
        <v>78</v>
      </c>
      <c r="E147" s="108">
        <v>9</v>
      </c>
      <c r="F147" s="64">
        <f t="shared" si="3"/>
        <v>0.15601421237411683</v>
      </c>
      <c r="G147" s="64">
        <f t="shared" si="4"/>
        <v>0.19777209628924908</v>
      </c>
      <c r="H147" s="63">
        <f t="shared" si="5"/>
        <v>36.93888888888889</v>
      </c>
      <c r="I147" s="96">
        <f>2.25/8.79</f>
        <v>0.25597269624573382</v>
      </c>
      <c r="J147" s="96">
        <f>2.25/E147</f>
        <v>0.25</v>
      </c>
      <c r="O147" s="91"/>
    </row>
    <row r="148" spans="2:15" ht="13.8" x14ac:dyDescent="0.3">
      <c r="B148" s="57" t="s">
        <v>168</v>
      </c>
      <c r="C148" s="108">
        <v>2603</v>
      </c>
      <c r="D148" s="108">
        <v>858</v>
      </c>
      <c r="E148" s="108">
        <v>120</v>
      </c>
      <c r="F148" s="64">
        <f t="shared" si="3"/>
        <v>0.11737432524513047</v>
      </c>
      <c r="G148" s="64">
        <f t="shared" si="4"/>
        <v>0.16631173699753043</v>
      </c>
      <c r="H148" s="63">
        <f t="shared" si="5"/>
        <v>21.691666666666666</v>
      </c>
      <c r="I148" s="96">
        <f>65/74</f>
        <v>0.8783783783783784</v>
      </c>
      <c r="J148" s="96">
        <f>65/E148</f>
        <v>0.54166666666666663</v>
      </c>
      <c r="O148" s="91"/>
    </row>
    <row r="149" spans="2:15" ht="13.8" x14ac:dyDescent="0.3">
      <c r="B149" s="57" t="s">
        <v>169</v>
      </c>
      <c r="C149" s="108">
        <v>1454.95</v>
      </c>
      <c r="D149" s="108">
        <v>0.16014669926650366</v>
      </c>
      <c r="E149" s="108">
        <v>0.11254295532646048</v>
      </c>
      <c r="F149" s="57"/>
      <c r="G149" s="57"/>
      <c r="H149" s="57"/>
      <c r="I149" s="96">
        <f>3.5/27.73</f>
        <v>0.12621709340064913</v>
      </c>
      <c r="J149" s="57"/>
      <c r="O149" s="91"/>
    </row>
    <row r="150" spans="2:15" ht="13.8" x14ac:dyDescent="0.3">
      <c r="B150" s="57" t="s">
        <v>170</v>
      </c>
      <c r="C150" s="108">
        <v>385.95</v>
      </c>
      <c r="D150" s="108">
        <v>0.16140350877192983</v>
      </c>
      <c r="E150" s="108">
        <v>0.14153846153846153</v>
      </c>
      <c r="F150" s="57"/>
      <c r="G150" s="57"/>
      <c r="H150" s="57"/>
      <c r="I150" s="96">
        <f>1.5/8.41</f>
        <v>0.178359096313912</v>
      </c>
      <c r="J150" s="57"/>
      <c r="O150" s="91"/>
    </row>
    <row r="151" spans="2:15" ht="13.8" x14ac:dyDescent="0.3">
      <c r="B151" s="57" t="s">
        <v>172</v>
      </c>
      <c r="C151" s="108">
        <v>202.9</v>
      </c>
      <c r="D151" s="108">
        <v>64</v>
      </c>
      <c r="E151" s="108">
        <v>9.3000000000000007</v>
      </c>
      <c r="F151" s="64">
        <f>(C151/D151)^(1/10)-1</f>
        <v>0.12230321573880643</v>
      </c>
      <c r="G151" s="64">
        <f>(C151/E151)^(1/20)-1</f>
        <v>0.16664830640190398</v>
      </c>
      <c r="H151" s="63">
        <f>C151/E151</f>
        <v>21.817204301075268</v>
      </c>
      <c r="I151" s="96">
        <f t="shared" ref="I151:I152" si="6">0/74</f>
        <v>0</v>
      </c>
      <c r="J151" s="96">
        <f t="shared" ref="J151:J152" si="7">0/E151</f>
        <v>0</v>
      </c>
      <c r="O151" s="91"/>
    </row>
    <row r="152" spans="2:15" ht="13.8" x14ac:dyDescent="0.3">
      <c r="B152" s="57" t="s">
        <v>173</v>
      </c>
      <c r="C152" s="108">
        <v>224.9</v>
      </c>
      <c r="D152" s="108">
        <v>-7.2847682119205295E-2</v>
      </c>
      <c r="E152" s="108">
        <v>-4.5454545454545456E-2</v>
      </c>
      <c r="F152" s="57"/>
      <c r="G152" s="57"/>
      <c r="H152" s="57"/>
      <c r="I152" s="96">
        <f t="shared" si="6"/>
        <v>0</v>
      </c>
      <c r="J152" s="96">
        <f t="shared" si="7"/>
        <v>0</v>
      </c>
      <c r="O152" s="91"/>
    </row>
    <row r="153" spans="2:15" ht="13.8" x14ac:dyDescent="0.3">
      <c r="C153" s="109"/>
      <c r="D153" s="109"/>
      <c r="E153" s="109"/>
      <c r="O153" s="91"/>
    </row>
    <row r="154" spans="2:15" ht="13.8" x14ac:dyDescent="0.3">
      <c r="B154" s="110" t="s">
        <v>195</v>
      </c>
      <c r="C154" s="111"/>
      <c r="D154" s="111"/>
      <c r="E154" s="111"/>
      <c r="F154" s="94">
        <f t="shared" ref="F154:J154" si="8">MEDIAN(F145:F152)</f>
        <v>0.15601421237411683</v>
      </c>
      <c r="G154" s="94">
        <f t="shared" si="8"/>
        <v>0.19777209628924908</v>
      </c>
      <c r="H154" s="90">
        <f t="shared" si="8"/>
        <v>36.93888888888889</v>
      </c>
      <c r="I154" s="92">
        <f t="shared" si="8"/>
        <v>0.21716589627982291</v>
      </c>
      <c r="J154" s="92">
        <f t="shared" si="8"/>
        <v>0.35357142857142859</v>
      </c>
      <c r="O154" s="91"/>
    </row>
    <row r="155" spans="2:15" ht="13.8" x14ac:dyDescent="0.3">
      <c r="O155" s="91"/>
    </row>
    <row r="156" spans="2:15" ht="13.8" x14ac:dyDescent="0.3">
      <c r="O156" s="91"/>
    </row>
    <row r="157" spans="2:15" ht="13.8" x14ac:dyDescent="0.3">
      <c r="O157" s="91"/>
    </row>
    <row r="158" spans="2:15" ht="13.8" x14ac:dyDescent="0.3">
      <c r="O158" s="91"/>
    </row>
    <row r="159" spans="2:15" ht="13.8" x14ac:dyDescent="0.3">
      <c r="O159" s="91"/>
    </row>
    <row r="160" spans="2:15" ht="13.8" x14ac:dyDescent="0.3">
      <c r="O160" s="91"/>
    </row>
    <row r="161" spans="15:15" ht="13.8" x14ac:dyDescent="0.3">
      <c r="O161" s="91"/>
    </row>
    <row r="162" spans="15:15" ht="13.8" x14ac:dyDescent="0.3">
      <c r="O162" s="91"/>
    </row>
    <row r="163" spans="15:15" ht="13.8" x14ac:dyDescent="0.3">
      <c r="O163" s="91"/>
    </row>
    <row r="164" spans="15:15" ht="13.8" x14ac:dyDescent="0.3">
      <c r="O164" s="91"/>
    </row>
    <row r="165" spans="15:15" ht="13.8" x14ac:dyDescent="0.3">
      <c r="O165" s="91"/>
    </row>
    <row r="166" spans="15:15" ht="13.8" x14ac:dyDescent="0.3">
      <c r="O166" s="91"/>
    </row>
    <row r="167" spans="15:15" ht="13.8" x14ac:dyDescent="0.3">
      <c r="O167" s="91"/>
    </row>
    <row r="168" spans="15:15" ht="13.8" x14ac:dyDescent="0.3">
      <c r="O168" s="91"/>
    </row>
    <row r="169" spans="15:15" ht="13.8" x14ac:dyDescent="0.3">
      <c r="O169" s="91"/>
    </row>
    <row r="170" spans="15:15" ht="13.8" x14ac:dyDescent="0.3">
      <c r="O170" s="91"/>
    </row>
    <row r="171" spans="15:15" ht="13.8" x14ac:dyDescent="0.3">
      <c r="O171" s="91"/>
    </row>
    <row r="172" spans="15:15" ht="13.8" x14ac:dyDescent="0.3">
      <c r="O172" s="91"/>
    </row>
    <row r="173" spans="15:15" ht="13.8" x14ac:dyDescent="0.3">
      <c r="O173" s="91"/>
    </row>
    <row r="174" spans="15:15" ht="13.8" x14ac:dyDescent="0.3">
      <c r="O174" s="91"/>
    </row>
    <row r="175" spans="15:15" ht="13.8" x14ac:dyDescent="0.3">
      <c r="O175" s="91"/>
    </row>
    <row r="176" spans="15:15" ht="13.8" x14ac:dyDescent="0.3">
      <c r="O176" s="91"/>
    </row>
    <row r="177" spans="15:15" ht="13.8" x14ac:dyDescent="0.3">
      <c r="O177" s="91"/>
    </row>
    <row r="178" spans="15:15" ht="13.8" x14ac:dyDescent="0.3">
      <c r="O178" s="91"/>
    </row>
    <row r="179" spans="15:15" ht="13.8" x14ac:dyDescent="0.3">
      <c r="O179" s="91"/>
    </row>
    <row r="180" spans="15:15" ht="13.8" x14ac:dyDescent="0.3">
      <c r="O180" s="91"/>
    </row>
    <row r="181" spans="15:15" ht="13.8" x14ac:dyDescent="0.3">
      <c r="O181" s="91"/>
    </row>
    <row r="182" spans="15:15" ht="13.8" x14ac:dyDescent="0.3">
      <c r="O182" s="91"/>
    </row>
    <row r="183" spans="15:15" ht="13.8" x14ac:dyDescent="0.3">
      <c r="O183" s="91"/>
    </row>
    <row r="184" spans="15:15" ht="13.8" x14ac:dyDescent="0.3">
      <c r="O184" s="91"/>
    </row>
    <row r="185" spans="15:15" ht="13.8" x14ac:dyDescent="0.3">
      <c r="O185" s="91"/>
    </row>
    <row r="186" spans="15:15" ht="13.8" x14ac:dyDescent="0.3">
      <c r="O186" s="91"/>
    </row>
    <row r="187" spans="15:15" ht="13.8" x14ac:dyDescent="0.3">
      <c r="O187" s="91"/>
    </row>
    <row r="188" spans="15:15" ht="13.8" x14ac:dyDescent="0.3">
      <c r="O188" s="91"/>
    </row>
    <row r="189" spans="15:15" ht="13.8" x14ac:dyDescent="0.3">
      <c r="O189" s="91"/>
    </row>
    <row r="190" spans="15:15" ht="13.8" x14ac:dyDescent="0.3">
      <c r="O190" s="91"/>
    </row>
    <row r="191" spans="15:15" ht="13.8" x14ac:dyDescent="0.3">
      <c r="O191" s="91"/>
    </row>
    <row r="192" spans="15:15" ht="13.8" x14ac:dyDescent="0.3">
      <c r="O192" s="91"/>
    </row>
    <row r="193" spans="15:15" ht="13.8" x14ac:dyDescent="0.3">
      <c r="O193" s="91"/>
    </row>
    <row r="194" spans="15:15" ht="13.8" x14ac:dyDescent="0.3">
      <c r="O194" s="91"/>
    </row>
    <row r="195" spans="15:15" ht="13.8" x14ac:dyDescent="0.3">
      <c r="O195" s="91"/>
    </row>
    <row r="196" spans="15:15" ht="13.8" x14ac:dyDescent="0.3">
      <c r="O196" s="91"/>
    </row>
    <row r="197" spans="15:15" ht="13.8" x14ac:dyDescent="0.3">
      <c r="O197" s="91"/>
    </row>
    <row r="198" spans="15:15" ht="13.8" x14ac:dyDescent="0.3">
      <c r="O198" s="91"/>
    </row>
    <row r="199" spans="15:15" ht="13.8" x14ac:dyDescent="0.3">
      <c r="O199" s="91"/>
    </row>
    <row r="200" spans="15:15" ht="13.8" x14ac:dyDescent="0.3">
      <c r="O200" s="91"/>
    </row>
    <row r="201" spans="15:15" ht="13.8" x14ac:dyDescent="0.3">
      <c r="O201" s="91"/>
    </row>
    <row r="202" spans="15:15" ht="13.8" x14ac:dyDescent="0.3">
      <c r="O202" s="91"/>
    </row>
    <row r="203" spans="15:15" ht="13.8" x14ac:dyDescent="0.3">
      <c r="O203" s="91"/>
    </row>
    <row r="204" spans="15:15" ht="13.8" x14ac:dyDescent="0.3">
      <c r="O204" s="91"/>
    </row>
    <row r="205" spans="15:15" ht="13.8" x14ac:dyDescent="0.3">
      <c r="O205" s="91"/>
    </row>
    <row r="206" spans="15:15" ht="13.8" x14ac:dyDescent="0.3">
      <c r="O206" s="91"/>
    </row>
    <row r="207" spans="15:15" ht="13.8" x14ac:dyDescent="0.3">
      <c r="O207" s="91"/>
    </row>
    <row r="208" spans="15:15" ht="13.8" x14ac:dyDescent="0.3">
      <c r="O208" s="91"/>
    </row>
    <row r="209" spans="15:15" ht="13.8" x14ac:dyDescent="0.3">
      <c r="O209" s="91"/>
    </row>
    <row r="210" spans="15:15" ht="13.8" x14ac:dyDescent="0.3">
      <c r="O210" s="91"/>
    </row>
    <row r="211" spans="15:15" ht="13.8" x14ac:dyDescent="0.3">
      <c r="O211" s="91"/>
    </row>
    <row r="212" spans="15:15" ht="13.8" x14ac:dyDescent="0.3">
      <c r="O212" s="91"/>
    </row>
    <row r="213" spans="15:15" ht="13.8" x14ac:dyDescent="0.3">
      <c r="O213" s="91"/>
    </row>
    <row r="214" spans="15:15" ht="13.8" x14ac:dyDescent="0.3">
      <c r="O214" s="91"/>
    </row>
    <row r="215" spans="15:15" ht="13.8" x14ac:dyDescent="0.3">
      <c r="O215" s="91"/>
    </row>
    <row r="216" spans="15:15" ht="13.8" x14ac:dyDescent="0.3">
      <c r="O216" s="91"/>
    </row>
    <row r="217" spans="15:15" ht="13.8" x14ac:dyDescent="0.3">
      <c r="O217" s="91"/>
    </row>
    <row r="218" spans="15:15" ht="13.8" x14ac:dyDescent="0.3">
      <c r="O218" s="91"/>
    </row>
    <row r="219" spans="15:15" ht="13.8" x14ac:dyDescent="0.3">
      <c r="O219" s="91"/>
    </row>
    <row r="220" spans="15:15" ht="13.8" x14ac:dyDescent="0.3">
      <c r="O220" s="91"/>
    </row>
    <row r="221" spans="15:15" ht="13.8" x14ac:dyDescent="0.3">
      <c r="O221" s="91"/>
    </row>
    <row r="222" spans="15:15" ht="13.8" x14ac:dyDescent="0.3">
      <c r="O222" s="91"/>
    </row>
    <row r="223" spans="15:15" ht="13.8" x14ac:dyDescent="0.3">
      <c r="O223" s="91"/>
    </row>
    <row r="224" spans="15:15" ht="13.8" x14ac:dyDescent="0.3">
      <c r="O224" s="91"/>
    </row>
    <row r="225" spans="15:15" ht="13.8" x14ac:dyDescent="0.3">
      <c r="O225" s="91"/>
    </row>
    <row r="226" spans="15:15" ht="13.8" x14ac:dyDescent="0.3">
      <c r="O226" s="91"/>
    </row>
    <row r="227" spans="15:15" ht="13.8" x14ac:dyDescent="0.3">
      <c r="O227" s="91"/>
    </row>
    <row r="228" spans="15:15" ht="13.8" x14ac:dyDescent="0.3">
      <c r="O228" s="91"/>
    </row>
    <row r="229" spans="15:15" ht="13.8" x14ac:dyDescent="0.3">
      <c r="O229" s="91"/>
    </row>
    <row r="230" spans="15:15" ht="13.8" x14ac:dyDescent="0.3">
      <c r="O230" s="91"/>
    </row>
    <row r="231" spans="15:15" ht="13.8" x14ac:dyDescent="0.3">
      <c r="O231" s="91"/>
    </row>
    <row r="232" spans="15:15" ht="13.8" x14ac:dyDescent="0.3">
      <c r="O232" s="91"/>
    </row>
    <row r="233" spans="15:15" ht="13.8" x14ac:dyDescent="0.3">
      <c r="O233" s="91"/>
    </row>
    <row r="234" spans="15:15" ht="13.8" x14ac:dyDescent="0.3">
      <c r="O234" s="91"/>
    </row>
    <row r="235" spans="15:15" ht="13.8" x14ac:dyDescent="0.3">
      <c r="O235" s="91"/>
    </row>
    <row r="236" spans="15:15" ht="13.8" x14ac:dyDescent="0.3">
      <c r="O236" s="91"/>
    </row>
    <row r="237" spans="15:15" ht="13.8" x14ac:dyDescent="0.3">
      <c r="O237" s="91"/>
    </row>
    <row r="238" spans="15:15" ht="13.8" x14ac:dyDescent="0.3">
      <c r="O238" s="91"/>
    </row>
    <row r="239" spans="15:15" ht="13.8" x14ac:dyDescent="0.3">
      <c r="O239" s="91"/>
    </row>
    <row r="240" spans="15:15" ht="13.8" x14ac:dyDescent="0.3">
      <c r="O240" s="91"/>
    </row>
    <row r="241" spans="15:15" ht="13.8" x14ac:dyDescent="0.3">
      <c r="O241" s="91"/>
    </row>
    <row r="242" spans="15:15" ht="13.8" x14ac:dyDescent="0.3">
      <c r="O242" s="91"/>
    </row>
    <row r="243" spans="15:15" ht="13.8" x14ac:dyDescent="0.3">
      <c r="O243" s="91"/>
    </row>
    <row r="244" spans="15:15" ht="13.8" x14ac:dyDescent="0.3">
      <c r="O244" s="91"/>
    </row>
    <row r="245" spans="15:15" ht="13.8" x14ac:dyDescent="0.3">
      <c r="O245" s="91"/>
    </row>
    <row r="246" spans="15:15" ht="13.8" x14ac:dyDescent="0.3">
      <c r="O246" s="91"/>
    </row>
    <row r="247" spans="15:15" ht="13.8" x14ac:dyDescent="0.3">
      <c r="O247" s="91"/>
    </row>
    <row r="248" spans="15:15" ht="13.8" x14ac:dyDescent="0.3">
      <c r="O248" s="91"/>
    </row>
    <row r="249" spans="15:15" ht="13.8" x14ac:dyDescent="0.3">
      <c r="O249" s="91"/>
    </row>
    <row r="250" spans="15:15" ht="13.8" x14ac:dyDescent="0.3">
      <c r="O250" s="91"/>
    </row>
    <row r="251" spans="15:15" ht="13.8" x14ac:dyDescent="0.3">
      <c r="O251" s="91"/>
    </row>
    <row r="252" spans="15:15" ht="13.8" x14ac:dyDescent="0.3">
      <c r="O252" s="91"/>
    </row>
    <row r="253" spans="15:15" ht="13.8" x14ac:dyDescent="0.3">
      <c r="O253" s="91"/>
    </row>
    <row r="254" spans="15:15" ht="13.8" x14ac:dyDescent="0.3">
      <c r="O254" s="91"/>
    </row>
    <row r="255" spans="15:15" ht="13.8" x14ac:dyDescent="0.3">
      <c r="O255" s="91"/>
    </row>
    <row r="256" spans="15:15" ht="13.8" x14ac:dyDescent="0.3">
      <c r="O256" s="91"/>
    </row>
    <row r="257" spans="15:15" ht="13.8" x14ac:dyDescent="0.3">
      <c r="O257" s="91"/>
    </row>
    <row r="258" spans="15:15" ht="13.8" x14ac:dyDescent="0.3">
      <c r="O258" s="91"/>
    </row>
    <row r="259" spans="15:15" ht="13.8" x14ac:dyDescent="0.3">
      <c r="O259" s="91"/>
    </row>
    <row r="260" spans="15:15" ht="13.8" x14ac:dyDescent="0.3">
      <c r="O260" s="91"/>
    </row>
    <row r="261" spans="15:15" ht="13.8" x14ac:dyDescent="0.3">
      <c r="O261" s="91"/>
    </row>
    <row r="262" spans="15:15" ht="13.8" x14ac:dyDescent="0.3">
      <c r="O262" s="91"/>
    </row>
    <row r="263" spans="15:15" ht="13.8" x14ac:dyDescent="0.3">
      <c r="O263" s="91"/>
    </row>
    <row r="264" spans="15:15" ht="13.8" x14ac:dyDescent="0.3">
      <c r="O264" s="91"/>
    </row>
    <row r="265" spans="15:15" ht="13.8" x14ac:dyDescent="0.3">
      <c r="O265" s="91"/>
    </row>
    <row r="266" spans="15:15" ht="13.8" x14ac:dyDescent="0.3">
      <c r="O266" s="91"/>
    </row>
    <row r="267" spans="15:15" ht="13.8" x14ac:dyDescent="0.3">
      <c r="O267" s="91"/>
    </row>
    <row r="268" spans="15:15" ht="13.8" x14ac:dyDescent="0.3">
      <c r="O268" s="91"/>
    </row>
    <row r="269" spans="15:15" ht="13.8" x14ac:dyDescent="0.3">
      <c r="O269" s="91"/>
    </row>
    <row r="270" spans="15:15" ht="13.8" x14ac:dyDescent="0.3">
      <c r="O270" s="91"/>
    </row>
    <row r="271" spans="15:15" ht="13.8" x14ac:dyDescent="0.3">
      <c r="O271" s="91"/>
    </row>
    <row r="272" spans="15:15" ht="13.8" x14ac:dyDescent="0.3">
      <c r="O272" s="91"/>
    </row>
    <row r="273" spans="15:15" ht="13.8" x14ac:dyDescent="0.3">
      <c r="O273" s="91"/>
    </row>
    <row r="274" spans="15:15" ht="13.8" x14ac:dyDescent="0.3">
      <c r="O274" s="91"/>
    </row>
    <row r="275" spans="15:15" ht="13.8" x14ac:dyDescent="0.3">
      <c r="O275" s="91"/>
    </row>
    <row r="276" spans="15:15" ht="13.8" x14ac:dyDescent="0.3">
      <c r="O276" s="91"/>
    </row>
    <row r="277" spans="15:15" ht="13.8" x14ac:dyDescent="0.3">
      <c r="O277" s="91"/>
    </row>
    <row r="278" spans="15:15" ht="13.8" x14ac:dyDescent="0.3">
      <c r="O278" s="91"/>
    </row>
    <row r="279" spans="15:15" ht="13.8" x14ac:dyDescent="0.3">
      <c r="O279" s="91"/>
    </row>
    <row r="280" spans="15:15" ht="13.8" x14ac:dyDescent="0.3">
      <c r="O280" s="91"/>
    </row>
    <row r="281" spans="15:15" ht="13.8" x14ac:dyDescent="0.3">
      <c r="O281" s="91"/>
    </row>
    <row r="282" spans="15:15" ht="13.8" x14ac:dyDescent="0.3">
      <c r="O282" s="91"/>
    </row>
    <row r="283" spans="15:15" ht="13.8" x14ac:dyDescent="0.3">
      <c r="O283" s="91"/>
    </row>
    <row r="284" spans="15:15" ht="13.8" x14ac:dyDescent="0.3">
      <c r="O284" s="91"/>
    </row>
    <row r="285" spans="15:15" ht="13.8" x14ac:dyDescent="0.3">
      <c r="O285" s="91"/>
    </row>
    <row r="286" spans="15:15" ht="13.8" x14ac:dyDescent="0.3">
      <c r="O286" s="91"/>
    </row>
    <row r="287" spans="15:15" ht="13.8" x14ac:dyDescent="0.3">
      <c r="O287" s="91"/>
    </row>
    <row r="288" spans="15:15" ht="13.8" x14ac:dyDescent="0.3">
      <c r="O288" s="91"/>
    </row>
    <row r="289" spans="15:15" ht="13.8" x14ac:dyDescent="0.3">
      <c r="O289" s="91"/>
    </row>
    <row r="290" spans="15:15" ht="13.8" x14ac:dyDescent="0.3">
      <c r="O290" s="91"/>
    </row>
    <row r="291" spans="15:15" ht="13.8" x14ac:dyDescent="0.3">
      <c r="O291" s="91"/>
    </row>
    <row r="292" spans="15:15" ht="13.8" x14ac:dyDescent="0.3">
      <c r="O292" s="91"/>
    </row>
    <row r="293" spans="15:15" ht="13.8" x14ac:dyDescent="0.3">
      <c r="O293" s="91"/>
    </row>
    <row r="294" spans="15:15" ht="13.8" x14ac:dyDescent="0.3">
      <c r="O294" s="91"/>
    </row>
    <row r="295" spans="15:15" ht="13.8" x14ac:dyDescent="0.3">
      <c r="O295" s="91"/>
    </row>
    <row r="296" spans="15:15" ht="13.8" x14ac:dyDescent="0.3">
      <c r="O296" s="91"/>
    </row>
    <row r="297" spans="15:15" ht="13.8" x14ac:dyDescent="0.3">
      <c r="O297" s="91"/>
    </row>
    <row r="298" spans="15:15" ht="13.8" x14ac:dyDescent="0.3">
      <c r="O298" s="91"/>
    </row>
    <row r="299" spans="15:15" ht="13.8" x14ac:dyDescent="0.3">
      <c r="O299" s="91"/>
    </row>
    <row r="300" spans="15:15" ht="13.8" x14ac:dyDescent="0.3">
      <c r="O300" s="91"/>
    </row>
    <row r="301" spans="15:15" ht="13.8" x14ac:dyDescent="0.3">
      <c r="O301" s="91"/>
    </row>
    <row r="302" spans="15:15" ht="13.8" x14ac:dyDescent="0.3">
      <c r="O302" s="91"/>
    </row>
    <row r="303" spans="15:15" ht="13.8" x14ac:dyDescent="0.3">
      <c r="O303" s="91"/>
    </row>
    <row r="304" spans="15:15" ht="13.8" x14ac:dyDescent="0.3">
      <c r="O304" s="91"/>
    </row>
    <row r="305" spans="15:15" ht="13.8" x14ac:dyDescent="0.3">
      <c r="O305" s="91"/>
    </row>
    <row r="306" spans="15:15" ht="13.8" x14ac:dyDescent="0.3">
      <c r="O306" s="91"/>
    </row>
    <row r="307" spans="15:15" ht="13.8" x14ac:dyDescent="0.3">
      <c r="O307" s="91"/>
    </row>
    <row r="308" spans="15:15" ht="13.8" x14ac:dyDescent="0.3">
      <c r="O308" s="91"/>
    </row>
    <row r="309" spans="15:15" ht="13.8" x14ac:dyDescent="0.3">
      <c r="O309" s="91"/>
    </row>
    <row r="310" spans="15:15" ht="13.8" x14ac:dyDescent="0.3">
      <c r="O310" s="91"/>
    </row>
    <row r="311" spans="15:15" ht="13.8" x14ac:dyDescent="0.3">
      <c r="O311" s="91"/>
    </row>
    <row r="312" spans="15:15" ht="13.8" x14ac:dyDescent="0.3">
      <c r="O312" s="91"/>
    </row>
    <row r="313" spans="15:15" ht="13.8" x14ac:dyDescent="0.3">
      <c r="O313" s="91"/>
    </row>
    <row r="314" spans="15:15" ht="13.8" x14ac:dyDescent="0.3">
      <c r="O314" s="91"/>
    </row>
    <row r="315" spans="15:15" ht="13.8" x14ac:dyDescent="0.3">
      <c r="O315" s="91"/>
    </row>
    <row r="316" spans="15:15" ht="13.8" x14ac:dyDescent="0.3">
      <c r="O316" s="91"/>
    </row>
    <row r="317" spans="15:15" ht="13.8" x14ac:dyDescent="0.3">
      <c r="O317" s="91"/>
    </row>
    <row r="318" spans="15:15" ht="13.8" x14ac:dyDescent="0.3">
      <c r="O318" s="91"/>
    </row>
    <row r="319" spans="15:15" ht="13.8" x14ac:dyDescent="0.3">
      <c r="O319" s="91"/>
    </row>
    <row r="320" spans="15:15" ht="13.8" x14ac:dyDescent="0.3">
      <c r="O320" s="91"/>
    </row>
    <row r="321" spans="15:15" ht="13.8" x14ac:dyDescent="0.3">
      <c r="O321" s="91"/>
    </row>
    <row r="322" spans="15:15" ht="13.8" x14ac:dyDescent="0.3">
      <c r="O322" s="91"/>
    </row>
    <row r="323" spans="15:15" ht="13.8" x14ac:dyDescent="0.3">
      <c r="O323" s="91"/>
    </row>
    <row r="324" spans="15:15" ht="13.8" x14ac:dyDescent="0.3">
      <c r="O324" s="91"/>
    </row>
    <row r="325" spans="15:15" ht="13.8" x14ac:dyDescent="0.3">
      <c r="O325" s="91"/>
    </row>
    <row r="326" spans="15:15" ht="13.8" x14ac:dyDescent="0.3">
      <c r="O326" s="91"/>
    </row>
    <row r="327" spans="15:15" ht="13.8" x14ac:dyDescent="0.3">
      <c r="O327" s="91"/>
    </row>
    <row r="328" spans="15:15" ht="13.8" x14ac:dyDescent="0.3">
      <c r="O328" s="91"/>
    </row>
    <row r="329" spans="15:15" ht="13.8" x14ac:dyDescent="0.3">
      <c r="O329" s="91"/>
    </row>
    <row r="330" spans="15:15" ht="13.8" x14ac:dyDescent="0.3">
      <c r="O330" s="91"/>
    </row>
    <row r="331" spans="15:15" ht="13.8" x14ac:dyDescent="0.3">
      <c r="O331" s="91"/>
    </row>
    <row r="332" spans="15:15" ht="13.8" x14ac:dyDescent="0.3">
      <c r="O332" s="91"/>
    </row>
    <row r="333" spans="15:15" ht="13.8" x14ac:dyDescent="0.3">
      <c r="O333" s="91"/>
    </row>
    <row r="334" spans="15:15" ht="13.8" x14ac:dyDescent="0.3">
      <c r="O334" s="91"/>
    </row>
    <row r="335" spans="15:15" ht="13.8" x14ac:dyDescent="0.3">
      <c r="O335" s="91"/>
    </row>
    <row r="336" spans="15:15" ht="13.8" x14ac:dyDescent="0.3">
      <c r="O336" s="91"/>
    </row>
    <row r="337" spans="15:15" ht="13.8" x14ac:dyDescent="0.3">
      <c r="O337" s="91"/>
    </row>
    <row r="338" spans="15:15" ht="13.8" x14ac:dyDescent="0.3">
      <c r="O338" s="91"/>
    </row>
    <row r="339" spans="15:15" ht="13.8" x14ac:dyDescent="0.3">
      <c r="O339" s="91"/>
    </row>
    <row r="340" spans="15:15" ht="13.8" x14ac:dyDescent="0.3">
      <c r="O340" s="91"/>
    </row>
    <row r="341" spans="15:15" ht="13.8" x14ac:dyDescent="0.3">
      <c r="O341" s="91"/>
    </row>
    <row r="342" spans="15:15" ht="13.8" x14ac:dyDescent="0.3">
      <c r="O342" s="91"/>
    </row>
    <row r="343" spans="15:15" ht="13.8" x14ac:dyDescent="0.3">
      <c r="O343" s="91"/>
    </row>
    <row r="344" spans="15:15" ht="13.8" x14ac:dyDescent="0.3">
      <c r="O344" s="91"/>
    </row>
    <row r="345" spans="15:15" ht="13.8" x14ac:dyDescent="0.3">
      <c r="O345" s="91"/>
    </row>
    <row r="346" spans="15:15" ht="13.8" x14ac:dyDescent="0.3">
      <c r="O346" s="91"/>
    </row>
    <row r="347" spans="15:15" ht="13.8" x14ac:dyDescent="0.3">
      <c r="O347" s="91"/>
    </row>
    <row r="348" spans="15:15" ht="13.8" x14ac:dyDescent="0.3">
      <c r="O348" s="91"/>
    </row>
    <row r="349" spans="15:15" ht="13.8" x14ac:dyDescent="0.3">
      <c r="O349" s="91"/>
    </row>
    <row r="350" spans="15:15" ht="13.8" x14ac:dyDescent="0.3">
      <c r="O350" s="91"/>
    </row>
    <row r="351" spans="15:15" ht="13.8" x14ac:dyDescent="0.3">
      <c r="O351" s="91"/>
    </row>
    <row r="352" spans="15:15" ht="13.8" x14ac:dyDescent="0.3">
      <c r="O352" s="91"/>
    </row>
    <row r="353" spans="15:15" ht="13.8" x14ac:dyDescent="0.3">
      <c r="O353" s="91"/>
    </row>
    <row r="354" spans="15:15" ht="13.8" x14ac:dyDescent="0.3">
      <c r="O354" s="91"/>
    </row>
    <row r="355" spans="15:15" ht="13.8" x14ac:dyDescent="0.3"/>
    <row r="356" spans="15:15" ht="13.8" x14ac:dyDescent="0.3"/>
    <row r="357" spans="15:15" ht="13.8" x14ac:dyDescent="0.3"/>
    <row r="358" spans="15:15" ht="13.8" x14ac:dyDescent="0.3"/>
    <row r="359" spans="15:15" ht="13.8" x14ac:dyDescent="0.3"/>
    <row r="360" spans="15:15" ht="13.8" x14ac:dyDescent="0.3"/>
    <row r="361" spans="15:15" ht="13.8" x14ac:dyDescent="0.3"/>
    <row r="362" spans="15:15" ht="13.8" x14ac:dyDescent="0.3"/>
    <row r="363" spans="15:15" ht="13.8" x14ac:dyDescent="0.3"/>
    <row r="364" spans="15:15" ht="13.8" x14ac:dyDescent="0.3"/>
    <row r="365" spans="15:15" ht="13.8" x14ac:dyDescent="0.3"/>
    <row r="366" spans="15:15" ht="13.8" x14ac:dyDescent="0.3"/>
    <row r="367" spans="15:15" ht="13.8" x14ac:dyDescent="0.3"/>
    <row r="368" spans="15:15" ht="13.8" x14ac:dyDescent="0.3"/>
    <row r="369" ht="13.8" x14ac:dyDescent="0.3"/>
    <row r="370" ht="13.8" x14ac:dyDescent="0.3"/>
    <row r="371" ht="13.8" x14ac:dyDescent="0.3"/>
    <row r="372" ht="13.8" x14ac:dyDescent="0.3"/>
    <row r="373" ht="13.8" x14ac:dyDescent="0.3"/>
    <row r="374" ht="13.8" x14ac:dyDescent="0.3"/>
    <row r="375" ht="13.8" x14ac:dyDescent="0.3"/>
    <row r="376" ht="13.8" x14ac:dyDescent="0.3"/>
    <row r="377" ht="13.8" x14ac:dyDescent="0.3"/>
    <row r="378" ht="13.8" x14ac:dyDescent="0.3"/>
    <row r="379" ht="13.8" x14ac:dyDescent="0.3"/>
    <row r="380" ht="13.8" x14ac:dyDescent="0.3"/>
    <row r="381" ht="13.8" x14ac:dyDescent="0.3"/>
    <row r="382" ht="13.8" x14ac:dyDescent="0.3"/>
    <row r="383" ht="13.8" x14ac:dyDescent="0.3"/>
    <row r="384" ht="13.8" x14ac:dyDescent="0.3"/>
    <row r="385" ht="13.8" x14ac:dyDescent="0.3"/>
    <row r="386" ht="13.8" x14ac:dyDescent="0.3"/>
    <row r="387" ht="13.8" x14ac:dyDescent="0.3"/>
    <row r="388" ht="13.8" x14ac:dyDescent="0.3"/>
    <row r="389" ht="13.8" x14ac:dyDescent="0.3"/>
    <row r="390" ht="13.8" x14ac:dyDescent="0.3"/>
    <row r="391" ht="13.8" x14ac:dyDescent="0.3"/>
    <row r="392" ht="13.8" x14ac:dyDescent="0.3"/>
    <row r="393" ht="13.8" x14ac:dyDescent="0.3"/>
    <row r="394" ht="13.8" x14ac:dyDescent="0.3"/>
    <row r="395" ht="13.8" x14ac:dyDescent="0.3"/>
    <row r="396" ht="13.8" x14ac:dyDescent="0.3"/>
    <row r="397" ht="13.8" x14ac:dyDescent="0.3"/>
    <row r="398" ht="13.8" x14ac:dyDescent="0.3"/>
    <row r="399" ht="13.8" x14ac:dyDescent="0.3"/>
    <row r="400" ht="13.8" x14ac:dyDescent="0.3"/>
    <row r="401" ht="13.8" x14ac:dyDescent="0.3"/>
    <row r="402" ht="13.8" x14ac:dyDescent="0.3"/>
    <row r="403" ht="13.8" x14ac:dyDescent="0.3"/>
    <row r="404" ht="13.8" x14ac:dyDescent="0.3"/>
    <row r="405" ht="13.8" x14ac:dyDescent="0.3"/>
    <row r="406" ht="13.8" x14ac:dyDescent="0.3"/>
    <row r="407" ht="13.8" x14ac:dyDescent="0.3"/>
    <row r="408" ht="13.8" x14ac:dyDescent="0.3"/>
    <row r="409" ht="13.8" x14ac:dyDescent="0.3"/>
    <row r="410" ht="13.8" x14ac:dyDescent="0.3"/>
    <row r="411" ht="13.8" x14ac:dyDescent="0.3"/>
    <row r="412" ht="13.8" x14ac:dyDescent="0.3"/>
    <row r="413" ht="13.8" x14ac:dyDescent="0.3"/>
    <row r="414" ht="13.8" x14ac:dyDescent="0.3"/>
    <row r="415" ht="13.8" x14ac:dyDescent="0.3"/>
    <row r="416" ht="13.8" x14ac:dyDescent="0.3"/>
    <row r="417" ht="13.8" x14ac:dyDescent="0.3"/>
    <row r="418" ht="13.8" x14ac:dyDescent="0.3"/>
    <row r="419" ht="13.8" x14ac:dyDescent="0.3"/>
    <row r="420" ht="13.8" x14ac:dyDescent="0.3"/>
    <row r="421" ht="13.8" x14ac:dyDescent="0.3"/>
    <row r="422" ht="13.8" x14ac:dyDescent="0.3"/>
    <row r="423" ht="13.8" x14ac:dyDescent="0.3"/>
    <row r="424" ht="13.8" x14ac:dyDescent="0.3"/>
    <row r="425" ht="13.8" x14ac:dyDescent="0.3"/>
    <row r="426" ht="13.8" x14ac:dyDescent="0.3"/>
    <row r="427" ht="13.8" x14ac:dyDescent="0.3"/>
    <row r="428" ht="13.8" x14ac:dyDescent="0.3"/>
    <row r="429" ht="13.8" x14ac:dyDescent="0.3"/>
    <row r="430" ht="13.8" x14ac:dyDescent="0.3"/>
    <row r="431" ht="13.8" x14ac:dyDescent="0.3"/>
    <row r="432" ht="13.8" x14ac:dyDescent="0.3"/>
    <row r="433" ht="13.8" x14ac:dyDescent="0.3"/>
    <row r="434" ht="13.8" x14ac:dyDescent="0.3"/>
    <row r="435" ht="13.8" x14ac:dyDescent="0.3"/>
    <row r="436" ht="13.8" x14ac:dyDescent="0.3"/>
    <row r="437" ht="13.8" x14ac:dyDescent="0.3"/>
    <row r="438" ht="13.8" x14ac:dyDescent="0.3"/>
    <row r="439" ht="13.8" x14ac:dyDescent="0.3"/>
    <row r="440" ht="13.8" x14ac:dyDescent="0.3"/>
    <row r="441" ht="13.8" x14ac:dyDescent="0.3"/>
    <row r="442" ht="13.8" x14ac:dyDescent="0.3"/>
    <row r="443" ht="13.8" x14ac:dyDescent="0.3"/>
    <row r="444" ht="13.8" x14ac:dyDescent="0.3"/>
    <row r="445" ht="13.8" x14ac:dyDescent="0.3"/>
    <row r="446" ht="13.8" x14ac:dyDescent="0.3"/>
    <row r="447" ht="13.8" x14ac:dyDescent="0.3"/>
    <row r="448" ht="13.8" x14ac:dyDescent="0.3"/>
    <row r="449" ht="13.8" x14ac:dyDescent="0.3"/>
    <row r="450" ht="13.8" x14ac:dyDescent="0.3"/>
    <row r="451" ht="13.8" x14ac:dyDescent="0.3"/>
    <row r="452" ht="13.8" x14ac:dyDescent="0.3"/>
    <row r="453" ht="13.8" x14ac:dyDescent="0.3"/>
    <row r="454" ht="13.8" x14ac:dyDescent="0.3"/>
    <row r="455" ht="13.8" x14ac:dyDescent="0.3"/>
    <row r="456" ht="13.8" x14ac:dyDescent="0.3"/>
    <row r="457" ht="13.8" x14ac:dyDescent="0.3"/>
    <row r="458" ht="13.8" x14ac:dyDescent="0.3"/>
    <row r="459" ht="13.8" x14ac:dyDescent="0.3"/>
    <row r="460" ht="13.8" x14ac:dyDescent="0.3"/>
    <row r="461" ht="13.8" x14ac:dyDescent="0.3"/>
    <row r="462" ht="13.8" x14ac:dyDescent="0.3"/>
    <row r="463" ht="13.8" x14ac:dyDescent="0.3"/>
    <row r="464" ht="13.8" x14ac:dyDescent="0.3"/>
    <row r="465" ht="13.8" x14ac:dyDescent="0.3"/>
    <row r="466" ht="13.8" x14ac:dyDescent="0.3"/>
    <row r="467" ht="13.8" x14ac:dyDescent="0.3"/>
    <row r="468" ht="13.8" x14ac:dyDescent="0.3"/>
    <row r="469" ht="13.8" x14ac:dyDescent="0.3"/>
    <row r="470" ht="13.8" x14ac:dyDescent="0.3"/>
    <row r="471" ht="13.8" x14ac:dyDescent="0.3"/>
    <row r="472" ht="13.8" x14ac:dyDescent="0.3"/>
    <row r="473" ht="13.8" x14ac:dyDescent="0.3"/>
    <row r="474" ht="13.8" x14ac:dyDescent="0.3"/>
    <row r="475" ht="13.8" x14ac:dyDescent="0.3"/>
    <row r="476" ht="13.8" x14ac:dyDescent="0.3"/>
    <row r="477" ht="13.8" x14ac:dyDescent="0.3"/>
    <row r="478" ht="13.8" x14ac:dyDescent="0.3"/>
    <row r="479" ht="13.8" x14ac:dyDescent="0.3"/>
    <row r="480" ht="13.8" x14ac:dyDescent="0.3"/>
    <row r="481" ht="13.8" x14ac:dyDescent="0.3"/>
    <row r="482" ht="13.8" x14ac:dyDescent="0.3"/>
    <row r="483" ht="13.8" x14ac:dyDescent="0.3"/>
    <row r="484" ht="13.8" x14ac:dyDescent="0.3"/>
    <row r="485" ht="13.8" x14ac:dyDescent="0.3"/>
    <row r="486" ht="13.8" x14ac:dyDescent="0.3"/>
    <row r="487" ht="13.8" x14ac:dyDescent="0.3"/>
    <row r="488" ht="13.8" x14ac:dyDescent="0.3"/>
    <row r="489" ht="13.8" x14ac:dyDescent="0.3"/>
    <row r="490" ht="13.8" x14ac:dyDescent="0.3"/>
    <row r="491" ht="13.8" x14ac:dyDescent="0.3"/>
    <row r="492" ht="13.8" x14ac:dyDescent="0.3"/>
    <row r="493" ht="13.8" x14ac:dyDescent="0.3"/>
    <row r="494" ht="13.8" x14ac:dyDescent="0.3"/>
    <row r="495" ht="13.8" x14ac:dyDescent="0.3"/>
    <row r="496" ht="13.8" x14ac:dyDescent="0.3"/>
    <row r="497" ht="13.8" x14ac:dyDescent="0.3"/>
    <row r="498" ht="13.8" x14ac:dyDescent="0.3"/>
    <row r="499" ht="13.8" x14ac:dyDescent="0.3"/>
    <row r="500" ht="13.8" x14ac:dyDescent="0.3"/>
    <row r="501" ht="13.8" x14ac:dyDescent="0.3"/>
    <row r="502" ht="13.8" x14ac:dyDescent="0.3"/>
    <row r="503" ht="13.8" x14ac:dyDescent="0.3"/>
    <row r="504" ht="13.8" x14ac:dyDescent="0.3"/>
    <row r="505" ht="13.8" x14ac:dyDescent="0.3"/>
    <row r="506" ht="13.8" x14ac:dyDescent="0.3"/>
    <row r="507" ht="13.8" x14ac:dyDescent="0.3"/>
    <row r="508" ht="13.8" x14ac:dyDescent="0.3"/>
    <row r="509" ht="13.8" x14ac:dyDescent="0.3"/>
    <row r="510" ht="13.8" x14ac:dyDescent="0.3"/>
    <row r="511" ht="13.8" x14ac:dyDescent="0.3"/>
    <row r="512" ht="13.8" x14ac:dyDescent="0.3"/>
    <row r="513" ht="13.8" x14ac:dyDescent="0.3"/>
    <row r="514" ht="13.8" x14ac:dyDescent="0.3"/>
    <row r="515" ht="13.8" x14ac:dyDescent="0.3"/>
    <row r="516" ht="13.8" x14ac:dyDescent="0.3"/>
    <row r="517" ht="13.8" x14ac:dyDescent="0.3"/>
    <row r="518" ht="13.8" x14ac:dyDescent="0.3"/>
    <row r="519" ht="13.8" x14ac:dyDescent="0.3"/>
    <row r="520" ht="13.8" x14ac:dyDescent="0.3"/>
    <row r="521" ht="13.8" x14ac:dyDescent="0.3"/>
    <row r="522" ht="13.8" x14ac:dyDescent="0.3"/>
    <row r="523" ht="13.8" x14ac:dyDescent="0.3"/>
    <row r="524" ht="13.8" x14ac:dyDescent="0.3"/>
    <row r="525" ht="13.8" x14ac:dyDescent="0.3"/>
    <row r="526" ht="13.8" x14ac:dyDescent="0.3"/>
    <row r="527" ht="13.8" x14ac:dyDescent="0.3"/>
    <row r="528" ht="13.8" x14ac:dyDescent="0.3"/>
    <row r="529" ht="13.8" x14ac:dyDescent="0.3"/>
    <row r="530" ht="13.8" x14ac:dyDescent="0.3"/>
    <row r="531" ht="13.8" x14ac:dyDescent="0.3"/>
    <row r="532" ht="13.8" x14ac:dyDescent="0.3"/>
    <row r="533" ht="13.8" x14ac:dyDescent="0.3"/>
    <row r="534" ht="13.8" x14ac:dyDescent="0.3"/>
    <row r="535" ht="13.8" x14ac:dyDescent="0.3"/>
    <row r="536" ht="13.8" x14ac:dyDescent="0.3"/>
    <row r="537" ht="13.8" x14ac:dyDescent="0.3"/>
    <row r="538" ht="13.8" x14ac:dyDescent="0.3"/>
    <row r="539" ht="13.8" x14ac:dyDescent="0.3"/>
    <row r="540" ht="13.8" x14ac:dyDescent="0.3"/>
    <row r="541" ht="13.8" x14ac:dyDescent="0.3"/>
    <row r="542" ht="13.8" x14ac:dyDescent="0.3"/>
    <row r="543" ht="13.8" x14ac:dyDescent="0.3"/>
    <row r="544" ht="13.8" x14ac:dyDescent="0.3"/>
    <row r="545" ht="13.8" x14ac:dyDescent="0.3"/>
    <row r="546" ht="13.8" x14ac:dyDescent="0.3"/>
    <row r="547" ht="13.8" x14ac:dyDescent="0.3"/>
    <row r="548" ht="13.8" x14ac:dyDescent="0.3"/>
    <row r="549" ht="13.8" x14ac:dyDescent="0.3"/>
    <row r="550" ht="13.8" x14ac:dyDescent="0.3"/>
    <row r="551" ht="13.8" x14ac:dyDescent="0.3"/>
    <row r="552" ht="13.8" x14ac:dyDescent="0.3"/>
    <row r="553" ht="13.8" x14ac:dyDescent="0.3"/>
    <row r="554" ht="13.8" x14ac:dyDescent="0.3"/>
    <row r="555" ht="13.8" x14ac:dyDescent="0.3"/>
    <row r="556" ht="13.8" x14ac:dyDescent="0.3"/>
    <row r="557" ht="13.8" x14ac:dyDescent="0.3"/>
    <row r="558" ht="13.8" x14ac:dyDescent="0.3"/>
    <row r="559" ht="13.8" x14ac:dyDescent="0.3"/>
    <row r="560" ht="13.8" x14ac:dyDescent="0.3"/>
    <row r="561" ht="13.8" x14ac:dyDescent="0.3"/>
    <row r="562" ht="13.8" x14ac:dyDescent="0.3"/>
    <row r="563" ht="13.8" x14ac:dyDescent="0.3"/>
    <row r="564" ht="13.8" x14ac:dyDescent="0.3"/>
    <row r="565" ht="13.8" x14ac:dyDescent="0.3"/>
    <row r="566" ht="13.8" x14ac:dyDescent="0.3"/>
    <row r="567" ht="13.8" x14ac:dyDescent="0.3"/>
    <row r="568" ht="13.8" x14ac:dyDescent="0.3"/>
    <row r="569" ht="13.8" x14ac:dyDescent="0.3"/>
    <row r="570" ht="13.8" x14ac:dyDescent="0.3"/>
    <row r="571" ht="13.8" x14ac:dyDescent="0.3"/>
    <row r="572" ht="13.8" x14ac:dyDescent="0.3"/>
    <row r="573" ht="13.8" x14ac:dyDescent="0.3"/>
    <row r="574" ht="13.8" x14ac:dyDescent="0.3"/>
    <row r="575" ht="13.8" x14ac:dyDescent="0.3"/>
    <row r="576" ht="13.8" x14ac:dyDescent="0.3"/>
    <row r="577" ht="13.8" x14ac:dyDescent="0.3"/>
    <row r="578" ht="13.8" x14ac:dyDescent="0.3"/>
    <row r="579" ht="13.8" x14ac:dyDescent="0.3"/>
    <row r="580" ht="13.8" x14ac:dyDescent="0.3"/>
    <row r="581" ht="13.8" x14ac:dyDescent="0.3"/>
    <row r="582" ht="13.8" x14ac:dyDescent="0.3"/>
    <row r="583" ht="13.8" x14ac:dyDescent="0.3"/>
    <row r="584" ht="13.8" x14ac:dyDescent="0.3"/>
    <row r="585" ht="13.8" x14ac:dyDescent="0.3"/>
    <row r="586" ht="13.8" x14ac:dyDescent="0.3"/>
    <row r="587" ht="13.8" x14ac:dyDescent="0.3"/>
    <row r="588" ht="13.8" x14ac:dyDescent="0.3"/>
    <row r="589" ht="13.8" x14ac:dyDescent="0.3"/>
    <row r="590" ht="13.8" x14ac:dyDescent="0.3"/>
    <row r="591" ht="13.8" x14ac:dyDescent="0.3"/>
    <row r="592" ht="13.8" x14ac:dyDescent="0.3"/>
    <row r="593" ht="13.8" x14ac:dyDescent="0.3"/>
    <row r="594" ht="13.8" x14ac:dyDescent="0.3"/>
    <row r="595" ht="13.8" x14ac:dyDescent="0.3"/>
    <row r="596" ht="13.8" x14ac:dyDescent="0.3"/>
    <row r="597" ht="13.8" x14ac:dyDescent="0.3"/>
    <row r="598" ht="13.8" x14ac:dyDescent="0.3"/>
    <row r="599" ht="13.8" x14ac:dyDescent="0.3"/>
    <row r="600" ht="13.8" x14ac:dyDescent="0.3"/>
    <row r="601" ht="13.8" x14ac:dyDescent="0.3"/>
    <row r="602" ht="13.8" x14ac:dyDescent="0.3"/>
    <row r="603" ht="13.8" x14ac:dyDescent="0.3"/>
    <row r="604" ht="13.8" x14ac:dyDescent="0.3"/>
    <row r="605" ht="13.8" x14ac:dyDescent="0.3"/>
    <row r="606" ht="13.8" x14ac:dyDescent="0.3"/>
    <row r="607" ht="13.8" x14ac:dyDescent="0.3"/>
    <row r="608" ht="13.8" x14ac:dyDescent="0.3"/>
    <row r="609" ht="13.8" x14ac:dyDescent="0.3"/>
    <row r="610" ht="13.8" x14ac:dyDescent="0.3"/>
    <row r="611" ht="13.8" x14ac:dyDescent="0.3"/>
    <row r="612" ht="13.8" x14ac:dyDescent="0.3"/>
    <row r="613" ht="13.8" x14ac:dyDescent="0.3"/>
    <row r="614" ht="13.8" x14ac:dyDescent="0.3"/>
    <row r="615" ht="13.8" x14ac:dyDescent="0.3"/>
    <row r="616" ht="13.8" x14ac:dyDescent="0.3"/>
    <row r="617" ht="13.8" x14ac:dyDescent="0.3"/>
    <row r="618" ht="13.8" x14ac:dyDescent="0.3"/>
    <row r="619" ht="13.8" x14ac:dyDescent="0.3"/>
    <row r="620" ht="13.8" x14ac:dyDescent="0.3"/>
    <row r="621" ht="13.8" x14ac:dyDescent="0.3"/>
    <row r="622" ht="13.8" x14ac:dyDescent="0.3"/>
    <row r="623" ht="13.8" x14ac:dyDescent="0.3"/>
    <row r="624" ht="13.8" x14ac:dyDescent="0.3"/>
    <row r="625" ht="13.8" x14ac:dyDescent="0.3"/>
    <row r="626" ht="13.8" x14ac:dyDescent="0.3"/>
    <row r="627" ht="13.8" x14ac:dyDescent="0.3"/>
    <row r="628" ht="13.8" x14ac:dyDescent="0.3"/>
    <row r="629" ht="13.8" x14ac:dyDescent="0.3"/>
    <row r="630" ht="13.8" x14ac:dyDescent="0.3"/>
    <row r="631" ht="13.8" x14ac:dyDescent="0.3"/>
    <row r="632" ht="13.8" x14ac:dyDescent="0.3"/>
    <row r="633" ht="13.8" x14ac:dyDescent="0.3"/>
    <row r="634" ht="13.8" x14ac:dyDescent="0.3"/>
    <row r="635" ht="13.8" x14ac:dyDescent="0.3"/>
    <row r="636" ht="13.8" x14ac:dyDescent="0.3"/>
    <row r="637" ht="13.8" x14ac:dyDescent="0.3"/>
    <row r="638" ht="13.8" x14ac:dyDescent="0.3"/>
    <row r="639" ht="13.8" x14ac:dyDescent="0.3"/>
    <row r="640" ht="13.8" x14ac:dyDescent="0.3"/>
    <row r="641" ht="13.8" x14ac:dyDescent="0.3"/>
    <row r="642" ht="13.8" x14ac:dyDescent="0.3"/>
    <row r="643" ht="13.8" x14ac:dyDescent="0.3"/>
    <row r="644" ht="13.8" x14ac:dyDescent="0.3"/>
    <row r="645" ht="13.8" x14ac:dyDescent="0.3"/>
    <row r="646" ht="13.8" x14ac:dyDescent="0.3"/>
    <row r="647" ht="13.8" x14ac:dyDescent="0.3"/>
    <row r="648" ht="13.8" x14ac:dyDescent="0.3"/>
    <row r="649" ht="13.8" x14ac:dyDescent="0.3"/>
    <row r="650" ht="13.8" x14ac:dyDescent="0.3"/>
    <row r="651" ht="13.8" x14ac:dyDescent="0.3"/>
    <row r="652" ht="13.8" x14ac:dyDescent="0.3"/>
    <row r="653" ht="13.8" x14ac:dyDescent="0.3"/>
    <row r="654" ht="13.8" x14ac:dyDescent="0.3"/>
    <row r="655" ht="13.8" x14ac:dyDescent="0.3"/>
    <row r="656" ht="13.8" x14ac:dyDescent="0.3"/>
    <row r="657" ht="13.8" x14ac:dyDescent="0.3"/>
    <row r="658" ht="13.8" x14ac:dyDescent="0.3"/>
    <row r="659" ht="13.8" x14ac:dyDescent="0.3"/>
    <row r="660" ht="13.8" x14ac:dyDescent="0.3"/>
    <row r="661" ht="13.8" x14ac:dyDescent="0.3"/>
    <row r="662" ht="13.8" x14ac:dyDescent="0.3"/>
    <row r="663" ht="13.8" x14ac:dyDescent="0.3"/>
    <row r="664" ht="13.8" x14ac:dyDescent="0.3"/>
    <row r="665" ht="13.8" x14ac:dyDescent="0.3"/>
    <row r="666" ht="13.8" x14ac:dyDescent="0.3"/>
    <row r="667" ht="13.8" x14ac:dyDescent="0.3"/>
    <row r="668" ht="13.8" x14ac:dyDescent="0.3"/>
    <row r="669" ht="13.8" x14ac:dyDescent="0.3"/>
    <row r="670" ht="13.8" x14ac:dyDescent="0.3"/>
    <row r="671" ht="13.8" x14ac:dyDescent="0.3"/>
    <row r="672" ht="13.8" x14ac:dyDescent="0.3"/>
    <row r="673" ht="13.8" x14ac:dyDescent="0.3"/>
    <row r="674" ht="13.8" x14ac:dyDescent="0.3"/>
    <row r="675" ht="13.8" x14ac:dyDescent="0.3"/>
    <row r="676" ht="13.8" x14ac:dyDescent="0.3"/>
    <row r="677" ht="13.8" x14ac:dyDescent="0.3"/>
    <row r="678" ht="13.8" x14ac:dyDescent="0.3"/>
    <row r="679" ht="13.8" x14ac:dyDescent="0.3"/>
    <row r="680" ht="13.8" x14ac:dyDescent="0.3"/>
    <row r="681" ht="13.8" x14ac:dyDescent="0.3"/>
    <row r="682" ht="13.8" x14ac:dyDescent="0.3"/>
    <row r="683" ht="13.8" x14ac:dyDescent="0.3"/>
    <row r="684" ht="13.8" x14ac:dyDescent="0.3"/>
    <row r="685" ht="13.8" x14ac:dyDescent="0.3"/>
    <row r="686" ht="13.8" x14ac:dyDescent="0.3"/>
    <row r="687" ht="13.8" x14ac:dyDescent="0.3"/>
    <row r="688" ht="13.8" x14ac:dyDescent="0.3"/>
    <row r="689" ht="13.8" x14ac:dyDescent="0.3"/>
    <row r="690" ht="13.8" x14ac:dyDescent="0.3"/>
    <row r="691" ht="13.8" x14ac:dyDescent="0.3"/>
    <row r="692" ht="13.8" x14ac:dyDescent="0.3"/>
    <row r="693" ht="13.8" x14ac:dyDescent="0.3"/>
    <row r="694" ht="13.8" x14ac:dyDescent="0.3"/>
    <row r="695" ht="13.8" x14ac:dyDescent="0.3"/>
    <row r="696" ht="13.8" x14ac:dyDescent="0.3"/>
    <row r="697" ht="13.8" x14ac:dyDescent="0.3"/>
    <row r="698" ht="13.8" x14ac:dyDescent="0.3"/>
    <row r="699" ht="13.8" x14ac:dyDescent="0.3"/>
    <row r="700" ht="13.8" x14ac:dyDescent="0.3"/>
    <row r="701" ht="13.8" x14ac:dyDescent="0.3"/>
    <row r="702" ht="13.8" x14ac:dyDescent="0.3"/>
    <row r="703" ht="13.8" x14ac:dyDescent="0.3"/>
    <row r="704" ht="13.8" x14ac:dyDescent="0.3"/>
    <row r="705" ht="13.8" x14ac:dyDescent="0.3"/>
    <row r="706" ht="13.8" x14ac:dyDescent="0.3"/>
    <row r="707" ht="13.8" x14ac:dyDescent="0.3"/>
    <row r="708" ht="13.8" x14ac:dyDescent="0.3"/>
    <row r="709" ht="13.8" x14ac:dyDescent="0.3"/>
    <row r="710" ht="13.8" x14ac:dyDescent="0.3"/>
    <row r="711" ht="13.8" x14ac:dyDescent="0.3"/>
    <row r="712" ht="13.8" x14ac:dyDescent="0.3"/>
    <row r="713" ht="13.8" x14ac:dyDescent="0.3"/>
    <row r="714" ht="13.8" x14ac:dyDescent="0.3"/>
    <row r="715" ht="13.8" x14ac:dyDescent="0.3"/>
    <row r="716" ht="13.8" x14ac:dyDescent="0.3"/>
    <row r="717" ht="13.8" x14ac:dyDescent="0.3"/>
    <row r="718" ht="13.8" x14ac:dyDescent="0.3"/>
    <row r="719" ht="13.8" x14ac:dyDescent="0.3"/>
    <row r="720" ht="13.8" x14ac:dyDescent="0.3"/>
    <row r="721" ht="13.8" x14ac:dyDescent="0.3"/>
    <row r="722" ht="13.8" x14ac:dyDescent="0.3"/>
    <row r="723" ht="13.8" x14ac:dyDescent="0.3"/>
    <row r="724" ht="13.8" x14ac:dyDescent="0.3"/>
    <row r="725" ht="13.8" x14ac:dyDescent="0.3"/>
    <row r="726" ht="13.8" x14ac:dyDescent="0.3"/>
    <row r="727" ht="13.8" x14ac:dyDescent="0.3"/>
    <row r="728" ht="13.8" x14ac:dyDescent="0.3"/>
    <row r="729" ht="13.8" x14ac:dyDescent="0.3"/>
    <row r="730" ht="13.8" x14ac:dyDescent="0.3"/>
    <row r="731" ht="13.8" x14ac:dyDescent="0.3"/>
    <row r="732" ht="13.8" x14ac:dyDescent="0.3"/>
    <row r="733" ht="13.8" x14ac:dyDescent="0.3"/>
    <row r="734" ht="13.8" x14ac:dyDescent="0.3"/>
    <row r="735" ht="13.8" x14ac:dyDescent="0.3"/>
    <row r="736" ht="13.8" x14ac:dyDescent="0.3"/>
    <row r="737" ht="13.8" x14ac:dyDescent="0.3"/>
    <row r="738" ht="13.8" x14ac:dyDescent="0.3"/>
    <row r="739" ht="13.8" x14ac:dyDescent="0.3"/>
    <row r="740" ht="13.8" x14ac:dyDescent="0.3"/>
    <row r="741" ht="13.8" x14ac:dyDescent="0.3"/>
    <row r="742" ht="13.8" x14ac:dyDescent="0.3"/>
    <row r="743" ht="13.8" x14ac:dyDescent="0.3"/>
    <row r="744" ht="13.8" x14ac:dyDescent="0.3"/>
    <row r="745" ht="13.8" x14ac:dyDescent="0.3"/>
    <row r="746" ht="13.8" x14ac:dyDescent="0.3"/>
    <row r="747" ht="13.8" x14ac:dyDescent="0.3"/>
    <row r="748" ht="13.8" x14ac:dyDescent="0.3"/>
    <row r="749" ht="13.8" x14ac:dyDescent="0.3"/>
    <row r="750" ht="13.8" x14ac:dyDescent="0.3"/>
    <row r="751" ht="13.8" x14ac:dyDescent="0.3"/>
    <row r="752" ht="13.8" x14ac:dyDescent="0.3"/>
    <row r="753" ht="13.8" x14ac:dyDescent="0.3"/>
    <row r="754" ht="13.8" x14ac:dyDescent="0.3"/>
    <row r="755" ht="13.8" x14ac:dyDescent="0.3"/>
    <row r="756" ht="13.8" x14ac:dyDescent="0.3"/>
    <row r="757" ht="13.8" x14ac:dyDescent="0.3"/>
    <row r="758" ht="13.8" x14ac:dyDescent="0.3"/>
    <row r="759" ht="13.8" x14ac:dyDescent="0.3"/>
    <row r="760" ht="13.8" x14ac:dyDescent="0.3"/>
    <row r="761" ht="13.8" x14ac:dyDescent="0.3"/>
    <row r="762" ht="13.8" x14ac:dyDescent="0.3"/>
    <row r="763" ht="13.8" x14ac:dyDescent="0.3"/>
    <row r="764" ht="13.8" x14ac:dyDescent="0.3"/>
    <row r="765" ht="13.8" x14ac:dyDescent="0.3"/>
    <row r="766" ht="13.8" x14ac:dyDescent="0.3"/>
    <row r="767" ht="13.8" x14ac:dyDescent="0.3"/>
    <row r="768" ht="13.8" x14ac:dyDescent="0.3"/>
    <row r="769" ht="13.8" x14ac:dyDescent="0.3"/>
    <row r="770" ht="13.8" x14ac:dyDescent="0.3"/>
    <row r="771" ht="13.8" x14ac:dyDescent="0.3"/>
    <row r="772" ht="13.8" x14ac:dyDescent="0.3"/>
    <row r="773" ht="13.8" x14ac:dyDescent="0.3"/>
    <row r="774" ht="13.8" x14ac:dyDescent="0.3"/>
    <row r="775" ht="13.8" x14ac:dyDescent="0.3"/>
    <row r="776" ht="13.8" x14ac:dyDescent="0.3"/>
    <row r="777" ht="13.8" x14ac:dyDescent="0.3"/>
    <row r="778" ht="13.8" x14ac:dyDescent="0.3"/>
    <row r="779" ht="13.8" x14ac:dyDescent="0.3"/>
    <row r="780" ht="13.8" x14ac:dyDescent="0.3"/>
    <row r="781" ht="13.8" x14ac:dyDescent="0.3"/>
    <row r="782" ht="13.8" x14ac:dyDescent="0.3"/>
    <row r="783" ht="13.8" x14ac:dyDescent="0.3"/>
    <row r="784" ht="13.8" x14ac:dyDescent="0.3"/>
    <row r="785" ht="13.8" x14ac:dyDescent="0.3"/>
    <row r="786" ht="13.8" x14ac:dyDescent="0.3"/>
    <row r="787" ht="13.8" x14ac:dyDescent="0.3"/>
    <row r="788" ht="13.8" x14ac:dyDescent="0.3"/>
    <row r="789" ht="13.8" x14ac:dyDescent="0.3"/>
    <row r="790" ht="13.8" x14ac:dyDescent="0.3"/>
    <row r="791" ht="13.8" x14ac:dyDescent="0.3"/>
    <row r="792" ht="13.8" x14ac:dyDescent="0.3"/>
    <row r="793" ht="13.8" x14ac:dyDescent="0.3"/>
    <row r="794" ht="13.8" x14ac:dyDescent="0.3"/>
    <row r="795" ht="13.8" x14ac:dyDescent="0.3"/>
    <row r="796" ht="13.8" x14ac:dyDescent="0.3"/>
    <row r="797" ht="13.8" x14ac:dyDescent="0.3"/>
    <row r="798" ht="13.8" x14ac:dyDescent="0.3"/>
    <row r="799" ht="13.8" x14ac:dyDescent="0.3"/>
    <row r="800" ht="13.8" x14ac:dyDescent="0.3"/>
    <row r="801" ht="13.8" x14ac:dyDescent="0.3"/>
    <row r="802" ht="13.8" x14ac:dyDescent="0.3"/>
    <row r="803" ht="13.8" x14ac:dyDescent="0.3"/>
    <row r="804" ht="13.8" x14ac:dyDescent="0.3"/>
    <row r="805" ht="13.8" x14ac:dyDescent="0.3"/>
    <row r="806" ht="13.8" x14ac:dyDescent="0.3"/>
    <row r="807" ht="13.8" x14ac:dyDescent="0.3"/>
    <row r="808" ht="13.8" x14ac:dyDescent="0.3"/>
    <row r="809" ht="13.8" x14ac:dyDescent="0.3"/>
    <row r="810" ht="13.8" x14ac:dyDescent="0.3"/>
    <row r="811" ht="13.8" x14ac:dyDescent="0.3"/>
    <row r="812" ht="13.8" x14ac:dyDescent="0.3"/>
    <row r="813" ht="13.8" x14ac:dyDescent="0.3"/>
    <row r="814" ht="13.8" x14ac:dyDescent="0.3"/>
    <row r="815" ht="13.8" x14ac:dyDescent="0.3"/>
    <row r="816" ht="13.8" x14ac:dyDescent="0.3"/>
    <row r="817" ht="13.8" x14ac:dyDescent="0.3"/>
    <row r="818" ht="13.8" x14ac:dyDescent="0.3"/>
    <row r="819" ht="13.8" x14ac:dyDescent="0.3"/>
    <row r="820" ht="13.8" x14ac:dyDescent="0.3"/>
    <row r="821" ht="13.8" x14ac:dyDescent="0.3"/>
    <row r="822" ht="13.8" x14ac:dyDescent="0.3"/>
    <row r="823" ht="13.8" x14ac:dyDescent="0.3"/>
    <row r="824" ht="13.8" x14ac:dyDescent="0.3"/>
    <row r="825" ht="13.8" x14ac:dyDescent="0.3"/>
    <row r="826" ht="13.8" x14ac:dyDescent="0.3"/>
    <row r="827" ht="13.8" x14ac:dyDescent="0.3"/>
    <row r="828" ht="13.8" x14ac:dyDescent="0.3"/>
    <row r="829" ht="13.8" x14ac:dyDescent="0.3"/>
    <row r="830" ht="13.8" x14ac:dyDescent="0.3"/>
    <row r="831" ht="13.8" x14ac:dyDescent="0.3"/>
    <row r="832" ht="13.8" x14ac:dyDescent="0.3"/>
    <row r="833" ht="13.8" x14ac:dyDescent="0.3"/>
    <row r="834" ht="13.8" x14ac:dyDescent="0.3"/>
    <row r="835" ht="13.8" x14ac:dyDescent="0.3"/>
    <row r="836" ht="13.8" x14ac:dyDescent="0.3"/>
    <row r="837" ht="13.8" x14ac:dyDescent="0.3"/>
    <row r="838" ht="13.8" x14ac:dyDescent="0.3"/>
    <row r="839" ht="13.8" x14ac:dyDescent="0.3"/>
    <row r="840" ht="13.8" x14ac:dyDescent="0.3"/>
    <row r="841" ht="13.8" x14ac:dyDescent="0.3"/>
    <row r="842" ht="13.8" x14ac:dyDescent="0.3"/>
    <row r="843" ht="13.8" x14ac:dyDescent="0.3"/>
    <row r="844" ht="13.8" x14ac:dyDescent="0.3"/>
    <row r="845" ht="13.8" x14ac:dyDescent="0.3"/>
    <row r="846" ht="13.8" x14ac:dyDescent="0.3"/>
    <row r="847" ht="13.8" x14ac:dyDescent="0.3"/>
    <row r="848" ht="13.8" x14ac:dyDescent="0.3"/>
    <row r="849" ht="13.8" x14ac:dyDescent="0.3"/>
    <row r="850" ht="13.8" x14ac:dyDescent="0.3"/>
    <row r="851" ht="13.8" x14ac:dyDescent="0.3"/>
    <row r="852" ht="13.8" x14ac:dyDescent="0.3"/>
    <row r="853" ht="13.8" x14ac:dyDescent="0.3"/>
    <row r="854" ht="13.8" x14ac:dyDescent="0.3"/>
    <row r="855" ht="13.8" x14ac:dyDescent="0.3"/>
    <row r="856" ht="13.8" x14ac:dyDescent="0.3"/>
    <row r="857" ht="13.8" x14ac:dyDescent="0.3"/>
    <row r="858" ht="13.8" x14ac:dyDescent="0.3"/>
    <row r="859" ht="13.8" x14ac:dyDescent="0.3"/>
    <row r="860" ht="13.8" x14ac:dyDescent="0.3"/>
    <row r="861" ht="13.8" x14ac:dyDescent="0.3"/>
    <row r="862" ht="13.8" x14ac:dyDescent="0.3"/>
    <row r="863" ht="13.8" x14ac:dyDescent="0.3"/>
    <row r="864" ht="13.8" x14ac:dyDescent="0.3"/>
    <row r="865" ht="13.8" x14ac:dyDescent="0.3"/>
    <row r="866" ht="13.8" x14ac:dyDescent="0.3"/>
    <row r="867" ht="13.8" x14ac:dyDescent="0.3"/>
    <row r="868" ht="13.8" x14ac:dyDescent="0.3"/>
    <row r="869" ht="13.8" x14ac:dyDescent="0.3"/>
    <row r="870" ht="13.8" x14ac:dyDescent="0.3"/>
    <row r="871" ht="13.8" x14ac:dyDescent="0.3"/>
    <row r="872" ht="13.8" x14ac:dyDescent="0.3"/>
    <row r="873" ht="13.8" x14ac:dyDescent="0.3"/>
    <row r="874" ht="13.8" x14ac:dyDescent="0.3"/>
    <row r="875" ht="13.8" x14ac:dyDescent="0.3"/>
    <row r="876" ht="13.8" x14ac:dyDescent="0.3"/>
    <row r="877" ht="13.8" x14ac:dyDescent="0.3"/>
    <row r="878" ht="13.8" x14ac:dyDescent="0.3"/>
    <row r="879" ht="13.8" x14ac:dyDescent="0.3"/>
    <row r="880" ht="13.8" x14ac:dyDescent="0.3"/>
    <row r="881" ht="13.8" x14ac:dyDescent="0.3"/>
    <row r="882" ht="13.8" x14ac:dyDescent="0.3"/>
    <row r="883" ht="13.8" x14ac:dyDescent="0.3"/>
    <row r="884" ht="13.8" x14ac:dyDescent="0.3"/>
    <row r="885" ht="13.8" x14ac:dyDescent="0.3"/>
    <row r="886" ht="13.8" x14ac:dyDescent="0.3"/>
    <row r="887" ht="13.8" x14ac:dyDescent="0.3"/>
    <row r="888" ht="13.8" x14ac:dyDescent="0.3"/>
    <row r="889" ht="13.8" x14ac:dyDescent="0.3"/>
    <row r="890" ht="13.8" x14ac:dyDescent="0.3"/>
    <row r="891" ht="13.8" x14ac:dyDescent="0.3"/>
    <row r="892" ht="13.8" x14ac:dyDescent="0.3"/>
    <row r="893" ht="13.8" x14ac:dyDescent="0.3"/>
    <row r="894" ht="13.8" x14ac:dyDescent="0.3"/>
    <row r="895" ht="13.8" x14ac:dyDescent="0.3"/>
    <row r="896" ht="13.8" x14ac:dyDescent="0.3"/>
    <row r="897" ht="13.8" x14ac:dyDescent="0.3"/>
    <row r="898" ht="13.8" x14ac:dyDescent="0.3"/>
    <row r="899" ht="13.8" x14ac:dyDescent="0.3"/>
    <row r="900" ht="13.8" x14ac:dyDescent="0.3"/>
    <row r="901" ht="13.8" x14ac:dyDescent="0.3"/>
    <row r="902" ht="13.8" x14ac:dyDescent="0.3"/>
    <row r="903" ht="13.8" x14ac:dyDescent="0.3"/>
    <row r="904" ht="13.8" x14ac:dyDescent="0.3"/>
    <row r="905" ht="13.8" x14ac:dyDescent="0.3"/>
    <row r="906" ht="13.8" x14ac:dyDescent="0.3"/>
    <row r="907" ht="13.8" x14ac:dyDescent="0.3"/>
    <row r="908" ht="13.8" x14ac:dyDescent="0.3"/>
    <row r="909" ht="13.8" x14ac:dyDescent="0.3"/>
    <row r="910" ht="13.8" x14ac:dyDescent="0.3"/>
    <row r="911" ht="13.8" x14ac:dyDescent="0.3"/>
    <row r="912" ht="13.8" x14ac:dyDescent="0.3"/>
    <row r="913" ht="13.8" x14ac:dyDescent="0.3"/>
    <row r="914" ht="13.8" x14ac:dyDescent="0.3"/>
    <row r="915" ht="13.8" x14ac:dyDescent="0.3"/>
    <row r="916" ht="13.8" x14ac:dyDescent="0.3"/>
    <row r="917" ht="13.8" x14ac:dyDescent="0.3"/>
    <row r="918" ht="13.8" x14ac:dyDescent="0.3"/>
    <row r="919" ht="13.8" x14ac:dyDescent="0.3"/>
    <row r="920" ht="13.8" x14ac:dyDescent="0.3"/>
    <row r="921" ht="13.8" x14ac:dyDescent="0.3"/>
    <row r="922" ht="13.8" x14ac:dyDescent="0.3"/>
    <row r="923" ht="13.8" x14ac:dyDescent="0.3"/>
    <row r="924" ht="13.8" x14ac:dyDescent="0.3"/>
    <row r="925" ht="13.8" x14ac:dyDescent="0.3"/>
    <row r="926" ht="13.8" x14ac:dyDescent="0.3"/>
    <row r="927" ht="13.8" x14ac:dyDescent="0.3"/>
    <row r="928" ht="13.8" x14ac:dyDescent="0.3"/>
    <row r="929" ht="13.8" x14ac:dyDescent="0.3"/>
    <row r="930" ht="13.8" x14ac:dyDescent="0.3"/>
    <row r="931" ht="13.8" x14ac:dyDescent="0.3"/>
    <row r="932" ht="13.8" x14ac:dyDescent="0.3"/>
    <row r="933" ht="13.8" x14ac:dyDescent="0.3"/>
    <row r="934" ht="13.8" x14ac:dyDescent="0.3"/>
    <row r="935" ht="13.8" x14ac:dyDescent="0.3"/>
    <row r="936" ht="13.8" x14ac:dyDescent="0.3"/>
    <row r="937" ht="13.8" x14ac:dyDescent="0.3"/>
    <row r="938" ht="13.8" x14ac:dyDescent="0.3"/>
    <row r="939" ht="13.8" x14ac:dyDescent="0.3"/>
    <row r="940" ht="13.8" x14ac:dyDescent="0.3"/>
    <row r="941" ht="13.8" x14ac:dyDescent="0.3"/>
    <row r="942" ht="13.8" x14ac:dyDescent="0.3"/>
    <row r="943" ht="13.8" x14ac:dyDescent="0.3"/>
    <row r="944" ht="13.8" x14ac:dyDescent="0.3"/>
    <row r="945" ht="13.8" x14ac:dyDescent="0.3"/>
    <row r="946" ht="13.8" x14ac:dyDescent="0.3"/>
    <row r="947" ht="13.8" x14ac:dyDescent="0.3"/>
    <row r="948" ht="13.8" x14ac:dyDescent="0.3"/>
    <row r="949" ht="13.8" x14ac:dyDescent="0.3"/>
    <row r="950" ht="13.8" x14ac:dyDescent="0.3"/>
    <row r="951" ht="13.8" x14ac:dyDescent="0.3"/>
    <row r="952" ht="13.8" x14ac:dyDescent="0.3"/>
    <row r="953" ht="13.8" x14ac:dyDescent="0.3"/>
    <row r="954" ht="13.8" x14ac:dyDescent="0.3"/>
    <row r="955" ht="13.8" x14ac:dyDescent="0.3"/>
    <row r="956" ht="13.8" x14ac:dyDescent="0.3"/>
    <row r="957" ht="13.8" x14ac:dyDescent="0.3"/>
    <row r="958" ht="13.8" x14ac:dyDescent="0.3"/>
    <row r="959" ht="13.8" x14ac:dyDescent="0.3"/>
    <row r="960" ht="13.8" x14ac:dyDescent="0.3"/>
    <row r="961" ht="13.8" x14ac:dyDescent="0.3"/>
    <row r="962" ht="13.8" x14ac:dyDescent="0.3"/>
    <row r="963" ht="13.8" x14ac:dyDescent="0.3"/>
    <row r="964" ht="13.8" x14ac:dyDescent="0.3"/>
    <row r="965" ht="13.8" x14ac:dyDescent="0.3"/>
    <row r="966" ht="13.8" x14ac:dyDescent="0.3"/>
    <row r="967" ht="13.8" x14ac:dyDescent="0.3"/>
    <row r="968" ht="13.8" x14ac:dyDescent="0.3"/>
    <row r="969" ht="13.8" x14ac:dyDescent="0.3"/>
    <row r="970" ht="13.8" x14ac:dyDescent="0.3"/>
    <row r="971" ht="13.8" x14ac:dyDescent="0.3"/>
    <row r="972" ht="13.8" x14ac:dyDescent="0.3"/>
    <row r="973" ht="13.8" x14ac:dyDescent="0.3"/>
    <row r="974" ht="13.8" x14ac:dyDescent="0.3"/>
    <row r="975" ht="13.8" x14ac:dyDescent="0.3"/>
    <row r="976" ht="13.8" x14ac:dyDescent="0.3"/>
    <row r="977" ht="13.8" x14ac:dyDescent="0.3"/>
    <row r="978" ht="13.8" x14ac:dyDescent="0.3"/>
    <row r="979" ht="13.8" x14ac:dyDescent="0.3"/>
    <row r="980" ht="13.8" x14ac:dyDescent="0.3"/>
    <row r="981" ht="13.8" x14ac:dyDescent="0.3"/>
    <row r="982" ht="13.8" x14ac:dyDescent="0.3"/>
    <row r="983" ht="13.8" x14ac:dyDescent="0.3"/>
    <row r="984" ht="13.8" x14ac:dyDescent="0.3"/>
    <row r="985" ht="13.8" x14ac:dyDescent="0.3"/>
    <row r="986" ht="13.8" x14ac:dyDescent="0.3"/>
    <row r="987" ht="13.8" x14ac:dyDescent="0.3"/>
    <row r="988" ht="13.8" x14ac:dyDescent="0.3"/>
    <row r="989" ht="13.8" x14ac:dyDescent="0.3"/>
    <row r="990" ht="13.8" x14ac:dyDescent="0.3"/>
    <row r="991" ht="13.8" x14ac:dyDescent="0.3"/>
    <row r="992" ht="13.8" x14ac:dyDescent="0.3"/>
    <row r="993" ht="13.8" x14ac:dyDescent="0.3"/>
    <row r="994" ht="13.8" x14ac:dyDescent="0.3"/>
    <row r="995" ht="13.8" x14ac:dyDescent="0.3"/>
    <row r="996" ht="13.8" x14ac:dyDescent="0.3"/>
    <row r="997" ht="13.8" x14ac:dyDescent="0.3"/>
    <row r="998" ht="13.8" x14ac:dyDescent="0.3"/>
    <row r="999" ht="13.8" x14ac:dyDescent="0.3"/>
    <row r="1000" ht="13.8" x14ac:dyDescent="0.3"/>
  </sheetData>
  <autoFilter ref="A1:D11" xr:uid="{00000000-0009-0000-0000-000002000000}"/>
  <conditionalFormatting sqref="C34:C3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62:C6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9:C96">
    <cfRule type="colorScale" priority="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62:G69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9:G96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34:H41">
    <cfRule type="colorScale" priority="6">
      <colorScale>
        <cfvo type="min"/>
        <cfvo type="max"/>
        <color rgb="FFFFFFFF"/>
        <color rgb="FF57BB8A"/>
      </colorScale>
    </cfRule>
  </conditionalFormatting>
  <conditionalFormatting sqref="K62:K69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89:K96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36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34:T41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ASIANPAINT</vt:lpstr>
      <vt:lpstr>Paint Industry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2024-07-20T01:29:42Z</dcterms:created>
  <dcterms:modified xsi:type="dcterms:W3CDTF">2024-07-20T02:09:04Z</dcterms:modified>
</cp:coreProperties>
</file>