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C04ECBED-4E94-46DC-9829-8914CBA14A42}" xr6:coauthVersionLast="47" xr6:coauthVersionMax="47" xr10:uidLastSave="{00000000-0000-0000-0000-000000000000}"/>
  <bookViews>
    <workbookView xWindow="-108" yWindow="-108" windowWidth="23256" windowHeight="12456" xr2:uid="{BB475D83-EECA-4B68-95A4-3B78AA97B31A}"/>
  </bookViews>
  <sheets>
    <sheet name="ASIANPAIN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J69" i="1"/>
  <c r="H69" i="1"/>
  <c r="I69" i="1" s="1"/>
  <c r="F69" i="1"/>
  <c r="G69" i="1" s="1"/>
  <c r="D69" i="1"/>
  <c r="D70" i="1" s="1"/>
  <c r="V62" i="1"/>
  <c r="U62" i="1"/>
  <c r="T62" i="1"/>
  <c r="S62" i="1"/>
  <c r="O62" i="1"/>
  <c r="N62" i="1"/>
  <c r="P62" i="1" s="1"/>
  <c r="J62" i="1"/>
  <c r="I62" i="1"/>
  <c r="K62" i="1" s="1"/>
  <c r="E62" i="1"/>
  <c r="D62" i="1"/>
  <c r="F62" i="1" s="1"/>
  <c r="O61" i="1"/>
  <c r="N61" i="1"/>
  <c r="P61" i="1" s="1"/>
  <c r="J61" i="1"/>
  <c r="K61" i="1" s="1"/>
  <c r="I61" i="1"/>
  <c r="E61" i="1"/>
  <c r="D61" i="1"/>
  <c r="F61" i="1" s="1"/>
  <c r="AB59" i="1"/>
  <c r="AA59" i="1"/>
  <c r="V59" i="1"/>
  <c r="U59" i="1"/>
  <c r="P59" i="1"/>
  <c r="K59" i="1"/>
  <c r="F59" i="1"/>
  <c r="AB58" i="1"/>
  <c r="AA58" i="1"/>
  <c r="V58" i="1"/>
  <c r="U58" i="1"/>
  <c r="P58" i="1"/>
  <c r="K58" i="1"/>
  <c r="F58" i="1"/>
  <c r="V57" i="1"/>
  <c r="U57" i="1"/>
  <c r="P57" i="1"/>
  <c r="K57" i="1"/>
  <c r="F57" i="1"/>
  <c r="AB56" i="1"/>
  <c r="AA56" i="1"/>
  <c r="V56" i="1"/>
  <c r="U56" i="1"/>
  <c r="O56" i="1"/>
  <c r="O60" i="1" s="1"/>
  <c r="N56" i="1"/>
  <c r="P56" i="1" s="1"/>
  <c r="K56" i="1"/>
  <c r="J56" i="1"/>
  <c r="J60" i="1" s="1"/>
  <c r="I56" i="1"/>
  <c r="I60" i="1" s="1"/>
  <c r="E56" i="1"/>
  <c r="F56" i="1" s="1"/>
  <c r="D56" i="1"/>
  <c r="D60" i="1" s="1"/>
  <c r="AB55" i="1"/>
  <c r="AA55" i="1"/>
  <c r="V55" i="1"/>
  <c r="U55" i="1"/>
  <c r="P55" i="1"/>
  <c r="K55" i="1"/>
  <c r="F55" i="1"/>
  <c r="AB54" i="1"/>
  <c r="AA54" i="1"/>
  <c r="V54" i="1"/>
  <c r="U54" i="1"/>
  <c r="P54" i="1"/>
  <c r="K54" i="1"/>
  <c r="F54" i="1"/>
  <c r="AB53" i="1"/>
  <c r="AA53" i="1"/>
  <c r="V53" i="1"/>
  <c r="U53" i="1"/>
  <c r="P53" i="1"/>
  <c r="K53" i="1"/>
  <c r="F53" i="1"/>
  <c r="Q49" i="1"/>
  <c r="S47" i="1"/>
  <c r="R47" i="1"/>
  <c r="O47" i="1"/>
  <c r="L44" i="1"/>
  <c r="K44" i="1"/>
  <c r="J44" i="1"/>
  <c r="I44" i="1"/>
  <c r="H44" i="1"/>
  <c r="F44" i="1"/>
  <c r="E44" i="1"/>
  <c r="D44" i="1"/>
  <c r="K43" i="1"/>
  <c r="J43" i="1"/>
  <c r="I43" i="1"/>
  <c r="H43" i="1"/>
  <c r="F43" i="1"/>
  <c r="E43" i="1"/>
  <c r="D43" i="1"/>
  <c r="N42" i="1"/>
  <c r="L42" i="1"/>
  <c r="K42" i="1"/>
  <c r="J42" i="1"/>
  <c r="I42" i="1"/>
  <c r="H42" i="1"/>
  <c r="F42" i="1"/>
  <c r="E42" i="1"/>
  <c r="D42" i="1"/>
  <c r="K41" i="1"/>
  <c r="J41" i="1"/>
  <c r="I41" i="1"/>
  <c r="H41" i="1"/>
  <c r="F41" i="1"/>
  <c r="E41" i="1"/>
  <c r="D41" i="1"/>
  <c r="N40" i="1"/>
  <c r="K40" i="1"/>
  <c r="J40" i="1"/>
  <c r="I40" i="1"/>
  <c r="H40" i="1"/>
  <c r="F40" i="1"/>
  <c r="E40" i="1"/>
  <c r="D40" i="1"/>
  <c r="M37" i="1"/>
  <c r="L37" i="1"/>
  <c r="I37" i="1"/>
  <c r="N37" i="1" s="1"/>
  <c r="F37" i="1"/>
  <c r="E37" i="1"/>
  <c r="G37" i="1" s="1"/>
  <c r="D37" i="1"/>
  <c r="E3" i="1" s="1"/>
  <c r="O36" i="1"/>
  <c r="O44" i="1" s="1"/>
  <c r="N36" i="1"/>
  <c r="N43" i="1" s="1"/>
  <c r="M36" i="1"/>
  <c r="M44" i="1" s="1"/>
  <c r="L36" i="1"/>
  <c r="G36" i="1"/>
  <c r="G44" i="1" s="1"/>
  <c r="P35" i="1"/>
  <c r="O35" i="1"/>
  <c r="N35" i="1"/>
  <c r="M35" i="1"/>
  <c r="L35" i="1"/>
  <c r="G35" i="1"/>
  <c r="N34" i="1"/>
  <c r="P34" i="1" s="1"/>
  <c r="M34" i="1"/>
  <c r="L34" i="1"/>
  <c r="G34" i="1"/>
  <c r="P33" i="1"/>
  <c r="O33" i="1"/>
  <c r="N33" i="1"/>
  <c r="M33" i="1"/>
  <c r="L33" i="1"/>
  <c r="G33" i="1"/>
  <c r="O32" i="1"/>
  <c r="N32" i="1"/>
  <c r="P32" i="1" s="1"/>
  <c r="M32" i="1"/>
  <c r="L32" i="1"/>
  <c r="G32" i="1"/>
  <c r="P31" i="1"/>
  <c r="O31" i="1"/>
  <c r="N31" i="1"/>
  <c r="M31" i="1"/>
  <c r="M43" i="1" s="1"/>
  <c r="L31" i="1"/>
  <c r="L43" i="1" s="1"/>
  <c r="G31" i="1"/>
  <c r="G43" i="1" s="1"/>
  <c r="N30" i="1"/>
  <c r="P30" i="1" s="1"/>
  <c r="M30" i="1"/>
  <c r="L30" i="1"/>
  <c r="G30" i="1"/>
  <c r="P29" i="1"/>
  <c r="O29" i="1"/>
  <c r="N29" i="1"/>
  <c r="M29" i="1"/>
  <c r="L29" i="1"/>
  <c r="G29" i="1"/>
  <c r="O28" i="1"/>
  <c r="N28" i="1"/>
  <c r="P28" i="1" s="1"/>
  <c r="M28" i="1"/>
  <c r="L28" i="1"/>
  <c r="G28" i="1"/>
  <c r="P27" i="1"/>
  <c r="O27" i="1"/>
  <c r="N27" i="1"/>
  <c r="M27" i="1"/>
  <c r="M42" i="1" s="1"/>
  <c r="L27" i="1"/>
  <c r="G27" i="1"/>
  <c r="N26" i="1"/>
  <c r="P26" i="1" s="1"/>
  <c r="M26" i="1"/>
  <c r="L26" i="1"/>
  <c r="G26" i="1"/>
  <c r="G42" i="1" s="1"/>
  <c r="P25" i="1"/>
  <c r="O25" i="1"/>
  <c r="N25" i="1"/>
  <c r="M25" i="1"/>
  <c r="L25" i="1"/>
  <c r="G25" i="1"/>
  <c r="O24" i="1"/>
  <c r="N24" i="1"/>
  <c r="P24" i="1" s="1"/>
  <c r="M24" i="1"/>
  <c r="L24" i="1"/>
  <c r="G24" i="1"/>
  <c r="P23" i="1"/>
  <c r="O23" i="1"/>
  <c r="N23" i="1"/>
  <c r="M23" i="1"/>
  <c r="L23" i="1"/>
  <c r="G23" i="1"/>
  <c r="N22" i="1"/>
  <c r="P22" i="1" s="1"/>
  <c r="M22" i="1"/>
  <c r="M41" i="1" s="1"/>
  <c r="L22" i="1"/>
  <c r="G22" i="1"/>
  <c r="P21" i="1"/>
  <c r="O21" i="1"/>
  <c r="N21" i="1"/>
  <c r="M21" i="1"/>
  <c r="L21" i="1"/>
  <c r="L41" i="1" s="1"/>
  <c r="G21" i="1"/>
  <c r="G41" i="1" s="1"/>
  <c r="O20" i="1"/>
  <c r="N20" i="1"/>
  <c r="P20" i="1" s="1"/>
  <c r="M20" i="1"/>
  <c r="L20" i="1"/>
  <c r="G20" i="1"/>
  <c r="P19" i="1"/>
  <c r="O19" i="1"/>
  <c r="N19" i="1"/>
  <c r="M19" i="1"/>
  <c r="L19" i="1"/>
  <c r="G19" i="1"/>
  <c r="N18" i="1"/>
  <c r="P18" i="1" s="1"/>
  <c r="M18" i="1"/>
  <c r="L18" i="1"/>
  <c r="G18" i="1"/>
  <c r="G40" i="1" s="1"/>
  <c r="P17" i="1"/>
  <c r="O17" i="1"/>
  <c r="N17" i="1"/>
  <c r="M17" i="1"/>
  <c r="L17" i="1"/>
  <c r="G17" i="1"/>
  <c r="O16" i="1"/>
  <c r="N16" i="1"/>
  <c r="P16" i="1" s="1"/>
  <c r="M16" i="1"/>
  <c r="M40" i="1" s="1"/>
  <c r="L16" i="1"/>
  <c r="L40" i="1" s="1"/>
  <c r="G16" i="1"/>
  <c r="P15" i="1"/>
  <c r="O15" i="1"/>
  <c r="N15" i="1"/>
  <c r="M15" i="1"/>
  <c r="L15" i="1"/>
  <c r="G15" i="1"/>
  <c r="N14" i="1"/>
  <c r="P14" i="1" s="1"/>
  <c r="M14" i="1"/>
  <c r="L14" i="1"/>
  <c r="G14" i="1"/>
  <c r="P13" i="1"/>
  <c r="O13" i="1"/>
  <c r="N13" i="1"/>
  <c r="M13" i="1"/>
  <c r="L13" i="1"/>
  <c r="G13" i="1"/>
  <c r="O12" i="1"/>
  <c r="N12" i="1"/>
  <c r="P12" i="1" s="1"/>
  <c r="M12" i="1"/>
  <c r="L12" i="1"/>
  <c r="G12" i="1"/>
  <c r="T9" i="1"/>
  <c r="S9" i="1"/>
  <c r="R9" i="1"/>
  <c r="Q9" i="1"/>
  <c r="O9" i="1"/>
  <c r="N9" i="1"/>
  <c r="I9" i="1"/>
  <c r="H9" i="1"/>
  <c r="G9" i="1"/>
  <c r="E9" i="1"/>
  <c r="D9" i="1"/>
  <c r="B9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V4" i="1"/>
  <c r="V5" i="1" s="1"/>
  <c r="V3" i="1"/>
  <c r="G3" i="1"/>
  <c r="G5" i="1" s="1"/>
  <c r="F3" i="1"/>
  <c r="L9" i="1" s="1"/>
  <c r="D3" i="1"/>
  <c r="D4" i="1" s="1"/>
  <c r="C3" i="1"/>
  <c r="M9" i="1" s="1"/>
  <c r="P41" i="1" l="1"/>
  <c r="P37" i="1"/>
  <c r="O37" i="1"/>
  <c r="M69" i="1"/>
  <c r="G70" i="1"/>
  <c r="K69" i="1"/>
  <c r="L69" i="1" s="1"/>
  <c r="N69" i="1" s="1"/>
  <c r="F74" i="1" s="1"/>
  <c r="G74" i="1" s="1"/>
  <c r="G65" i="1"/>
  <c r="D71" i="1"/>
  <c r="E70" i="1"/>
  <c r="O41" i="1"/>
  <c r="F9" i="1"/>
  <c r="E5" i="1"/>
  <c r="K60" i="1"/>
  <c r="C5" i="1"/>
  <c r="N60" i="1"/>
  <c r="P60" i="1" s="1"/>
  <c r="P36" i="1"/>
  <c r="P44" i="1" s="1"/>
  <c r="F5" i="1"/>
  <c r="J9" i="1"/>
  <c r="N44" i="1"/>
  <c r="R49" i="1"/>
  <c r="E60" i="1"/>
  <c r="F60" i="1" s="1"/>
  <c r="D5" i="1"/>
  <c r="K9" i="1"/>
  <c r="N41" i="1"/>
  <c r="S49" i="1"/>
  <c r="T47" i="1" s="1"/>
  <c r="E69" i="1"/>
  <c r="E66" i="1" s="1"/>
  <c r="O14" i="1"/>
  <c r="O18" i="1"/>
  <c r="O40" i="1" s="1"/>
  <c r="O22" i="1"/>
  <c r="O26" i="1"/>
  <c r="O30" i="1"/>
  <c r="O34" i="1"/>
  <c r="O43" i="1" s="1"/>
  <c r="K70" i="1" l="1"/>
  <c r="L70" i="1" s="1"/>
  <c r="G71" i="1"/>
  <c r="M70" i="1"/>
  <c r="O42" i="1"/>
  <c r="E71" i="1"/>
  <c r="F70" i="1"/>
  <c r="P40" i="1"/>
  <c r="P42" i="1"/>
  <c r="P43" i="1"/>
  <c r="J70" i="1" l="1"/>
  <c r="F71" i="1"/>
  <c r="H70" i="1"/>
  <c r="I70" i="1" s="1"/>
  <c r="N70" i="1" s="1"/>
  <c r="M71" i="1"/>
  <c r="K71" i="1"/>
  <c r="L71" i="1" s="1"/>
  <c r="H71" i="1" l="1"/>
  <c r="I71" i="1" s="1"/>
  <c r="N71" i="1" s="1"/>
  <c r="J71" i="1"/>
</calcChain>
</file>

<file path=xl/sharedStrings.xml><?xml version="1.0" encoding="utf-8"?>
<sst xmlns="http://schemas.openxmlformats.org/spreadsheetml/2006/main" count="238" uniqueCount="161">
  <si>
    <t>CASHFLOW</t>
  </si>
  <si>
    <t>Company</t>
  </si>
  <si>
    <t>Price</t>
  </si>
  <si>
    <t>Marketcap</t>
  </si>
  <si>
    <t>TRAIL_SALES</t>
  </si>
  <si>
    <t>TRAIL_PROFIT</t>
  </si>
  <si>
    <t>TRAIL_EPS</t>
  </si>
  <si>
    <t>FV</t>
  </si>
  <si>
    <t>Equity</t>
  </si>
  <si>
    <t>Reserve</t>
  </si>
  <si>
    <t>DEBT</t>
  </si>
  <si>
    <t>LEASE</t>
  </si>
  <si>
    <t>CUR.ASSETS</t>
  </si>
  <si>
    <t>CUR.LIABILITIES</t>
  </si>
  <si>
    <t>ASSETS</t>
  </si>
  <si>
    <t>LIABILITIES</t>
  </si>
  <si>
    <t>TRADE REC</t>
  </si>
  <si>
    <t>PPE</t>
  </si>
  <si>
    <t>CFO</t>
  </si>
  <si>
    <t>CFI</t>
  </si>
  <si>
    <t>CFF</t>
  </si>
  <si>
    <t>TOTAL</t>
  </si>
  <si>
    <t>ASIANPAINT</t>
  </si>
  <si>
    <t>FY_24</t>
  </si>
  <si>
    <t>GROWTH</t>
  </si>
  <si>
    <t>LIQUIDITY</t>
  </si>
  <si>
    <t>SOLVENCY</t>
  </si>
  <si>
    <t>PROFITABILITY</t>
  </si>
  <si>
    <t>VALUATIONS</t>
  </si>
  <si>
    <t>SALES GROWTH</t>
  </si>
  <si>
    <t>VOLUME GR</t>
  </si>
  <si>
    <t>P-MARGIN</t>
  </si>
  <si>
    <t>CUR.RATIO</t>
  </si>
  <si>
    <t>TRADE REC DAY</t>
  </si>
  <si>
    <t>DEBT2EQUITY</t>
  </si>
  <si>
    <t>DEBTRATIO</t>
  </si>
  <si>
    <t>ICR</t>
  </si>
  <si>
    <t>ROE</t>
  </si>
  <si>
    <t>ROPE</t>
  </si>
  <si>
    <t>ROA</t>
  </si>
  <si>
    <t>TRAIL_PE</t>
  </si>
  <si>
    <t>YIELD</t>
  </si>
  <si>
    <t>BOOKVALUE</t>
  </si>
  <si>
    <t>PBV</t>
  </si>
  <si>
    <t>PEG</t>
  </si>
  <si>
    <t>OCFR</t>
  </si>
  <si>
    <t>CFD</t>
  </si>
  <si>
    <t>FCF (INC R)</t>
  </si>
  <si>
    <t>ACTUAL DATA</t>
  </si>
  <si>
    <t>Years</t>
  </si>
  <si>
    <t>Revenue</t>
  </si>
  <si>
    <t>Profit</t>
  </si>
  <si>
    <t>Eps</t>
  </si>
  <si>
    <t>Margin</t>
  </si>
  <si>
    <t>EQUITY</t>
  </si>
  <si>
    <t>Other Equity</t>
  </si>
  <si>
    <t>L Price</t>
  </si>
  <si>
    <t>H Price</t>
  </si>
  <si>
    <t>LPE</t>
  </si>
  <si>
    <t>HPE</t>
  </si>
  <si>
    <t>BookValue</t>
  </si>
  <si>
    <t>LBV</t>
  </si>
  <si>
    <t>HBV</t>
  </si>
  <si>
    <t>fy_2001</t>
  </si>
  <si>
    <t>fy_2002</t>
  </si>
  <si>
    <t>Bonus*2</t>
  </si>
  <si>
    <t>fy_2003</t>
  </si>
  <si>
    <t>fy_2004</t>
  </si>
  <si>
    <t>fy_2005</t>
  </si>
  <si>
    <t>fy_2006</t>
  </si>
  <si>
    <t>fy_2007</t>
  </si>
  <si>
    <t>fy_2008</t>
  </si>
  <si>
    <t>fy_2009</t>
  </si>
  <si>
    <t>fy_2010</t>
  </si>
  <si>
    <t>fy_2011</t>
  </si>
  <si>
    <t>fy_2012</t>
  </si>
  <si>
    <t>fy_2013</t>
  </si>
  <si>
    <t>Split*10</t>
  </si>
  <si>
    <t>fy_2014</t>
  </si>
  <si>
    <t>fy_2015</t>
  </si>
  <si>
    <t>fy_2016</t>
  </si>
  <si>
    <t>fy_2017</t>
  </si>
  <si>
    <t>fy_2018</t>
  </si>
  <si>
    <t>fy_2019</t>
  </si>
  <si>
    <t>fy_2020</t>
  </si>
  <si>
    <t>fy_2021</t>
  </si>
  <si>
    <t>fy_2022</t>
  </si>
  <si>
    <t>fy_2023</t>
  </si>
  <si>
    <t>fy_2024</t>
  </si>
  <si>
    <t>fy_2025</t>
  </si>
  <si>
    <t>Trail fy_2026</t>
  </si>
  <si>
    <t>20 YEARS</t>
  </si>
  <si>
    <t>15 Year</t>
  </si>
  <si>
    <t>10 Years</t>
  </si>
  <si>
    <t>5 Years</t>
  </si>
  <si>
    <t>CYear</t>
  </si>
  <si>
    <t>TREND</t>
  </si>
  <si>
    <t>H1_FY25</t>
  </si>
  <si>
    <t>9M_FY25</t>
  </si>
  <si>
    <t>FY25</t>
  </si>
  <si>
    <t>Q1_FY26</t>
  </si>
  <si>
    <t>EST-2026</t>
  </si>
  <si>
    <t>TRAIL EPS</t>
  </si>
  <si>
    <t>Q2_FY25</t>
  </si>
  <si>
    <t>Q3_FY25</t>
  </si>
  <si>
    <t>Q4_FY25</t>
  </si>
  <si>
    <t>T_EPS_25</t>
  </si>
  <si>
    <t>EPS_25</t>
  </si>
  <si>
    <t>F-EPS-26</t>
  </si>
  <si>
    <t>SALES</t>
  </si>
  <si>
    <t>EPS</t>
  </si>
  <si>
    <t>PROFIT</t>
  </si>
  <si>
    <t>PE_25</t>
  </si>
  <si>
    <t>F-PE-24</t>
  </si>
  <si>
    <t>MARGIN</t>
  </si>
  <si>
    <t>VOLUME</t>
  </si>
  <si>
    <t>Quarterly</t>
  </si>
  <si>
    <t>RESULTS</t>
  </si>
  <si>
    <t>Q1_FY25</t>
  </si>
  <si>
    <t>Growth</t>
  </si>
  <si>
    <t>Q4_FY_25</t>
  </si>
  <si>
    <t>Q4_FY_24</t>
  </si>
  <si>
    <t>FY24</t>
  </si>
  <si>
    <t>Major Cost</t>
  </si>
  <si>
    <t>Share</t>
  </si>
  <si>
    <t>REGION</t>
  </si>
  <si>
    <t>Sales</t>
  </si>
  <si>
    <t>RawMaterial</t>
  </si>
  <si>
    <t>AFRICA</t>
  </si>
  <si>
    <t>Finance cost</t>
  </si>
  <si>
    <t>OTHER EXP</t>
  </si>
  <si>
    <t>MIDDLE EAST</t>
  </si>
  <si>
    <t>Expenses</t>
  </si>
  <si>
    <t>STOCKINTRADE</t>
  </si>
  <si>
    <t>ASIA</t>
  </si>
  <si>
    <t>EBITDA</t>
  </si>
  <si>
    <t>Employee cost</t>
  </si>
  <si>
    <t>SOUTH PACIFIC</t>
  </si>
  <si>
    <t>D&amp;A</t>
  </si>
  <si>
    <t>FINANCE</t>
  </si>
  <si>
    <t>GLOBAL</t>
  </si>
  <si>
    <t>INVENTORY</t>
  </si>
  <si>
    <t>EBITA %</t>
  </si>
  <si>
    <t>I.C.R</t>
  </si>
  <si>
    <t>Total</t>
  </si>
  <si>
    <t>Estimation</t>
  </si>
  <si>
    <t>Year</t>
  </si>
  <si>
    <t>Long Term</t>
  </si>
  <si>
    <t>EST_FY_2026</t>
  </si>
  <si>
    <t>Expecrtation</t>
  </si>
  <si>
    <t>Low Price Range</t>
  </si>
  <si>
    <t>FairPrice@EPS</t>
  </si>
  <si>
    <t>HIgh Price Range</t>
  </si>
  <si>
    <t>FairPrice@PBV</t>
  </si>
  <si>
    <t>Blended Fairvalue</t>
  </si>
  <si>
    <t>EST_FY_2030</t>
  </si>
  <si>
    <t>EST_FY_2035</t>
  </si>
  <si>
    <t>STR. WEIGHTAGE</t>
  </si>
  <si>
    <t>FACTOR</t>
  </si>
  <si>
    <t>TECH. WEIGHT</t>
  </si>
  <si>
    <t>WWW.PROFITFROMIT.IN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</si>
</sst>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20" x14ac:knownFonts="1">
    <font>
      <sz val="10"/>
      <color rgb="FF000000"/>
      <name val="Arial"/>
      <scheme val="minor"/>
    </font>
    <font>
      <sz val="11"/>
      <color rgb="FFFFFFFF"/>
      <name val="Arial"/>
    </font>
    <font>
      <sz val="10"/>
      <color theme="1"/>
      <name val="Arial"/>
    </font>
    <font>
      <sz val="10"/>
      <color rgb="FFFFFFFF"/>
      <name val="Arial"/>
    </font>
    <font>
      <sz val="11"/>
      <color rgb="FF000000"/>
      <name val="Calibri"/>
    </font>
    <font>
      <sz val="10"/>
      <color theme="1"/>
      <name val="Arial"/>
      <scheme val="minor"/>
    </font>
    <font>
      <sz val="11"/>
      <color theme="1"/>
      <name val="Calibri"/>
    </font>
    <font>
      <b/>
      <i/>
      <sz val="11"/>
      <color rgb="FF000000"/>
      <name val="Calibri"/>
    </font>
    <font>
      <b/>
      <i/>
      <sz val="11"/>
      <color theme="1"/>
      <name val="Calibri"/>
    </font>
    <font>
      <sz val="11"/>
      <color rgb="FF000000"/>
      <name val="Arial"/>
    </font>
    <font>
      <i/>
      <sz val="11"/>
      <color theme="1"/>
      <name val="Arial"/>
    </font>
    <font>
      <sz val="11"/>
      <color theme="1"/>
      <name val="Arial"/>
      <scheme val="minor"/>
    </font>
    <font>
      <b/>
      <sz val="11"/>
      <color theme="1"/>
      <name val="Calibri"/>
    </font>
    <font>
      <sz val="10"/>
      <color theme="1"/>
      <name val="Calibri"/>
    </font>
    <font>
      <sz val="28"/>
      <color theme="1"/>
      <name val="Arial"/>
      <scheme val="minor"/>
    </font>
    <font>
      <sz val="10"/>
      <name val="Arial"/>
    </font>
    <font>
      <b/>
      <u/>
      <sz val="10"/>
      <color theme="1"/>
      <name val="Arial"/>
      <scheme val="minor"/>
    </font>
    <font>
      <sz val="11"/>
      <color theme="1"/>
      <name val="Arial"/>
    </font>
    <font>
      <i/>
      <sz val="11"/>
      <color theme="1"/>
      <name val="Calibri"/>
    </font>
    <font>
      <u/>
      <sz val="36"/>
      <color rgb="FFFFFFFF"/>
      <name val="Arial"/>
    </font>
  </fonts>
  <fills count="11">
    <fill>
      <patternFill patternType="none"/>
    </fill>
    <fill>
      <patternFill patternType="gray125"/>
    </fill>
    <fill>
      <patternFill patternType="solid">
        <fgColor rgb="FF20124D"/>
        <bgColor rgb="FF20124D"/>
      </patternFill>
    </fill>
    <fill>
      <patternFill patternType="solid">
        <fgColor rgb="FFFFFFFF"/>
        <bgColor rgb="FFFFFFFF"/>
      </patternFill>
    </fill>
    <fill>
      <patternFill patternType="solid">
        <fgColor rgb="FF999999"/>
        <bgColor rgb="FF999999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84CEAA"/>
        <bgColor rgb="FF84CEAA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2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0" fontId="3" fillId="2" borderId="1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4" fillId="0" borderId="1" xfId="0" applyFont="1" applyBorder="1"/>
    <xf numFmtId="3" fontId="5" fillId="0" borderId="1" xfId="0" applyNumberFormat="1" applyFont="1" applyBorder="1"/>
    <xf numFmtId="1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5" fillId="0" borderId="0" xfId="0" applyFont="1"/>
    <xf numFmtId="1" fontId="6" fillId="3" borderId="3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5" fillId="0" borderId="1" xfId="0" applyFont="1" applyBorder="1"/>
    <xf numFmtId="1" fontId="4" fillId="0" borderId="1" xfId="0" applyNumberFormat="1" applyFont="1" applyBorder="1"/>
    <xf numFmtId="0" fontId="6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/>
    <xf numFmtId="9" fontId="8" fillId="4" borderId="1" xfId="0" applyNumberFormat="1" applyFont="1" applyFill="1" applyBorder="1" applyAlignment="1">
      <alignment horizontal="center"/>
    </xf>
    <xf numFmtId="9" fontId="8" fillId="4" borderId="5" xfId="0" applyNumberFormat="1" applyFont="1" applyFill="1" applyBorder="1" applyAlignment="1">
      <alignment horizontal="center"/>
    </xf>
    <xf numFmtId="0" fontId="4" fillId="0" borderId="0" xfId="0" applyFont="1"/>
    <xf numFmtId="0" fontId="3" fillId="2" borderId="0" xfId="0" applyFont="1" applyFill="1"/>
    <xf numFmtId="0" fontId="1" fillId="2" borderId="2" xfId="0" applyFont="1" applyFill="1" applyBorder="1"/>
    <xf numFmtId="0" fontId="2" fillId="0" borderId="2" xfId="0" applyFont="1" applyBorder="1"/>
    <xf numFmtId="3" fontId="1" fillId="2" borderId="3" xfId="0" applyNumberFormat="1" applyFont="1" applyFill="1" applyBorder="1"/>
    <xf numFmtId="3" fontId="1" fillId="2" borderId="4" xfId="0" applyNumberFormat="1" applyFont="1" applyFill="1" applyBorder="1"/>
    <xf numFmtId="3" fontId="1" fillId="2" borderId="2" xfId="0" applyNumberFormat="1" applyFont="1" applyFill="1" applyBorder="1"/>
    <xf numFmtId="9" fontId="5" fillId="0" borderId="0" xfId="0" applyNumberFormat="1" applyFont="1"/>
    <xf numFmtId="9" fontId="9" fillId="5" borderId="1" xfId="0" applyNumberFormat="1" applyFont="1" applyFill="1" applyBorder="1" applyAlignment="1">
      <alignment horizontal="right"/>
    </xf>
    <xf numFmtId="165" fontId="9" fillId="5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3" fontId="9" fillId="5" borderId="1" xfId="0" applyNumberFormat="1" applyFont="1" applyFill="1" applyBorder="1" applyAlignment="1">
      <alignment horizontal="right"/>
    </xf>
    <xf numFmtId="1" fontId="9" fillId="5" borderId="1" xfId="0" applyNumberFormat="1" applyFont="1" applyFill="1" applyBorder="1" applyAlignment="1">
      <alignment horizontal="right"/>
    </xf>
    <xf numFmtId="0" fontId="9" fillId="5" borderId="1" xfId="0" applyFont="1" applyFill="1" applyBorder="1" applyAlignment="1">
      <alignment horizontal="right"/>
    </xf>
    <xf numFmtId="164" fontId="10" fillId="5" borderId="3" xfId="0" applyNumberFormat="1" applyFont="1" applyFill="1" applyBorder="1" applyAlignment="1">
      <alignment horizontal="right"/>
    </xf>
    <xf numFmtId="164" fontId="10" fillId="5" borderId="4" xfId="0" applyNumberFormat="1" applyFont="1" applyFill="1" applyBorder="1" applyAlignment="1">
      <alignment horizontal="right"/>
    </xf>
    <xf numFmtId="3" fontId="10" fillId="5" borderId="4" xfId="0" applyNumberFormat="1" applyFont="1" applyFill="1" applyBorder="1" applyAlignment="1">
      <alignment horizontal="right"/>
    </xf>
    <xf numFmtId="0" fontId="6" fillId="3" borderId="1" xfId="0" applyFont="1" applyFill="1" applyBorder="1"/>
    <xf numFmtId="0" fontId="6" fillId="6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166" fontId="6" fillId="3" borderId="1" xfId="0" applyNumberFormat="1" applyFont="1" applyFill="1" applyBorder="1" applyAlignment="1">
      <alignment horizontal="right"/>
    </xf>
    <xf numFmtId="9" fontId="6" fillId="0" borderId="1" xfId="0" applyNumberFormat="1" applyFont="1" applyBorder="1" applyAlignment="1">
      <alignment horizontal="right"/>
    </xf>
    <xf numFmtId="1" fontId="11" fillId="0" borderId="1" xfId="0" applyNumberFormat="1" applyFont="1" applyBorder="1"/>
    <xf numFmtId="0" fontId="6" fillId="0" borderId="1" xfId="0" applyFont="1" applyBorder="1"/>
    <xf numFmtId="164" fontId="6" fillId="3" borderId="1" xfId="0" applyNumberFormat="1" applyFont="1" applyFill="1" applyBorder="1" applyAlignment="1">
      <alignment horizontal="right"/>
    </xf>
    <xf numFmtId="1" fontId="5" fillId="0" borderId="1" xfId="0" applyNumberFormat="1" applyFont="1" applyBorder="1"/>
    <xf numFmtId="166" fontId="12" fillId="3" borderId="1" xfId="0" applyNumberFormat="1" applyFont="1" applyFill="1" applyBorder="1" applyAlignment="1">
      <alignment horizontal="right"/>
    </xf>
    <xf numFmtId="166" fontId="6" fillId="3" borderId="1" xfId="0" applyNumberFormat="1" applyFont="1" applyFill="1" applyBorder="1"/>
    <xf numFmtId="164" fontId="5" fillId="0" borderId="1" xfId="0" applyNumberFormat="1" applyFont="1" applyBorder="1"/>
    <xf numFmtId="1" fontId="6" fillId="0" borderId="1" xfId="0" applyNumberFormat="1" applyFont="1" applyBorder="1"/>
    <xf numFmtId="0" fontId="2" fillId="0" borderId="0" xfId="0" applyFont="1"/>
    <xf numFmtId="0" fontId="2" fillId="0" borderId="1" xfId="0" applyFont="1" applyBorder="1"/>
    <xf numFmtId="9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/>
    <xf numFmtId="166" fontId="2" fillId="0" borderId="1" xfId="0" applyNumberFormat="1" applyFont="1" applyBorder="1"/>
    <xf numFmtId="0" fontId="3" fillId="2" borderId="1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3" fillId="0" borderId="3" xfId="0" applyFont="1" applyBorder="1"/>
    <xf numFmtId="9" fontId="13" fillId="0" borderId="4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164" fontId="14" fillId="7" borderId="8" xfId="0" applyNumberFormat="1" applyFont="1" applyFill="1" applyBorder="1" applyAlignment="1">
      <alignment horizontal="center" vertical="center"/>
    </xf>
    <xf numFmtId="10" fontId="5" fillId="0" borderId="0" xfId="0" applyNumberFormat="1" applyFont="1"/>
    <xf numFmtId="0" fontId="15" fillId="0" borderId="8" xfId="0" applyFont="1" applyBorder="1"/>
    <xf numFmtId="165" fontId="13" fillId="0" borderId="4" xfId="0" applyNumberFormat="1" applyFont="1" applyBorder="1" applyAlignment="1">
      <alignment horizontal="right"/>
    </xf>
    <xf numFmtId="165" fontId="5" fillId="0" borderId="0" xfId="0" applyNumberFormat="1" applyFont="1"/>
    <xf numFmtId="1" fontId="6" fillId="0" borderId="1" xfId="0" applyNumberFormat="1" applyFont="1" applyBorder="1" applyAlignment="1">
      <alignment horizontal="center"/>
    </xf>
    <xf numFmtId="1" fontId="6" fillId="0" borderId="6" xfId="0" applyNumberFormat="1" applyFont="1" applyBorder="1" applyAlignment="1">
      <alignment horizontal="center"/>
    </xf>
    <xf numFmtId="0" fontId="15" fillId="0" borderId="9" xfId="0" applyFont="1" applyBorder="1"/>
    <xf numFmtId="0" fontId="11" fillId="0" borderId="1" xfId="0" applyFont="1" applyBorder="1"/>
    <xf numFmtId="165" fontId="11" fillId="0" borderId="1" xfId="0" applyNumberFormat="1" applyFont="1" applyBorder="1"/>
    <xf numFmtId="9" fontId="11" fillId="0" borderId="1" xfId="0" applyNumberFormat="1" applyFont="1" applyBorder="1"/>
    <xf numFmtId="9" fontId="5" fillId="0" borderId="1" xfId="0" applyNumberFormat="1" applyFont="1" applyBorder="1"/>
    <xf numFmtId="0" fontId="5" fillId="0" borderId="10" xfId="0" applyFont="1" applyBorder="1"/>
    <xf numFmtId="9" fontId="5" fillId="0" borderId="10" xfId="0" applyNumberFormat="1" applyFont="1" applyBorder="1"/>
    <xf numFmtId="2" fontId="5" fillId="0" borderId="1" xfId="0" applyNumberFormat="1" applyFont="1" applyBorder="1"/>
    <xf numFmtId="10" fontId="11" fillId="0" borderId="1" xfId="0" applyNumberFormat="1" applyFont="1" applyBorder="1"/>
    <xf numFmtId="165" fontId="5" fillId="0" borderId="1" xfId="0" applyNumberFormat="1" applyFont="1" applyBorder="1"/>
    <xf numFmtId="4" fontId="11" fillId="0" borderId="1" xfId="0" applyNumberFormat="1" applyFont="1" applyBorder="1"/>
    <xf numFmtId="0" fontId="16" fillId="8" borderId="11" xfId="0" applyFont="1" applyFill="1" applyBorder="1"/>
    <xf numFmtId="9" fontId="5" fillId="8" borderId="1" xfId="0" applyNumberFormat="1" applyFont="1" applyFill="1" applyBorder="1"/>
    <xf numFmtId="9" fontId="16" fillId="8" borderId="1" xfId="0" applyNumberFormat="1" applyFont="1" applyFill="1" applyBorder="1"/>
    <xf numFmtId="0" fontId="2" fillId="0" borderId="1" xfId="0" applyFont="1" applyBorder="1" applyAlignment="1">
      <alignment horizontal="left"/>
    </xf>
    <xf numFmtId="3" fontId="2" fillId="9" borderId="1" xfId="0" applyNumberFormat="1" applyFont="1" applyFill="1" applyBorder="1" applyAlignment="1">
      <alignment horizontal="right"/>
    </xf>
    <xf numFmtId="3" fontId="17" fillId="9" borderId="1" xfId="0" applyNumberFormat="1" applyFont="1" applyFill="1" applyBorder="1" applyAlignment="1">
      <alignment horizontal="right"/>
    </xf>
    <xf numFmtId="1" fontId="17" fillId="9" borderId="1" xfId="0" applyNumberFormat="1" applyFont="1" applyFill="1" applyBorder="1" applyAlignment="1">
      <alignment horizontal="right"/>
    </xf>
    <xf numFmtId="3" fontId="18" fillId="9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0" fontId="17" fillId="10" borderId="1" xfId="0" applyNumberFormat="1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10" fontId="17" fillId="0" borderId="1" xfId="0" applyNumberFormat="1" applyFont="1" applyBorder="1" applyAlignment="1">
      <alignment horizontal="right"/>
    </xf>
    <xf numFmtId="0" fontId="19" fillId="2" borderId="12" xfId="0" applyFont="1" applyFill="1" applyBorder="1" applyAlignment="1">
      <alignment horizontal="center" vertical="center"/>
    </xf>
    <xf numFmtId="0" fontId="15" fillId="0" borderId="11" xfId="0" applyFont="1" applyBorder="1"/>
    <xf numFmtId="0" fontId="15" fillId="0" borderId="13" xfId="0" applyFont="1" applyBorder="1"/>
    <xf numFmtId="0" fontId="15" fillId="0" borderId="14" xfId="0" applyFont="1" applyBorder="1"/>
    <xf numFmtId="0" fontId="0" fillId="0" borderId="0" xfId="0"/>
    <xf numFmtId="0" fontId="15" fillId="0" borderId="15" xfId="0" applyFont="1" applyBorder="1"/>
    <xf numFmtId="0" fontId="15" fillId="0" borderId="16" xfId="0" applyFont="1" applyBorder="1"/>
    <xf numFmtId="0" fontId="15" fillId="0" borderId="2" xfId="0" applyFont="1" applyBorder="1"/>
    <xf numFmtId="0" fontId="1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74</xdr:row>
      <xdr:rowOff>200025</xdr:rowOff>
    </xdr:from>
    <xdr:ext cx="7610475" cy="307657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D099C30-569B-4604-9840-3526B7D873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1490" y="13877925"/>
          <a:ext cx="7610475" cy="3076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profitfromit.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2EB86-E0C0-41AC-83FA-195933E30DEC}">
  <sheetPr>
    <outlinePr summaryBelow="0" summaryRight="0"/>
  </sheetPr>
  <dimension ref="B1:AB94"/>
  <sheetViews>
    <sheetView showGridLines="0" tabSelected="1" workbookViewId="0"/>
  </sheetViews>
  <sheetFormatPr defaultColWidth="12.6640625" defaultRowHeight="15.75" customHeight="1" x14ac:dyDescent="0.25"/>
  <cols>
    <col min="1" max="1" width="7.21875" customWidth="1"/>
  </cols>
  <sheetData>
    <row r="1" spans="2:22" ht="13.8" x14ac:dyDescent="0.25">
      <c r="R1" s="1" t="s">
        <v>0</v>
      </c>
      <c r="T1" s="2"/>
      <c r="U1" s="3"/>
      <c r="V1" s="3"/>
    </row>
    <row r="2" spans="2:22" ht="13.8" x14ac:dyDescent="0.25"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5" t="s">
        <v>18</v>
      </c>
      <c r="T2" s="6" t="s">
        <v>19</v>
      </c>
      <c r="U2" s="6" t="s">
        <v>20</v>
      </c>
      <c r="V2" s="6" t="s">
        <v>21</v>
      </c>
    </row>
    <row r="3" spans="2:22" ht="15.75" customHeight="1" x14ac:dyDescent="0.3">
      <c r="B3" s="7" t="s">
        <v>22</v>
      </c>
      <c r="C3" s="8">
        <f ca="1">IFERROR(__xludf.DUMMYFUNCTION("GOOGLEFINANCE(""nse:""&amp;B3,""price"")"),2505)</f>
        <v>2505</v>
      </c>
      <c r="D3" s="8">
        <f ca="1">IFERROR(__xludf.DUMMYFUNCTION("GOOGLEFINANCE(""nse:""&amp;B3,""MARKETCAP"")/10000000"),239987.5732466)</f>
        <v>239987.57324659999</v>
      </c>
      <c r="E3" s="9">
        <f t="shared" ref="E3:G3" si="0">D37</f>
        <v>33778</v>
      </c>
      <c r="F3" s="9">
        <f t="shared" si="0"/>
        <v>3641</v>
      </c>
      <c r="G3" s="10">
        <f t="shared" si="0"/>
        <v>37.519999999999996</v>
      </c>
      <c r="H3" s="11">
        <v>1</v>
      </c>
      <c r="I3" s="11">
        <v>96</v>
      </c>
      <c r="J3" s="11">
        <v>19304</v>
      </c>
      <c r="K3" s="11">
        <v>864</v>
      </c>
      <c r="L3" s="11">
        <v>1426</v>
      </c>
      <c r="M3" s="11">
        <v>16992</v>
      </c>
      <c r="N3" s="11">
        <v>8141</v>
      </c>
      <c r="O3" s="11">
        <v>30371</v>
      </c>
      <c r="P3" s="11">
        <v>10312</v>
      </c>
      <c r="Q3" s="9">
        <v>4313</v>
      </c>
      <c r="R3" s="12">
        <v>1805</v>
      </c>
      <c r="S3" s="13">
        <v>4424</v>
      </c>
      <c r="T3" s="14">
        <v>-874</v>
      </c>
      <c r="U3" s="14">
        <v>-3753</v>
      </c>
      <c r="V3" s="14">
        <f t="shared" ref="V3:V4" si="1">SUM(S3:U3)</f>
        <v>-203</v>
      </c>
    </row>
    <row r="4" spans="2:22" ht="15.75" customHeight="1" x14ac:dyDescent="0.3">
      <c r="B4" s="7" t="s">
        <v>23</v>
      </c>
      <c r="C4" s="15">
        <v>2340</v>
      </c>
      <c r="D4" s="16">
        <f ca="1">C4*D3/C3</f>
        <v>224180.0085417341</v>
      </c>
      <c r="E4" s="7">
        <v>33797</v>
      </c>
      <c r="F4" s="7">
        <v>3710</v>
      </c>
      <c r="G4" s="7">
        <v>38.25</v>
      </c>
      <c r="H4" s="7">
        <v>1</v>
      </c>
      <c r="I4" s="7">
        <v>96</v>
      </c>
      <c r="J4" s="7">
        <v>18632</v>
      </c>
      <c r="K4" s="11">
        <v>1107</v>
      </c>
      <c r="L4" s="7">
        <v>1367</v>
      </c>
      <c r="M4" s="7">
        <v>17537</v>
      </c>
      <c r="N4" s="7">
        <v>8500</v>
      </c>
      <c r="O4" s="7">
        <v>29924</v>
      </c>
      <c r="P4" s="11">
        <v>10499</v>
      </c>
      <c r="Q4" s="16">
        <v>4889</v>
      </c>
      <c r="R4" s="12">
        <v>2199</v>
      </c>
      <c r="S4" s="17">
        <v>6103</v>
      </c>
      <c r="T4" s="18">
        <v>-2517</v>
      </c>
      <c r="U4" s="18">
        <v>-2982</v>
      </c>
      <c r="V4" s="18">
        <f t="shared" si="1"/>
        <v>604</v>
      </c>
    </row>
    <row r="5" spans="2:22" ht="15.75" customHeight="1" x14ac:dyDescent="0.3">
      <c r="B5" s="19" t="s">
        <v>24</v>
      </c>
      <c r="C5" s="20">
        <f t="shared" ref="C5:V5" ca="1" si="2">(C3/C4)-1</f>
        <v>7.0512820512820484E-2</v>
      </c>
      <c r="D5" s="20">
        <f t="shared" ca="1" si="2"/>
        <v>7.0512820512820706E-2</v>
      </c>
      <c r="E5" s="20">
        <f t="shared" si="2"/>
        <v>-5.6218007515462798E-4</v>
      </c>
      <c r="F5" s="20">
        <f t="shared" si="2"/>
        <v>-1.8598382749326126E-2</v>
      </c>
      <c r="G5" s="20">
        <f t="shared" si="2"/>
        <v>-1.9084967320261548E-2</v>
      </c>
      <c r="H5" s="20">
        <f t="shared" si="2"/>
        <v>0</v>
      </c>
      <c r="I5" s="20">
        <f t="shared" si="2"/>
        <v>0</v>
      </c>
      <c r="J5" s="20">
        <f t="shared" si="2"/>
        <v>3.6066981537140386E-2</v>
      </c>
      <c r="K5" s="20">
        <f t="shared" si="2"/>
        <v>-0.21951219512195119</v>
      </c>
      <c r="L5" s="20">
        <f t="shared" si="2"/>
        <v>4.3160204828090798E-2</v>
      </c>
      <c r="M5" s="20">
        <f t="shared" si="2"/>
        <v>-3.1077151166105987E-2</v>
      </c>
      <c r="N5" s="20">
        <f t="shared" si="2"/>
        <v>-4.2235294117647038E-2</v>
      </c>
      <c r="O5" s="20">
        <f t="shared" si="2"/>
        <v>1.4937842534420431E-2</v>
      </c>
      <c r="P5" s="20">
        <f t="shared" si="2"/>
        <v>-1.7811220116201509E-2</v>
      </c>
      <c r="Q5" s="20">
        <f t="shared" si="2"/>
        <v>-0.11781550419308651</v>
      </c>
      <c r="R5" s="20">
        <f t="shared" si="2"/>
        <v>-0.17917235106866758</v>
      </c>
      <c r="S5" s="21">
        <f t="shared" si="2"/>
        <v>-0.27511060134360155</v>
      </c>
      <c r="T5" s="21">
        <f t="shared" si="2"/>
        <v>-0.65276122367898293</v>
      </c>
      <c r="U5" s="22">
        <f t="shared" si="2"/>
        <v>0.25855130784708247</v>
      </c>
      <c r="V5" s="22">
        <f t="shared" si="2"/>
        <v>-1.3360927152317881</v>
      </c>
    </row>
    <row r="6" spans="2:22" ht="15.75" customHeight="1" x14ac:dyDescent="0.3"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</row>
    <row r="7" spans="2:22" ht="15.75" customHeight="1" x14ac:dyDescent="0.3">
      <c r="B7" s="24" t="s">
        <v>24</v>
      </c>
      <c r="D7" s="24" t="s">
        <v>25</v>
      </c>
      <c r="E7" s="23"/>
      <c r="F7" s="23"/>
      <c r="G7" s="24" t="s">
        <v>26</v>
      </c>
      <c r="H7" s="23"/>
      <c r="I7" s="23"/>
      <c r="J7" s="24" t="s">
        <v>27</v>
      </c>
      <c r="K7" s="23"/>
      <c r="L7" s="23"/>
      <c r="M7" s="24" t="s">
        <v>28</v>
      </c>
      <c r="N7" s="23"/>
      <c r="O7" s="23"/>
      <c r="P7" s="23"/>
      <c r="Q7" s="23"/>
      <c r="R7" s="25" t="s">
        <v>0</v>
      </c>
      <c r="S7" s="26"/>
      <c r="T7" s="26"/>
    </row>
    <row r="8" spans="2:22" ht="13.8" x14ac:dyDescent="0.25">
      <c r="B8" s="24" t="s">
        <v>29</v>
      </c>
      <c r="C8" s="24" t="s">
        <v>30</v>
      </c>
      <c r="D8" s="24" t="s">
        <v>31</v>
      </c>
      <c r="E8" s="24" t="s">
        <v>32</v>
      </c>
      <c r="F8" s="24" t="s">
        <v>33</v>
      </c>
      <c r="G8" s="24" t="s">
        <v>34</v>
      </c>
      <c r="H8" s="24" t="s">
        <v>35</v>
      </c>
      <c r="I8" s="24" t="s">
        <v>36</v>
      </c>
      <c r="J8" s="24" t="s">
        <v>37</v>
      </c>
      <c r="K8" s="24" t="s">
        <v>38</v>
      </c>
      <c r="L8" s="24" t="s">
        <v>39</v>
      </c>
      <c r="M8" s="24" t="s">
        <v>40</v>
      </c>
      <c r="N8" s="24" t="s">
        <v>41</v>
      </c>
      <c r="O8" s="24" t="s">
        <v>42</v>
      </c>
      <c r="P8" s="24" t="s">
        <v>43</v>
      </c>
      <c r="Q8" s="24" t="s">
        <v>44</v>
      </c>
      <c r="R8" s="27" t="s">
        <v>45</v>
      </c>
      <c r="S8" s="28" t="s">
        <v>46</v>
      </c>
      <c r="T8" s="29" t="s">
        <v>47</v>
      </c>
      <c r="U8" s="30"/>
    </row>
    <row r="9" spans="2:22" ht="15.75" customHeight="1" x14ac:dyDescent="0.3">
      <c r="B9" s="31">
        <f>G47</f>
        <v>-2E-3</v>
      </c>
      <c r="C9" s="31">
        <v>0.09</v>
      </c>
      <c r="D9" s="32">
        <f>G49</f>
        <v>0.125</v>
      </c>
      <c r="E9" s="33">
        <f>M3/N3</f>
        <v>2.0872128731114112</v>
      </c>
      <c r="F9" s="34">
        <f>(Q3/E3)*365</f>
        <v>46.60563088400734</v>
      </c>
      <c r="G9" s="31">
        <f>K3/(I3+J3)</f>
        <v>4.4536082474226801E-2</v>
      </c>
      <c r="H9" s="31">
        <f>P3/O3</f>
        <v>0.3395344242863258</v>
      </c>
      <c r="I9" s="35">
        <f>D62</f>
        <v>29.75</v>
      </c>
      <c r="J9" s="31">
        <f>F3/J3</f>
        <v>0.18861375880646497</v>
      </c>
      <c r="K9" s="33">
        <f>F3/I3</f>
        <v>37.927083333333336</v>
      </c>
      <c r="L9" s="31">
        <f>F3/O3</f>
        <v>0.11988409996378124</v>
      </c>
      <c r="M9" s="33">
        <f ca="1">C3/G3</f>
        <v>66.764392324093819</v>
      </c>
      <c r="N9" s="32">
        <f ca="1">G3/C3</f>
        <v>1.4978043912175647E-2</v>
      </c>
      <c r="O9" s="35">
        <f>(J3)/(I3/H3)</f>
        <v>201.08333333333334</v>
      </c>
      <c r="P9" s="36">
        <v>12.6</v>
      </c>
      <c r="Q9" s="33">
        <f>T48</f>
        <v>0</v>
      </c>
      <c r="R9" s="37">
        <f>S3/N3</f>
        <v>0.54342218400687881</v>
      </c>
      <c r="S9" s="38">
        <f>S3/K3</f>
        <v>5.1203703703703702</v>
      </c>
      <c r="T9" s="39">
        <f>S3-R3</f>
        <v>2619</v>
      </c>
    </row>
    <row r="11" spans="2:22" ht="13.2" x14ac:dyDescent="0.25">
      <c r="B11" s="4" t="s">
        <v>48</v>
      </c>
      <c r="C11" s="4" t="s">
        <v>49</v>
      </c>
      <c r="D11" s="4" t="s">
        <v>50</v>
      </c>
      <c r="E11" s="4" t="s">
        <v>51</v>
      </c>
      <c r="F11" s="4" t="s">
        <v>52</v>
      </c>
      <c r="G11" s="4" t="s">
        <v>53</v>
      </c>
      <c r="H11" s="4" t="s">
        <v>54</v>
      </c>
      <c r="I11" s="4" t="s">
        <v>55</v>
      </c>
      <c r="J11" s="4" t="s">
        <v>56</v>
      </c>
      <c r="K11" s="4" t="s">
        <v>57</v>
      </c>
      <c r="L11" s="4" t="s">
        <v>58</v>
      </c>
      <c r="M11" s="4" t="s">
        <v>59</v>
      </c>
      <c r="N11" s="4" t="s">
        <v>60</v>
      </c>
      <c r="O11" s="4" t="s">
        <v>61</v>
      </c>
      <c r="P11" s="4" t="s">
        <v>62</v>
      </c>
    </row>
    <row r="12" spans="2:22" ht="15.75" customHeight="1" x14ac:dyDescent="0.3">
      <c r="B12" s="40"/>
      <c r="C12" s="41" t="s">
        <v>63</v>
      </c>
      <c r="D12" s="42">
        <v>1197</v>
      </c>
      <c r="E12" s="42">
        <v>106</v>
      </c>
      <c r="F12" s="43">
        <v>16.57</v>
      </c>
      <c r="G12" s="44">
        <f t="shared" ref="G12:G37" si="3">E12/D12</f>
        <v>8.8554720133667497E-2</v>
      </c>
      <c r="H12" s="45">
        <v>64.2</v>
      </c>
      <c r="I12" s="46">
        <v>347</v>
      </c>
      <c r="J12" s="42">
        <v>136</v>
      </c>
      <c r="K12" s="42">
        <v>198</v>
      </c>
      <c r="L12" s="47">
        <f t="shared" ref="L12:L37" si="4">J12/F12</f>
        <v>8.2076041038020513</v>
      </c>
      <c r="M12" s="47">
        <f t="shared" ref="M12:M37" si="5">K12/F12</f>
        <v>11.949305974652987</v>
      </c>
      <c r="N12" s="48">
        <f t="shared" ref="N12:N24" si="6">(H12+I12)/(H12/10)</f>
        <v>64.049844236760123</v>
      </c>
      <c r="O12" s="48">
        <f t="shared" ref="O12:O37" si="7">J12/N12</f>
        <v>2.1233463035019455</v>
      </c>
      <c r="P12" s="48">
        <f t="shared" ref="P12:P37" si="8">K12/N12</f>
        <v>3.091342412451362</v>
      </c>
    </row>
    <row r="13" spans="2:22" ht="15.75" customHeight="1" x14ac:dyDescent="0.3">
      <c r="B13" s="40"/>
      <c r="C13" s="41" t="s">
        <v>64</v>
      </c>
      <c r="D13" s="42">
        <v>1331</v>
      </c>
      <c r="E13" s="42">
        <v>114</v>
      </c>
      <c r="F13" s="43">
        <v>22.12</v>
      </c>
      <c r="G13" s="44">
        <f t="shared" si="3"/>
        <v>8.5649887302779865E-2</v>
      </c>
      <c r="H13" s="45">
        <v>64.2</v>
      </c>
      <c r="I13" s="46">
        <v>346</v>
      </c>
      <c r="J13" s="42">
        <v>250</v>
      </c>
      <c r="K13" s="42">
        <v>399</v>
      </c>
      <c r="L13" s="47">
        <f t="shared" si="4"/>
        <v>11.301989150090415</v>
      </c>
      <c r="M13" s="47">
        <f t="shared" si="5"/>
        <v>18.037974683544302</v>
      </c>
      <c r="N13" s="48">
        <f t="shared" si="6"/>
        <v>63.894080996884732</v>
      </c>
      <c r="O13" s="48">
        <f t="shared" si="7"/>
        <v>3.9127254997562169</v>
      </c>
      <c r="P13" s="48">
        <f t="shared" si="8"/>
        <v>6.2447098976109219</v>
      </c>
    </row>
    <row r="14" spans="2:22" ht="15.75" customHeight="1" x14ac:dyDescent="0.3">
      <c r="B14" s="40" t="s">
        <v>65</v>
      </c>
      <c r="C14" s="41" t="s">
        <v>66</v>
      </c>
      <c r="D14" s="42">
        <v>1588</v>
      </c>
      <c r="E14" s="42">
        <v>142</v>
      </c>
      <c r="F14" s="49">
        <v>15.41</v>
      </c>
      <c r="G14" s="44">
        <f t="shared" si="3"/>
        <v>8.9420654911838787E-2</v>
      </c>
      <c r="H14" s="45">
        <v>64.2</v>
      </c>
      <c r="I14" s="46">
        <v>402</v>
      </c>
      <c r="J14" s="42">
        <v>257</v>
      </c>
      <c r="K14" s="42">
        <v>472</v>
      </c>
      <c r="L14" s="47">
        <f t="shared" si="4"/>
        <v>16.677482154445165</v>
      </c>
      <c r="M14" s="47">
        <f t="shared" si="5"/>
        <v>30.629461388708631</v>
      </c>
      <c r="N14" s="48">
        <f t="shared" si="6"/>
        <v>72.616822429906534</v>
      </c>
      <c r="O14" s="48">
        <f t="shared" si="7"/>
        <v>3.5391248391248395</v>
      </c>
      <c r="P14" s="48">
        <f t="shared" si="8"/>
        <v>6.4998712998713009</v>
      </c>
    </row>
    <row r="15" spans="2:22" ht="15.75" customHeight="1" x14ac:dyDescent="0.3">
      <c r="B15" s="40"/>
      <c r="C15" s="41" t="s">
        <v>67</v>
      </c>
      <c r="D15" s="42">
        <v>1764</v>
      </c>
      <c r="E15" s="42">
        <v>147</v>
      </c>
      <c r="F15" s="43">
        <v>18.5</v>
      </c>
      <c r="G15" s="44">
        <f t="shared" si="3"/>
        <v>8.3333333333333329E-2</v>
      </c>
      <c r="H15" s="45">
        <v>95.9</v>
      </c>
      <c r="I15" s="46">
        <v>434</v>
      </c>
      <c r="J15" s="42">
        <v>245</v>
      </c>
      <c r="K15" s="42">
        <v>352</v>
      </c>
      <c r="L15" s="47">
        <f t="shared" si="4"/>
        <v>13.243243243243244</v>
      </c>
      <c r="M15" s="47">
        <f t="shared" si="5"/>
        <v>19.027027027027028</v>
      </c>
      <c r="N15" s="48">
        <f t="shared" si="6"/>
        <v>55.255474452554743</v>
      </c>
      <c r="O15" s="48">
        <f t="shared" si="7"/>
        <v>4.4339498018494057</v>
      </c>
      <c r="P15" s="48">
        <f t="shared" si="8"/>
        <v>6.3704095112285337</v>
      </c>
    </row>
    <row r="16" spans="2:22" ht="15.75" customHeight="1" x14ac:dyDescent="0.3">
      <c r="B16" s="40"/>
      <c r="C16" s="41" t="s">
        <v>68</v>
      </c>
      <c r="D16" s="42">
        <v>1973</v>
      </c>
      <c r="E16" s="42">
        <v>173</v>
      </c>
      <c r="F16" s="43">
        <v>19.47</v>
      </c>
      <c r="G16" s="44">
        <f t="shared" si="3"/>
        <v>8.7683730359858089E-2</v>
      </c>
      <c r="H16" s="45">
        <v>95.9</v>
      </c>
      <c r="I16" s="46">
        <v>471</v>
      </c>
      <c r="J16" s="42">
        <v>303</v>
      </c>
      <c r="K16" s="42">
        <v>584</v>
      </c>
      <c r="L16" s="47">
        <f t="shared" si="4"/>
        <v>15.562403697996919</v>
      </c>
      <c r="M16" s="47">
        <f t="shared" si="5"/>
        <v>29.994863893168979</v>
      </c>
      <c r="N16" s="48">
        <f t="shared" si="6"/>
        <v>59.113660062565174</v>
      </c>
      <c r="O16" s="48">
        <f t="shared" si="7"/>
        <v>5.1257188216616685</v>
      </c>
      <c r="P16" s="48">
        <f t="shared" si="8"/>
        <v>9.8792732404304111</v>
      </c>
    </row>
    <row r="17" spans="2:16" ht="15.75" customHeight="1" x14ac:dyDescent="0.3">
      <c r="B17" s="40"/>
      <c r="C17" s="41" t="s">
        <v>69</v>
      </c>
      <c r="D17" s="42">
        <v>2355</v>
      </c>
      <c r="E17" s="42">
        <v>186</v>
      </c>
      <c r="F17" s="43">
        <v>19.5</v>
      </c>
      <c r="G17" s="44">
        <f t="shared" si="3"/>
        <v>7.8980891719745219E-2</v>
      </c>
      <c r="H17" s="45">
        <v>95.9</v>
      </c>
      <c r="I17" s="46">
        <v>550</v>
      </c>
      <c r="J17" s="42">
        <v>501</v>
      </c>
      <c r="K17" s="42">
        <v>790</v>
      </c>
      <c r="L17" s="47">
        <f t="shared" si="4"/>
        <v>25.692307692307693</v>
      </c>
      <c r="M17" s="47">
        <f t="shared" si="5"/>
        <v>40.512820512820511</v>
      </c>
      <c r="N17" s="48">
        <f t="shared" si="6"/>
        <v>67.351407716371213</v>
      </c>
      <c r="O17" s="48">
        <f t="shared" si="7"/>
        <v>7.4385973060845343</v>
      </c>
      <c r="P17" s="48">
        <f t="shared" si="8"/>
        <v>11.729524694225114</v>
      </c>
    </row>
    <row r="18" spans="2:16" ht="15.75" customHeight="1" x14ac:dyDescent="0.3">
      <c r="B18" s="40"/>
      <c r="C18" s="41" t="s">
        <v>70</v>
      </c>
      <c r="D18" s="42">
        <v>2861</v>
      </c>
      <c r="E18" s="42">
        <v>272</v>
      </c>
      <c r="F18" s="43">
        <v>28.36</v>
      </c>
      <c r="G18" s="44">
        <f t="shared" si="3"/>
        <v>9.5071653268088085E-2</v>
      </c>
      <c r="H18" s="45">
        <v>95.9</v>
      </c>
      <c r="I18" s="46">
        <v>681</v>
      </c>
      <c r="J18" s="42">
        <v>642</v>
      </c>
      <c r="K18" s="42">
        <v>1125</v>
      </c>
      <c r="L18" s="47">
        <f t="shared" si="4"/>
        <v>22.637517630465446</v>
      </c>
      <c r="M18" s="47">
        <f t="shared" si="5"/>
        <v>39.668547249647389</v>
      </c>
      <c r="N18" s="48">
        <f t="shared" si="6"/>
        <v>81.011470281543268</v>
      </c>
      <c r="O18" s="48">
        <f t="shared" si="7"/>
        <v>7.9248037070408035</v>
      </c>
      <c r="P18" s="48">
        <f t="shared" si="8"/>
        <v>13.886922383833184</v>
      </c>
    </row>
    <row r="19" spans="2:16" ht="15.75" customHeight="1" x14ac:dyDescent="0.3">
      <c r="B19" s="40"/>
      <c r="C19" s="41" t="s">
        <v>71</v>
      </c>
      <c r="D19" s="42">
        <v>4404</v>
      </c>
      <c r="E19" s="42">
        <v>375</v>
      </c>
      <c r="F19" s="43">
        <v>39.119999999999997</v>
      </c>
      <c r="G19" s="44">
        <f t="shared" si="3"/>
        <v>8.5149863760217978E-2</v>
      </c>
      <c r="H19" s="45">
        <v>95.9</v>
      </c>
      <c r="I19" s="46">
        <v>886</v>
      </c>
      <c r="J19" s="42">
        <v>830</v>
      </c>
      <c r="K19" s="42">
        <v>1320</v>
      </c>
      <c r="L19" s="47">
        <f t="shared" si="4"/>
        <v>21.21676891615542</v>
      </c>
      <c r="M19" s="47">
        <f t="shared" si="5"/>
        <v>33.742331288343557</v>
      </c>
      <c r="N19" s="48">
        <f t="shared" si="6"/>
        <v>102.38790406673618</v>
      </c>
      <c r="O19" s="48">
        <f t="shared" si="7"/>
        <v>8.106426316325491</v>
      </c>
      <c r="P19" s="48">
        <f t="shared" si="8"/>
        <v>12.892147876565842</v>
      </c>
    </row>
    <row r="20" spans="2:16" ht="15.75" customHeight="1" x14ac:dyDescent="0.3">
      <c r="B20" s="40"/>
      <c r="C20" s="41" t="s">
        <v>72</v>
      </c>
      <c r="D20" s="42">
        <v>4270</v>
      </c>
      <c r="E20" s="42">
        <v>362</v>
      </c>
      <c r="F20" s="43">
        <v>37.78</v>
      </c>
      <c r="G20" s="44">
        <f t="shared" si="3"/>
        <v>8.4777517564402813E-2</v>
      </c>
      <c r="H20" s="45">
        <v>95.9</v>
      </c>
      <c r="I20" s="46">
        <v>1107</v>
      </c>
      <c r="J20" s="42">
        <v>680</v>
      </c>
      <c r="K20" s="42">
        <v>1811</v>
      </c>
      <c r="L20" s="47">
        <f t="shared" si="4"/>
        <v>17.99894123875066</v>
      </c>
      <c r="M20" s="47">
        <f t="shared" si="5"/>
        <v>47.935415563790365</v>
      </c>
      <c r="N20" s="48">
        <f t="shared" si="6"/>
        <v>125.43274244004172</v>
      </c>
      <c r="O20" s="48">
        <f t="shared" si="7"/>
        <v>5.4212320226120205</v>
      </c>
      <c r="P20" s="48">
        <f t="shared" si="8"/>
        <v>14.438016460221132</v>
      </c>
    </row>
    <row r="21" spans="2:16" ht="15.75" customHeight="1" x14ac:dyDescent="0.3">
      <c r="B21" s="40"/>
      <c r="C21" s="41" t="s">
        <v>73</v>
      </c>
      <c r="D21" s="42">
        <v>5125</v>
      </c>
      <c r="E21" s="42">
        <v>774</v>
      </c>
      <c r="F21" s="43">
        <v>80.739999999999995</v>
      </c>
      <c r="G21" s="44">
        <f t="shared" si="3"/>
        <v>0.15102439024390243</v>
      </c>
      <c r="H21" s="45">
        <v>95.9</v>
      </c>
      <c r="I21" s="46">
        <v>1614</v>
      </c>
      <c r="J21" s="42">
        <v>1715</v>
      </c>
      <c r="K21" s="42">
        <v>3027</v>
      </c>
      <c r="L21" s="47">
        <f t="shared" si="4"/>
        <v>21.241020559821653</v>
      </c>
      <c r="M21" s="47">
        <f t="shared" si="5"/>
        <v>37.490710923953436</v>
      </c>
      <c r="N21" s="48">
        <f t="shared" si="6"/>
        <v>178.30031282586029</v>
      </c>
      <c r="O21" s="48">
        <f t="shared" si="7"/>
        <v>9.6186034271009984</v>
      </c>
      <c r="P21" s="48">
        <f t="shared" si="8"/>
        <v>16.97697526171121</v>
      </c>
    </row>
    <row r="22" spans="2:16" ht="15.75" customHeight="1" x14ac:dyDescent="0.3">
      <c r="B22" s="40"/>
      <c r="C22" s="41" t="s">
        <v>74</v>
      </c>
      <c r="D22" s="42">
        <v>6222</v>
      </c>
      <c r="E22" s="42">
        <v>775</v>
      </c>
      <c r="F22" s="43">
        <v>80.81</v>
      </c>
      <c r="G22" s="44">
        <f t="shared" si="3"/>
        <v>0.12455801992928318</v>
      </c>
      <c r="H22" s="45">
        <v>95.9</v>
      </c>
      <c r="I22" s="46">
        <v>2091</v>
      </c>
      <c r="J22" s="42">
        <v>2395</v>
      </c>
      <c r="K22" s="42">
        <v>3366</v>
      </c>
      <c r="L22" s="47">
        <f t="shared" si="4"/>
        <v>29.637421111248607</v>
      </c>
      <c r="M22" s="47">
        <f t="shared" si="5"/>
        <v>41.653260735057543</v>
      </c>
      <c r="N22" s="48">
        <f t="shared" si="6"/>
        <v>228.0396246089677</v>
      </c>
      <c r="O22" s="48">
        <f t="shared" si="7"/>
        <v>10.502560702364075</v>
      </c>
      <c r="P22" s="48">
        <f t="shared" si="8"/>
        <v>14.760592619689971</v>
      </c>
    </row>
    <row r="23" spans="2:16" ht="15.75" customHeight="1" x14ac:dyDescent="0.3">
      <c r="B23" s="40"/>
      <c r="C23" s="41" t="s">
        <v>75</v>
      </c>
      <c r="D23" s="42">
        <v>7964</v>
      </c>
      <c r="E23" s="42">
        <v>958</v>
      </c>
      <c r="F23" s="43">
        <v>99.92</v>
      </c>
      <c r="G23" s="44">
        <f t="shared" si="3"/>
        <v>0.12029131089904571</v>
      </c>
      <c r="H23" s="45">
        <v>95.9</v>
      </c>
      <c r="I23" s="46">
        <v>2652</v>
      </c>
      <c r="J23" s="42">
        <v>2556</v>
      </c>
      <c r="K23" s="42">
        <v>4494</v>
      </c>
      <c r="L23" s="47">
        <f t="shared" si="4"/>
        <v>25.580464371497197</v>
      </c>
      <c r="M23" s="47">
        <f t="shared" si="5"/>
        <v>44.975980784627701</v>
      </c>
      <c r="N23" s="48">
        <f t="shared" si="6"/>
        <v>286.53806047966634</v>
      </c>
      <c r="O23" s="48">
        <f t="shared" si="7"/>
        <v>8.920280941810109</v>
      </c>
      <c r="P23" s="48">
        <f t="shared" si="8"/>
        <v>15.683780341351577</v>
      </c>
    </row>
    <row r="24" spans="2:16" ht="15.75" customHeight="1" x14ac:dyDescent="0.3">
      <c r="B24" s="40"/>
      <c r="C24" s="41" t="s">
        <v>76</v>
      </c>
      <c r="D24" s="42">
        <v>8971</v>
      </c>
      <c r="E24" s="42">
        <v>1050</v>
      </c>
      <c r="F24" s="43">
        <v>109.42</v>
      </c>
      <c r="G24" s="44">
        <f t="shared" si="3"/>
        <v>0.11704380782521458</v>
      </c>
      <c r="H24" s="45">
        <v>95.9</v>
      </c>
      <c r="I24" s="46">
        <v>3288</v>
      </c>
      <c r="J24" s="42">
        <v>3760</v>
      </c>
      <c r="K24" s="42">
        <v>5247</v>
      </c>
      <c r="L24" s="47">
        <f t="shared" si="4"/>
        <v>34.363004935112407</v>
      </c>
      <c r="M24" s="47">
        <f t="shared" si="5"/>
        <v>47.952842259184791</v>
      </c>
      <c r="N24" s="48">
        <f t="shared" si="6"/>
        <v>352.85714285714289</v>
      </c>
      <c r="O24" s="48">
        <f t="shared" si="7"/>
        <v>10.655870445344128</v>
      </c>
      <c r="P24" s="48">
        <f t="shared" si="8"/>
        <v>14.870040485829959</v>
      </c>
    </row>
    <row r="25" spans="2:16" ht="15.75" customHeight="1" x14ac:dyDescent="0.3">
      <c r="B25" s="40" t="s">
        <v>77</v>
      </c>
      <c r="C25" s="41" t="s">
        <v>78</v>
      </c>
      <c r="D25" s="42">
        <v>10418</v>
      </c>
      <c r="E25" s="42">
        <v>1169</v>
      </c>
      <c r="F25" s="43">
        <v>12.9</v>
      </c>
      <c r="G25" s="44">
        <f t="shared" si="3"/>
        <v>0.11220963716644269</v>
      </c>
      <c r="H25" s="45">
        <v>95.9</v>
      </c>
      <c r="I25" s="46">
        <v>3943</v>
      </c>
      <c r="J25" s="42">
        <v>461</v>
      </c>
      <c r="K25" s="42">
        <v>809</v>
      </c>
      <c r="L25" s="47">
        <f t="shared" si="4"/>
        <v>35.736434108527128</v>
      </c>
      <c r="M25" s="47">
        <f t="shared" si="5"/>
        <v>62.713178294573645</v>
      </c>
      <c r="N25" s="48">
        <f t="shared" ref="N25:N37" si="9">(H25+I25)/(H25/1)</f>
        <v>42.115745568300312</v>
      </c>
      <c r="O25" s="48">
        <f t="shared" si="7"/>
        <v>10.946024907771918</v>
      </c>
      <c r="P25" s="48">
        <f t="shared" si="8"/>
        <v>19.20896778825918</v>
      </c>
    </row>
    <row r="26" spans="2:16" ht="14.4" x14ac:dyDescent="0.3">
      <c r="B26" s="40"/>
      <c r="C26" s="41" t="s">
        <v>79</v>
      </c>
      <c r="D26" s="42">
        <v>11648</v>
      </c>
      <c r="E26" s="42">
        <v>1327</v>
      </c>
      <c r="F26" s="43">
        <v>13.84</v>
      </c>
      <c r="G26" s="44">
        <f t="shared" si="3"/>
        <v>0.11392513736263736</v>
      </c>
      <c r="H26" s="45">
        <v>95.9</v>
      </c>
      <c r="I26" s="46">
        <v>4646</v>
      </c>
      <c r="J26" s="42">
        <v>693</v>
      </c>
      <c r="K26" s="42">
        <v>925</v>
      </c>
      <c r="L26" s="47">
        <f t="shared" si="4"/>
        <v>50.072254335260119</v>
      </c>
      <c r="M26" s="47">
        <f t="shared" si="5"/>
        <v>66.835260115606943</v>
      </c>
      <c r="N26" s="48">
        <f t="shared" si="9"/>
        <v>49.446298227320121</v>
      </c>
      <c r="O26" s="48">
        <f t="shared" si="7"/>
        <v>14.015204875682745</v>
      </c>
      <c r="P26" s="48">
        <f t="shared" si="8"/>
        <v>18.707163795103231</v>
      </c>
    </row>
    <row r="27" spans="2:16" ht="14.4" x14ac:dyDescent="0.3">
      <c r="B27" s="40"/>
      <c r="C27" s="41" t="s">
        <v>80</v>
      </c>
      <c r="D27" s="42">
        <v>15534</v>
      </c>
      <c r="E27" s="42">
        <v>1597</v>
      </c>
      <c r="F27" s="43">
        <v>16.649999999999999</v>
      </c>
      <c r="G27" s="44">
        <f t="shared" si="3"/>
        <v>0.10280674649156689</v>
      </c>
      <c r="H27" s="45">
        <v>95.9</v>
      </c>
      <c r="I27" s="46">
        <v>6429</v>
      </c>
      <c r="J27" s="42">
        <v>825</v>
      </c>
      <c r="K27" s="42">
        <v>1230</v>
      </c>
      <c r="L27" s="47">
        <f t="shared" si="4"/>
        <v>49.549549549549553</v>
      </c>
      <c r="M27" s="47">
        <f t="shared" si="5"/>
        <v>73.873873873873876</v>
      </c>
      <c r="N27" s="48">
        <f t="shared" si="9"/>
        <v>68.038581856100095</v>
      </c>
      <c r="O27" s="48">
        <f t="shared" si="7"/>
        <v>12.125473187328543</v>
      </c>
      <c r="P27" s="48">
        <f t="shared" si="8"/>
        <v>18.077978206562555</v>
      </c>
    </row>
    <row r="28" spans="2:16" ht="14.4" x14ac:dyDescent="0.3">
      <c r="B28" s="40"/>
      <c r="C28" s="41" t="s">
        <v>81</v>
      </c>
      <c r="D28" s="42">
        <v>17347</v>
      </c>
      <c r="E28" s="42">
        <v>1803</v>
      </c>
      <c r="F28" s="43">
        <v>18.8</v>
      </c>
      <c r="G28" s="44">
        <f t="shared" si="3"/>
        <v>0.10393728022136392</v>
      </c>
      <c r="H28" s="45">
        <v>95.9</v>
      </c>
      <c r="I28" s="46">
        <v>7508</v>
      </c>
      <c r="J28" s="42">
        <v>883</v>
      </c>
      <c r="K28" s="42">
        <v>1261</v>
      </c>
      <c r="L28" s="47">
        <f t="shared" si="4"/>
        <v>46.968085106382979</v>
      </c>
      <c r="M28" s="47">
        <f t="shared" si="5"/>
        <v>67.074468085106375</v>
      </c>
      <c r="N28" s="48">
        <f t="shared" si="9"/>
        <v>79.289885297184554</v>
      </c>
      <c r="O28" s="48">
        <f t="shared" si="7"/>
        <v>11.136351082996885</v>
      </c>
      <c r="P28" s="48">
        <f t="shared" si="8"/>
        <v>15.903667854653536</v>
      </c>
    </row>
    <row r="29" spans="2:16" ht="14.4" x14ac:dyDescent="0.3">
      <c r="B29" s="40"/>
      <c r="C29" s="41" t="s">
        <v>82</v>
      </c>
      <c r="D29" s="42">
        <v>17482</v>
      </c>
      <c r="E29" s="42">
        <v>1894</v>
      </c>
      <c r="F29" s="43">
        <v>19.75</v>
      </c>
      <c r="G29" s="44">
        <f t="shared" si="3"/>
        <v>0.10834000686420318</v>
      </c>
      <c r="H29" s="45">
        <v>95.9</v>
      </c>
      <c r="I29" s="46">
        <v>8314</v>
      </c>
      <c r="J29" s="42">
        <v>1082</v>
      </c>
      <c r="K29" s="42">
        <v>1489</v>
      </c>
      <c r="L29" s="47">
        <f t="shared" si="4"/>
        <v>54.784810126582279</v>
      </c>
      <c r="M29" s="47">
        <f t="shared" si="5"/>
        <v>75.392405063291136</v>
      </c>
      <c r="N29" s="48">
        <f t="shared" si="9"/>
        <v>87.694473409801873</v>
      </c>
      <c r="O29" s="48">
        <f t="shared" si="7"/>
        <v>12.338291775169742</v>
      </c>
      <c r="P29" s="48">
        <f t="shared" si="8"/>
        <v>16.97940522479459</v>
      </c>
    </row>
    <row r="30" spans="2:16" ht="14.4" x14ac:dyDescent="0.3">
      <c r="B30" s="40"/>
      <c r="C30" s="41" t="s">
        <v>83</v>
      </c>
      <c r="D30" s="42">
        <v>19576</v>
      </c>
      <c r="E30" s="42">
        <v>2212</v>
      </c>
      <c r="F30" s="43">
        <v>22.51</v>
      </c>
      <c r="G30" s="44">
        <f t="shared" si="3"/>
        <v>0.1129955046996322</v>
      </c>
      <c r="H30" s="45">
        <v>95.9</v>
      </c>
      <c r="I30" s="46">
        <v>9375</v>
      </c>
      <c r="J30" s="42">
        <v>1118</v>
      </c>
      <c r="K30" s="42">
        <v>1530</v>
      </c>
      <c r="L30" s="47">
        <f t="shared" si="4"/>
        <v>49.666814749000437</v>
      </c>
      <c r="M30" s="47">
        <f t="shared" si="5"/>
        <v>67.969791203909367</v>
      </c>
      <c r="N30" s="48">
        <f t="shared" si="9"/>
        <v>98.758081334723656</v>
      </c>
      <c r="O30" s="48">
        <f t="shared" si="7"/>
        <v>11.320592551922205</v>
      </c>
      <c r="P30" s="48">
        <f t="shared" si="8"/>
        <v>15.49240304511715</v>
      </c>
    </row>
    <row r="31" spans="2:16" ht="14.4" x14ac:dyDescent="0.3">
      <c r="B31" s="40"/>
      <c r="C31" s="41" t="s">
        <v>84</v>
      </c>
      <c r="D31" s="42">
        <v>20211</v>
      </c>
      <c r="E31" s="42">
        <v>2774</v>
      </c>
      <c r="F31" s="43">
        <v>28.2</v>
      </c>
      <c r="G31" s="44">
        <f t="shared" si="3"/>
        <v>0.13725199148978279</v>
      </c>
      <c r="H31" s="45">
        <v>95.9</v>
      </c>
      <c r="I31" s="46">
        <v>10034</v>
      </c>
      <c r="J31" s="42">
        <v>1291</v>
      </c>
      <c r="K31" s="42">
        <v>1917</v>
      </c>
      <c r="L31" s="47">
        <f t="shared" si="4"/>
        <v>45.780141843971634</v>
      </c>
      <c r="M31" s="47">
        <f t="shared" si="5"/>
        <v>67.978723404255319</v>
      </c>
      <c r="N31" s="48">
        <f t="shared" si="9"/>
        <v>105.6298227320125</v>
      </c>
      <c r="O31" s="48">
        <f t="shared" si="7"/>
        <v>12.221927166112204</v>
      </c>
      <c r="P31" s="48">
        <f t="shared" si="8"/>
        <v>18.14828379352215</v>
      </c>
    </row>
    <row r="32" spans="2:16" ht="14.4" x14ac:dyDescent="0.3">
      <c r="B32" s="40"/>
      <c r="C32" s="41" t="s">
        <v>85</v>
      </c>
      <c r="D32" s="42">
        <v>21713</v>
      </c>
      <c r="E32" s="42">
        <v>3207</v>
      </c>
      <c r="F32" s="43">
        <v>32.729999999999997</v>
      </c>
      <c r="G32" s="44">
        <f t="shared" si="3"/>
        <v>0.14769953484087875</v>
      </c>
      <c r="H32" s="45">
        <v>95.9</v>
      </c>
      <c r="I32" s="46">
        <v>12710</v>
      </c>
      <c r="J32" s="42">
        <v>1483</v>
      </c>
      <c r="K32" s="42">
        <v>2874</v>
      </c>
      <c r="L32" s="47">
        <f t="shared" si="4"/>
        <v>45.310113046135051</v>
      </c>
      <c r="M32" s="47">
        <f t="shared" si="5"/>
        <v>87.80934922089827</v>
      </c>
      <c r="N32" s="48">
        <f t="shared" si="9"/>
        <v>133.53388946819604</v>
      </c>
      <c r="O32" s="48">
        <f t="shared" si="7"/>
        <v>11.105794985124044</v>
      </c>
      <c r="P32" s="48">
        <f t="shared" si="8"/>
        <v>21.522626289444709</v>
      </c>
    </row>
    <row r="33" spans="2:20" ht="14.4" x14ac:dyDescent="0.3">
      <c r="B33" s="40"/>
      <c r="C33" s="41" t="s">
        <v>86</v>
      </c>
      <c r="D33" s="42">
        <v>28924</v>
      </c>
      <c r="E33" s="42">
        <v>3085</v>
      </c>
      <c r="F33" s="50">
        <v>32.17</v>
      </c>
      <c r="G33" s="44">
        <f t="shared" si="3"/>
        <v>0.10665883003733924</v>
      </c>
      <c r="H33" s="45">
        <v>95.9</v>
      </c>
      <c r="I33" s="46">
        <v>13716</v>
      </c>
      <c r="J33" s="40">
        <v>2485</v>
      </c>
      <c r="K33" s="40">
        <v>3590</v>
      </c>
      <c r="L33" s="47">
        <f t="shared" si="4"/>
        <v>77.245881255828408</v>
      </c>
      <c r="M33" s="47">
        <f t="shared" si="5"/>
        <v>111.59465340379235</v>
      </c>
      <c r="N33" s="48">
        <f t="shared" si="9"/>
        <v>144.0239833159541</v>
      </c>
      <c r="O33" s="48">
        <f t="shared" si="7"/>
        <v>17.25407076506491</v>
      </c>
      <c r="P33" s="48">
        <f t="shared" si="8"/>
        <v>24.926404042890553</v>
      </c>
    </row>
    <row r="34" spans="2:20" ht="14.4" x14ac:dyDescent="0.3">
      <c r="B34" s="15"/>
      <c r="C34" s="41" t="s">
        <v>87</v>
      </c>
      <c r="D34" s="48">
        <v>34368</v>
      </c>
      <c r="E34" s="48">
        <v>4195</v>
      </c>
      <c r="F34" s="51">
        <v>42.83</v>
      </c>
      <c r="G34" s="44">
        <f t="shared" si="3"/>
        <v>0.12206121973929236</v>
      </c>
      <c r="H34" s="48">
        <v>96</v>
      </c>
      <c r="I34" s="46">
        <v>15896</v>
      </c>
      <c r="J34" s="15">
        <v>2560</v>
      </c>
      <c r="K34" s="15">
        <v>3582</v>
      </c>
      <c r="L34" s="47">
        <f t="shared" si="4"/>
        <v>59.771188419332248</v>
      </c>
      <c r="M34" s="47">
        <f t="shared" si="5"/>
        <v>83.632967546112539</v>
      </c>
      <c r="N34" s="48">
        <f t="shared" si="9"/>
        <v>166.58333333333334</v>
      </c>
      <c r="O34" s="48">
        <f t="shared" si="7"/>
        <v>15.367683841920959</v>
      </c>
      <c r="P34" s="48">
        <f t="shared" si="8"/>
        <v>21.502751375687843</v>
      </c>
    </row>
    <row r="35" spans="2:20" ht="14.4" x14ac:dyDescent="0.3">
      <c r="B35" s="15"/>
      <c r="C35" s="41" t="s">
        <v>88</v>
      </c>
      <c r="D35" s="48">
        <v>35382</v>
      </c>
      <c r="E35" s="48">
        <v>5557</v>
      </c>
      <c r="F35" s="51">
        <v>56.95</v>
      </c>
      <c r="G35" s="44">
        <f t="shared" si="3"/>
        <v>0.15705726075405574</v>
      </c>
      <c r="H35" s="48">
        <v>96</v>
      </c>
      <c r="I35" s="46">
        <v>18632</v>
      </c>
      <c r="J35" s="15">
        <v>2708</v>
      </c>
      <c r="K35" s="15">
        <v>3568</v>
      </c>
      <c r="L35" s="47">
        <f t="shared" si="4"/>
        <v>47.550482879719048</v>
      </c>
      <c r="M35" s="47">
        <f t="shared" si="5"/>
        <v>62.651448639157152</v>
      </c>
      <c r="N35" s="48">
        <f t="shared" si="9"/>
        <v>195.08333333333334</v>
      </c>
      <c r="O35" s="48">
        <f t="shared" si="7"/>
        <v>13.881247330200768</v>
      </c>
      <c r="P35" s="48">
        <f t="shared" si="8"/>
        <v>18.28961982058949</v>
      </c>
    </row>
    <row r="36" spans="2:20" ht="14.4" x14ac:dyDescent="0.3">
      <c r="B36" s="15"/>
      <c r="C36" s="41" t="s">
        <v>89</v>
      </c>
      <c r="D36" s="48">
        <v>33797</v>
      </c>
      <c r="E36" s="48">
        <v>3710</v>
      </c>
      <c r="F36" s="51">
        <v>38.25</v>
      </c>
      <c r="G36" s="44">
        <f t="shared" si="3"/>
        <v>0.10977305678018759</v>
      </c>
      <c r="H36" s="48">
        <v>96</v>
      </c>
      <c r="I36" s="46">
        <v>19304</v>
      </c>
      <c r="J36" s="15">
        <v>2124</v>
      </c>
      <c r="K36" s="15">
        <v>3411</v>
      </c>
      <c r="L36" s="47">
        <f t="shared" si="4"/>
        <v>55.529411764705884</v>
      </c>
      <c r="M36" s="47">
        <f t="shared" si="5"/>
        <v>89.17647058823529</v>
      </c>
      <c r="N36" s="48">
        <f t="shared" si="9"/>
        <v>202.08333333333334</v>
      </c>
      <c r="O36" s="48">
        <f t="shared" si="7"/>
        <v>10.510515463917525</v>
      </c>
      <c r="P36" s="48">
        <f t="shared" si="8"/>
        <v>16.879175257731958</v>
      </c>
    </row>
    <row r="37" spans="2:20" ht="14.4" x14ac:dyDescent="0.3">
      <c r="B37" s="15"/>
      <c r="C37" s="41" t="s">
        <v>90</v>
      </c>
      <c r="D37" s="48">
        <f>D36+D53-E53</f>
        <v>33778</v>
      </c>
      <c r="E37" s="48">
        <f>E36+D57-E57</f>
        <v>3641</v>
      </c>
      <c r="F37" s="51">
        <f>O47</f>
        <v>37.519999999999996</v>
      </c>
      <c r="G37" s="44">
        <f t="shared" si="3"/>
        <v>0.10779205399964474</v>
      </c>
      <c r="H37" s="48">
        <v>96</v>
      </c>
      <c r="I37" s="52">
        <f>I36+D59</f>
        <v>19315.47</v>
      </c>
      <c r="J37" s="15">
        <v>2174</v>
      </c>
      <c r="K37" s="15">
        <v>2491</v>
      </c>
      <c r="L37" s="47">
        <f t="shared" si="4"/>
        <v>57.942430703624737</v>
      </c>
      <c r="M37" s="47">
        <f t="shared" si="5"/>
        <v>66.391257995735614</v>
      </c>
      <c r="N37" s="48">
        <f t="shared" si="9"/>
        <v>202.20281250000002</v>
      </c>
      <c r="O37" s="48">
        <f t="shared" si="7"/>
        <v>10.751581410372321</v>
      </c>
      <c r="P37" s="48">
        <f t="shared" si="8"/>
        <v>12.319314302317133</v>
      </c>
    </row>
    <row r="39" spans="2:20" ht="13.2" x14ac:dyDescent="0.25">
      <c r="B39" s="4" t="s">
        <v>24</v>
      </c>
      <c r="C39" s="4" t="s">
        <v>49</v>
      </c>
      <c r="D39" s="4" t="s">
        <v>50</v>
      </c>
      <c r="E39" s="4" t="s">
        <v>51</v>
      </c>
      <c r="F39" s="4" t="s">
        <v>52</v>
      </c>
      <c r="G39" s="4" t="s">
        <v>53</v>
      </c>
      <c r="H39" s="4" t="s">
        <v>54</v>
      </c>
      <c r="I39" s="4" t="s">
        <v>55</v>
      </c>
      <c r="J39" s="4" t="s">
        <v>56</v>
      </c>
      <c r="K39" s="4" t="s">
        <v>57</v>
      </c>
      <c r="L39" s="4" t="s">
        <v>58</v>
      </c>
      <c r="M39" s="4" t="s">
        <v>59</v>
      </c>
      <c r="N39" s="4" t="s">
        <v>60</v>
      </c>
      <c r="O39" s="4" t="s">
        <v>61</v>
      </c>
      <c r="P39" s="4" t="s">
        <v>62</v>
      </c>
    </row>
    <row r="40" spans="2:20" ht="13.2" x14ac:dyDescent="0.25">
      <c r="B40" s="53"/>
      <c r="C40" s="54" t="s">
        <v>91</v>
      </c>
      <c r="D40" s="55">
        <f t="shared" ref="D40:E40" si="10">(D36/D16)^(1/20)-1</f>
        <v>0.15262372154188064</v>
      </c>
      <c r="E40" s="55">
        <f t="shared" si="10"/>
        <v>0.16564522867089426</v>
      </c>
      <c r="F40" s="55">
        <f>((10*F36)/F16)^(1/20)-1</f>
        <v>0.1605484460393154</v>
      </c>
      <c r="G40" s="56">
        <f>MEDIAN(G16:G36)</f>
        <v>0.11220963716644269</v>
      </c>
      <c r="H40" s="55">
        <f t="shared" ref="H40:I40" si="11">(H36/H16)^(1/20)-1</f>
        <v>5.2111836696733249E-5</v>
      </c>
      <c r="I40" s="55">
        <f t="shared" si="11"/>
        <v>0.20401339912302086</v>
      </c>
      <c r="J40" s="55">
        <f t="shared" ref="J40:K40" si="12">((10*J36)/J16)^(1/20)-1</f>
        <v>0.23676046587623034</v>
      </c>
      <c r="K40" s="55">
        <f t="shared" si="12"/>
        <v>0.22552857978148122</v>
      </c>
      <c r="L40" s="57">
        <f t="shared" ref="L40:M40" si="13">MEDIAN(L16:L36)</f>
        <v>45.310113046135051</v>
      </c>
      <c r="M40" s="57">
        <f t="shared" si="13"/>
        <v>62.713178294573645</v>
      </c>
      <c r="N40" s="55">
        <f>((10*N36)/N16)^(1/20)-1</f>
        <v>0.1931419964363581</v>
      </c>
      <c r="O40" s="58">
        <f t="shared" ref="O40:P40" si="14">MEDIAN(O16:O36)</f>
        <v>10.946024907771918</v>
      </c>
      <c r="P40" s="58">
        <f t="shared" si="14"/>
        <v>16.879175257731958</v>
      </c>
    </row>
    <row r="41" spans="2:20" ht="13.2" x14ac:dyDescent="0.25">
      <c r="B41" s="53"/>
      <c r="C41" s="54" t="s">
        <v>92</v>
      </c>
      <c r="D41" s="55">
        <f t="shared" ref="D41:E41" si="15">(D36/D21)^(1/15)-1</f>
        <v>0.13399799180461613</v>
      </c>
      <c r="E41" s="55">
        <f t="shared" si="15"/>
        <v>0.11013432198550999</v>
      </c>
      <c r="F41" s="55">
        <f>((10*F36)/F21)^(1/15)-1</f>
        <v>0.10926722077319195</v>
      </c>
      <c r="G41" s="56">
        <f>MEDIAN(G21:G36)</f>
        <v>0.11548447259392597</v>
      </c>
      <c r="H41" s="55">
        <f t="shared" ref="H41:I41" si="16">(H36/H21)^(1/15)-1</f>
        <v>6.9483052398400247E-5</v>
      </c>
      <c r="I41" s="55">
        <f t="shared" si="16"/>
        <v>0.17991191088466341</v>
      </c>
      <c r="J41" s="55">
        <f t="shared" ref="J41:K41" si="17">((10*J36)/J21)^(1/15)-1</f>
        <v>0.18265850464441891</v>
      </c>
      <c r="K41" s="55">
        <f t="shared" si="17"/>
        <v>0.17523473771963327</v>
      </c>
      <c r="L41" s="59">
        <f t="shared" ref="L41:M41" si="18">MEDIAN(L21:L36)</f>
        <v>47.259283993051014</v>
      </c>
      <c r="M41" s="59">
        <f t="shared" si="18"/>
        <v>67.522129644507871</v>
      </c>
      <c r="N41" s="55">
        <f>((10*N36)/N21)^(1/15)-1</f>
        <v>0.17568747837925547</v>
      </c>
      <c r="O41" s="60">
        <f t="shared" ref="O41:P41" si="19">MEDIAN(O21:O36)</f>
        <v>11.228471817459546</v>
      </c>
      <c r="P41" s="60">
        <f t="shared" si="19"/>
        <v>17.528691715678573</v>
      </c>
    </row>
    <row r="42" spans="2:20" ht="13.2" x14ac:dyDescent="0.25">
      <c r="B42" s="53"/>
      <c r="C42" s="54" t="s">
        <v>93</v>
      </c>
      <c r="D42" s="55">
        <f t="shared" ref="D42:F42" si="20">(D36/D26)^(1/10)-1</f>
        <v>0.11240435126370629</v>
      </c>
      <c r="E42" s="55">
        <f t="shared" si="20"/>
        <v>0.10828204826490917</v>
      </c>
      <c r="F42" s="55">
        <f t="shared" si="20"/>
        <v>0.1070048788717064</v>
      </c>
      <c r="G42" s="56">
        <f>MEDIAN(G26:G36)</f>
        <v>0.1129955046996322</v>
      </c>
      <c r="H42" s="55">
        <f t="shared" ref="H42:K42" si="21">(H36/H26)^(1/10)-1</f>
        <v>1.042263890371764E-4</v>
      </c>
      <c r="I42" s="55">
        <f t="shared" si="21"/>
        <v>0.15307301962351327</v>
      </c>
      <c r="J42" s="55">
        <f t="shared" si="21"/>
        <v>0.11851581164064839</v>
      </c>
      <c r="K42" s="55">
        <f t="shared" si="21"/>
        <v>0.1393941850031517</v>
      </c>
      <c r="L42" s="59">
        <f t="shared" ref="L42:M42" si="22">MEDIAN(L26:L36)</f>
        <v>49.666814749000437</v>
      </c>
      <c r="M42" s="59">
        <f t="shared" si="22"/>
        <v>73.873873873873876</v>
      </c>
      <c r="N42" s="55">
        <f>(N36/N26)^(1/10)-1</f>
        <v>0.15117055168006233</v>
      </c>
      <c r="O42" s="60">
        <f t="shared" ref="O42:P42" si="23">MEDIAN(O26:O36)</f>
        <v>12.221927166112204</v>
      </c>
      <c r="P42" s="60">
        <f t="shared" si="23"/>
        <v>18.14828379352215</v>
      </c>
    </row>
    <row r="43" spans="2:20" ht="13.2" x14ac:dyDescent="0.25">
      <c r="B43" s="53"/>
      <c r="C43" s="54" t="s">
        <v>94</v>
      </c>
      <c r="D43" s="55">
        <f t="shared" ref="D43:F43" si="24">(D36/D31)^(1/5)-1</f>
        <v>0.10830188001296115</v>
      </c>
      <c r="E43" s="55">
        <f t="shared" si="24"/>
        <v>5.9872174698487157E-2</v>
      </c>
      <c r="F43" s="55">
        <f t="shared" si="24"/>
        <v>6.2860986874022862E-2</v>
      </c>
      <c r="G43" s="56">
        <f>MEDIAN(G31:G36)</f>
        <v>0.12965660561453757</v>
      </c>
      <c r="H43" s="55">
        <f t="shared" ref="H43:K43" si="25">(H36/H31)^(1/5)-1</f>
        <v>2.0846364121429595E-4</v>
      </c>
      <c r="I43" s="55">
        <f t="shared" si="25"/>
        <v>0.13981572026804412</v>
      </c>
      <c r="J43" s="55">
        <f t="shared" si="25"/>
        <v>0.10470330682160145</v>
      </c>
      <c r="K43" s="55">
        <f t="shared" si="25"/>
        <v>0.12215260324537991</v>
      </c>
      <c r="L43" s="57">
        <f t="shared" ref="L43:M43" si="26">MEDIAN(L31:L36)</f>
        <v>51.53994732221247</v>
      </c>
      <c r="M43" s="57">
        <f t="shared" si="26"/>
        <v>85.721158383505411</v>
      </c>
      <c r="N43" s="55">
        <f>(N36/N31)^(1/5)-1</f>
        <v>0.13854130036918044</v>
      </c>
      <c r="O43" s="58">
        <f t="shared" ref="O43:P43" si="27">MEDIAN(O31:O36)</f>
        <v>13.051587248156487</v>
      </c>
      <c r="P43" s="58">
        <f t="shared" si="27"/>
        <v>19.896185598138665</v>
      </c>
    </row>
    <row r="44" spans="2:20" ht="13.2" x14ac:dyDescent="0.25">
      <c r="B44" s="53"/>
      <c r="C44" s="54" t="s">
        <v>95</v>
      </c>
      <c r="D44" s="55">
        <f t="shared" ref="D44:F44" si="28">(D36/D35)-1</f>
        <v>-4.4796789327906872E-2</v>
      </c>
      <c r="E44" s="55">
        <f t="shared" si="28"/>
        <v>-0.3323735828684542</v>
      </c>
      <c r="F44" s="55">
        <f t="shared" si="28"/>
        <v>-0.32835820895522394</v>
      </c>
      <c r="G44" s="56">
        <f>G36</f>
        <v>0.10977305678018759</v>
      </c>
      <c r="H44" s="55">
        <f t="shared" ref="H44:K44" si="29">(H36/H35)-1</f>
        <v>0</v>
      </c>
      <c r="I44" s="55">
        <f t="shared" si="29"/>
        <v>3.6066981537140386E-2</v>
      </c>
      <c r="J44" s="55">
        <f t="shared" si="29"/>
        <v>-0.21565731166912849</v>
      </c>
      <c r="K44" s="55">
        <f t="shared" si="29"/>
        <v>-4.4002242152466398E-2</v>
      </c>
      <c r="L44" s="57">
        <f t="shared" ref="L44:M44" si="30">L36</f>
        <v>55.529411764705884</v>
      </c>
      <c r="M44" s="57">
        <f t="shared" si="30"/>
        <v>89.17647058823529</v>
      </c>
      <c r="N44" s="55">
        <f>(N36/N35)-1</f>
        <v>3.5882101665954735E-2</v>
      </c>
      <c r="O44" s="58">
        <f t="shared" ref="O44:P44" si="31">O36</f>
        <v>10.510515463917525</v>
      </c>
      <c r="P44" s="58">
        <f t="shared" si="31"/>
        <v>16.879175257731958</v>
      </c>
    </row>
    <row r="46" spans="2:20" ht="13.8" thickTop="1" x14ac:dyDescent="0.25">
      <c r="B46" s="4" t="s">
        <v>96</v>
      </c>
      <c r="C46" s="4" t="s">
        <v>96</v>
      </c>
      <c r="D46" s="4" t="s">
        <v>97</v>
      </c>
      <c r="E46" s="4" t="s">
        <v>98</v>
      </c>
      <c r="F46" s="4" t="s">
        <v>99</v>
      </c>
      <c r="G46" s="4" t="s">
        <v>100</v>
      </c>
      <c r="H46" s="4" t="s">
        <v>101</v>
      </c>
      <c r="J46" s="4" t="s">
        <v>102</v>
      </c>
      <c r="K46" s="4" t="s">
        <v>103</v>
      </c>
      <c r="L46" s="4" t="s">
        <v>104</v>
      </c>
      <c r="M46" s="4" t="s">
        <v>105</v>
      </c>
      <c r="N46" s="4" t="s">
        <v>100</v>
      </c>
      <c r="O46" s="4" t="s">
        <v>106</v>
      </c>
      <c r="Q46" s="61" t="s">
        <v>107</v>
      </c>
      <c r="R46" s="61" t="s">
        <v>6</v>
      </c>
      <c r="S46" s="62" t="s">
        <v>108</v>
      </c>
      <c r="T46" s="63" t="s">
        <v>44</v>
      </c>
    </row>
    <row r="47" spans="2:20" ht="14.4" x14ac:dyDescent="0.3">
      <c r="C47" s="64" t="s">
        <v>109</v>
      </c>
      <c r="D47" s="65">
        <v>-0.04</v>
      </c>
      <c r="E47" s="65">
        <v>-0.05</v>
      </c>
      <c r="F47" s="65">
        <v>-0.04</v>
      </c>
      <c r="G47" s="65">
        <v>-2E-3</v>
      </c>
      <c r="H47" s="65">
        <v>0.04</v>
      </c>
      <c r="J47" s="15" t="s">
        <v>110</v>
      </c>
      <c r="K47" s="66">
        <v>7.25</v>
      </c>
      <c r="L47" s="66">
        <v>11.58</v>
      </c>
      <c r="M47" s="66">
        <v>7.22</v>
      </c>
      <c r="N47" s="66">
        <v>11.47</v>
      </c>
      <c r="O47" s="66">
        <f>SUM(K47:N47)</f>
        <v>37.519999999999996</v>
      </c>
      <c r="Q47" s="67">
        <v>57</v>
      </c>
      <c r="R47" s="67">
        <f>O47</f>
        <v>37.519999999999996</v>
      </c>
      <c r="S47" s="68">
        <f>F69</f>
        <v>45.134999999999998</v>
      </c>
      <c r="T47" s="69">
        <f ca="1">S49/11</f>
        <v>5.0454696516511071</v>
      </c>
    </row>
    <row r="48" spans="2:20" ht="13.8" x14ac:dyDescent="0.3">
      <c r="C48" s="64" t="s">
        <v>111</v>
      </c>
      <c r="D48" s="65">
        <v>-0.33</v>
      </c>
      <c r="E48" s="65">
        <v>-0.3</v>
      </c>
      <c r="F48" s="65">
        <v>-0.33</v>
      </c>
      <c r="G48" s="65">
        <v>-0.06</v>
      </c>
      <c r="H48" s="65">
        <v>0.18</v>
      </c>
      <c r="O48" s="70"/>
      <c r="Q48" s="61" t="s">
        <v>112</v>
      </c>
      <c r="R48" s="61" t="s">
        <v>40</v>
      </c>
      <c r="S48" s="62" t="s">
        <v>113</v>
      </c>
      <c r="T48" s="71"/>
    </row>
    <row r="49" spans="2:28" ht="15" thickBot="1" x14ac:dyDescent="0.35">
      <c r="C49" s="64" t="s">
        <v>114</v>
      </c>
      <c r="D49" s="72">
        <v>0.111</v>
      </c>
      <c r="E49" s="72">
        <v>0.11799999999999999</v>
      </c>
      <c r="F49" s="72">
        <v>0.11</v>
      </c>
      <c r="G49" s="72">
        <v>0.125</v>
      </c>
      <c r="H49" s="65">
        <v>0.125</v>
      </c>
      <c r="O49" s="73"/>
      <c r="Q49" s="74">
        <f>C4/Q47</f>
        <v>41.05263157894737</v>
      </c>
      <c r="R49" s="74">
        <f t="shared" ref="R49:S49" ca="1" si="32">$C$3/R47</f>
        <v>66.764392324093819</v>
      </c>
      <c r="S49" s="75">
        <f t="shared" ca="1" si="32"/>
        <v>55.500166168162181</v>
      </c>
      <c r="T49" s="76"/>
    </row>
    <row r="51" spans="2:28" ht="13.2" x14ac:dyDescent="0.25">
      <c r="C51" s="12"/>
      <c r="D51" s="12"/>
      <c r="E51" s="12" t="s">
        <v>115</v>
      </c>
      <c r="F51" s="73">
        <v>7.3999999999999996E-2</v>
      </c>
      <c r="H51" s="12"/>
      <c r="I51" s="12"/>
      <c r="J51" s="12" t="s">
        <v>115</v>
      </c>
      <c r="K51" s="73"/>
      <c r="M51" s="12"/>
      <c r="N51" s="12"/>
      <c r="O51" s="12" t="s">
        <v>115</v>
      </c>
      <c r="P51" s="73"/>
    </row>
    <row r="52" spans="2:28" ht="13.2" x14ac:dyDescent="0.25">
      <c r="B52" s="61" t="s">
        <v>116</v>
      </c>
      <c r="C52" s="61" t="s">
        <v>117</v>
      </c>
      <c r="D52" s="61" t="s">
        <v>100</v>
      </c>
      <c r="E52" s="61" t="s">
        <v>118</v>
      </c>
      <c r="F52" s="61" t="s">
        <v>119</v>
      </c>
      <c r="H52" s="4" t="s">
        <v>117</v>
      </c>
      <c r="I52" s="4" t="s">
        <v>120</v>
      </c>
      <c r="J52" s="4" t="s">
        <v>121</v>
      </c>
      <c r="K52" s="4" t="s">
        <v>119</v>
      </c>
      <c r="M52" s="61" t="s">
        <v>117</v>
      </c>
      <c r="N52" s="61" t="s">
        <v>99</v>
      </c>
      <c r="O52" s="61" t="s">
        <v>122</v>
      </c>
      <c r="P52" s="61" t="s">
        <v>119</v>
      </c>
      <c r="R52" s="4" t="s">
        <v>123</v>
      </c>
      <c r="S52" s="61" t="s">
        <v>100</v>
      </c>
      <c r="T52" s="61" t="s">
        <v>118</v>
      </c>
      <c r="U52" s="4" t="s">
        <v>124</v>
      </c>
      <c r="V52" s="4" t="s">
        <v>119</v>
      </c>
      <c r="X52" s="4" t="s">
        <v>125</v>
      </c>
      <c r="Y52" s="61" t="s">
        <v>100</v>
      </c>
      <c r="Z52" s="61" t="s">
        <v>118</v>
      </c>
      <c r="AA52" s="4" t="s">
        <v>124</v>
      </c>
      <c r="AB52" s="4" t="s">
        <v>119</v>
      </c>
    </row>
    <row r="53" spans="2:28" ht="13.8" x14ac:dyDescent="0.25">
      <c r="C53" s="77" t="s">
        <v>126</v>
      </c>
      <c r="D53" s="77">
        <v>8924</v>
      </c>
      <c r="E53" s="77">
        <v>8943</v>
      </c>
      <c r="F53" s="78">
        <f t="shared" ref="F53:F59" si="33">(D53/E53)^(1/1)-1</f>
        <v>-2.124566700212438E-3</v>
      </c>
      <c r="G53" s="70"/>
      <c r="H53" s="77" t="s">
        <v>126</v>
      </c>
      <c r="I53" s="77">
        <v>8330</v>
      </c>
      <c r="J53" s="77">
        <v>8701</v>
      </c>
      <c r="K53" s="79">
        <f t="shared" ref="K53:K59" si="34">(I53/J53)^(1/1)-1</f>
        <v>-4.2638777152051444E-2</v>
      </c>
      <c r="L53" s="70"/>
      <c r="M53" s="77" t="s">
        <v>126</v>
      </c>
      <c r="N53" s="77">
        <v>33797</v>
      </c>
      <c r="O53" s="77">
        <v>35382</v>
      </c>
      <c r="P53" s="79">
        <f t="shared" ref="P53:P59" si="35">(N53/O53)^(1/1)-1</f>
        <v>-4.4796789327906872E-2</v>
      </c>
      <c r="R53" s="15" t="s">
        <v>127</v>
      </c>
      <c r="S53" s="15">
        <v>4003</v>
      </c>
      <c r="T53" s="15">
        <v>4079</v>
      </c>
      <c r="U53" s="80">
        <f t="shared" ref="U53:U59" si="36">S53/$S$62</f>
        <v>0.52278960428366206</v>
      </c>
      <c r="V53" s="80">
        <f t="shared" ref="V53:V59" si="37">(S53/T53)^(1/1)-1</f>
        <v>-1.8632017651385113E-2</v>
      </c>
      <c r="X53" s="15" t="s">
        <v>128</v>
      </c>
      <c r="Y53" s="15">
        <v>147</v>
      </c>
      <c r="Z53" s="15">
        <v>159</v>
      </c>
      <c r="AA53" s="80">
        <f t="shared" ref="AA53:AA56" si="38">Y53/$Y$59</f>
        <v>1.6387959866220735E-2</v>
      </c>
      <c r="AB53" s="80">
        <f t="shared" ref="AB53:AB56" si="39">(Y53/Z53)^(1/1)-1</f>
        <v>-7.547169811320753E-2</v>
      </c>
    </row>
    <row r="54" spans="2:28" ht="13.8" x14ac:dyDescent="0.25">
      <c r="C54" s="77" t="s">
        <v>129</v>
      </c>
      <c r="D54" s="77">
        <v>44</v>
      </c>
      <c r="E54" s="77">
        <v>55</v>
      </c>
      <c r="F54" s="79">
        <f t="shared" si="33"/>
        <v>-0.19999999999999996</v>
      </c>
      <c r="H54" s="77" t="s">
        <v>129</v>
      </c>
      <c r="I54" s="77">
        <v>53</v>
      </c>
      <c r="J54" s="77">
        <v>54</v>
      </c>
      <c r="K54" s="79">
        <f t="shared" si="34"/>
        <v>-1.851851851851849E-2</v>
      </c>
      <c r="M54" s="77" t="s">
        <v>129</v>
      </c>
      <c r="N54" s="77">
        <v>227</v>
      </c>
      <c r="O54" s="77">
        <v>205</v>
      </c>
      <c r="P54" s="79">
        <f t="shared" si="35"/>
        <v>0.1073170731707318</v>
      </c>
      <c r="R54" s="15" t="s">
        <v>130</v>
      </c>
      <c r="S54" s="15">
        <v>1487</v>
      </c>
      <c r="T54" s="15">
        <v>1447</v>
      </c>
      <c r="U54" s="80">
        <f t="shared" si="36"/>
        <v>0.19420138435418571</v>
      </c>
      <c r="V54" s="80">
        <f t="shared" si="37"/>
        <v>2.7643400138217089E-2</v>
      </c>
      <c r="X54" s="15" t="s">
        <v>131</v>
      </c>
      <c r="Y54" s="15">
        <v>254</v>
      </c>
      <c r="Z54" s="15">
        <v>249</v>
      </c>
      <c r="AA54" s="80">
        <f t="shared" si="38"/>
        <v>2.8316610925306577E-2</v>
      </c>
      <c r="AB54" s="80">
        <f t="shared" si="39"/>
        <v>2.008032128514059E-2</v>
      </c>
    </row>
    <row r="55" spans="2:28" ht="13.8" x14ac:dyDescent="0.25">
      <c r="C55" s="15" t="s">
        <v>132</v>
      </c>
      <c r="D55" s="15">
        <v>7659</v>
      </c>
      <c r="E55" s="15">
        <v>7559</v>
      </c>
      <c r="F55" s="79">
        <f t="shared" si="33"/>
        <v>1.3229263130043689E-2</v>
      </c>
      <c r="H55" s="15" t="s">
        <v>132</v>
      </c>
      <c r="I55" s="15">
        <v>7277</v>
      </c>
      <c r="J55" s="15">
        <v>7319</v>
      </c>
      <c r="K55" s="79">
        <f t="shared" si="34"/>
        <v>-5.738488864598934E-3</v>
      </c>
      <c r="M55" s="15" t="s">
        <v>132</v>
      </c>
      <c r="N55" s="15">
        <v>29153</v>
      </c>
      <c r="O55" s="15">
        <v>28968</v>
      </c>
      <c r="P55" s="79">
        <f t="shared" si="35"/>
        <v>6.3863573598452739E-3</v>
      </c>
      <c r="R55" s="15" t="s">
        <v>133</v>
      </c>
      <c r="S55" s="15">
        <v>918</v>
      </c>
      <c r="T55" s="15">
        <v>954</v>
      </c>
      <c r="U55" s="80">
        <f t="shared" si="36"/>
        <v>0.11989029646075486</v>
      </c>
      <c r="V55" s="80">
        <f t="shared" si="37"/>
        <v>-3.7735849056603765E-2</v>
      </c>
      <c r="X55" s="15" t="s">
        <v>134</v>
      </c>
      <c r="Y55" s="15">
        <v>255</v>
      </c>
      <c r="Z55" s="15">
        <v>275</v>
      </c>
      <c r="AA55" s="80">
        <f t="shared" si="38"/>
        <v>2.8428093645484948E-2</v>
      </c>
      <c r="AB55" s="80">
        <f t="shared" si="39"/>
        <v>-7.2727272727272751E-2</v>
      </c>
    </row>
    <row r="56" spans="2:28" ht="13.8" x14ac:dyDescent="0.25">
      <c r="C56" s="12" t="s">
        <v>135</v>
      </c>
      <c r="D56" s="12">
        <f t="shared" ref="D56:E56" si="40">D53-D55+D54</f>
        <v>1309</v>
      </c>
      <c r="E56" s="12">
        <f t="shared" si="40"/>
        <v>1439</v>
      </c>
      <c r="F56" s="79">
        <f t="shared" si="33"/>
        <v>-9.03405142460042E-2</v>
      </c>
      <c r="H56" s="12" t="s">
        <v>135</v>
      </c>
      <c r="I56" s="12">
        <f t="shared" ref="I56:J56" si="41">I53-I55+I54</f>
        <v>1106</v>
      </c>
      <c r="J56" s="12">
        <f t="shared" si="41"/>
        <v>1436</v>
      </c>
      <c r="K56" s="79">
        <f t="shared" si="34"/>
        <v>-0.22980501392757657</v>
      </c>
      <c r="M56" s="12" t="s">
        <v>135</v>
      </c>
      <c r="N56" s="12">
        <f t="shared" ref="N56:O56" si="42">N53-N55+N54</f>
        <v>4871</v>
      </c>
      <c r="O56" s="12">
        <f t="shared" si="42"/>
        <v>6619</v>
      </c>
      <c r="P56" s="79">
        <f t="shared" si="35"/>
        <v>-0.26408823085058164</v>
      </c>
      <c r="R56" s="15" t="s">
        <v>136</v>
      </c>
      <c r="S56" s="15">
        <v>703</v>
      </c>
      <c r="T56" s="15">
        <v>674</v>
      </c>
      <c r="U56" s="80">
        <f t="shared" si="36"/>
        <v>9.1811414392059559E-2</v>
      </c>
      <c r="V56" s="80">
        <f t="shared" si="37"/>
        <v>4.3026706231453993E-2</v>
      </c>
      <c r="X56" s="15" t="s">
        <v>137</v>
      </c>
      <c r="Y56" s="15">
        <v>35</v>
      </c>
      <c r="Z56" s="15">
        <v>34</v>
      </c>
      <c r="AA56" s="80">
        <f t="shared" si="38"/>
        <v>3.9018952062430325E-3</v>
      </c>
      <c r="AB56" s="80">
        <f t="shared" si="39"/>
        <v>2.9411764705882248E-2</v>
      </c>
    </row>
    <row r="57" spans="2:28" ht="14.4" thickBot="1" x14ac:dyDescent="0.3">
      <c r="C57" s="15" t="s">
        <v>51</v>
      </c>
      <c r="D57" s="15">
        <v>1117</v>
      </c>
      <c r="E57" s="15">
        <v>1186</v>
      </c>
      <c r="F57" s="79">
        <f t="shared" si="33"/>
        <v>-5.817875210792578E-2</v>
      </c>
      <c r="H57" s="15" t="s">
        <v>51</v>
      </c>
      <c r="I57" s="15">
        <v>701</v>
      </c>
      <c r="J57" s="15">
        <v>1275</v>
      </c>
      <c r="K57" s="79">
        <f t="shared" si="34"/>
        <v>-0.45019607843137255</v>
      </c>
      <c r="M57" s="15" t="s">
        <v>51</v>
      </c>
      <c r="N57" s="15">
        <v>3710</v>
      </c>
      <c r="O57" s="15">
        <v>5557</v>
      </c>
      <c r="P57" s="79">
        <f t="shared" si="35"/>
        <v>-0.3323735828684542</v>
      </c>
      <c r="R57" s="15" t="s">
        <v>138</v>
      </c>
      <c r="S57" s="15">
        <v>301</v>
      </c>
      <c r="T57" s="15">
        <v>228</v>
      </c>
      <c r="U57" s="80">
        <f t="shared" si="36"/>
        <v>3.9310434896173439E-2</v>
      </c>
      <c r="V57" s="80">
        <f t="shared" si="37"/>
        <v>0.32017543859649122</v>
      </c>
    </row>
    <row r="58" spans="2:28" ht="14.4" thickTop="1" x14ac:dyDescent="0.25">
      <c r="C58" s="15" t="s">
        <v>8</v>
      </c>
      <c r="D58" s="15">
        <v>95.92</v>
      </c>
      <c r="E58" s="15">
        <v>95.92</v>
      </c>
      <c r="F58" s="79">
        <f t="shared" si="33"/>
        <v>0</v>
      </c>
      <c r="H58" s="15" t="s">
        <v>8</v>
      </c>
      <c r="I58" s="15">
        <v>95.92</v>
      </c>
      <c r="J58" s="15">
        <v>95.92</v>
      </c>
      <c r="K58" s="79">
        <f t="shared" si="34"/>
        <v>0</v>
      </c>
      <c r="M58" s="15" t="s">
        <v>8</v>
      </c>
      <c r="N58" s="15">
        <v>95.92</v>
      </c>
      <c r="O58" s="15">
        <v>95.92</v>
      </c>
      <c r="P58" s="79">
        <f t="shared" si="35"/>
        <v>0</v>
      </c>
      <c r="R58" s="15" t="s">
        <v>139</v>
      </c>
      <c r="S58" s="77">
        <v>44</v>
      </c>
      <c r="T58" s="77">
        <v>55</v>
      </c>
      <c r="U58" s="80">
        <f t="shared" si="36"/>
        <v>5.7463758652213657E-3</v>
      </c>
      <c r="V58" s="80">
        <f t="shared" si="37"/>
        <v>-0.19999999999999996</v>
      </c>
      <c r="X58" s="81" t="s">
        <v>140</v>
      </c>
      <c r="Y58" s="81">
        <v>679</v>
      </c>
      <c r="Z58" s="81">
        <v>695</v>
      </c>
      <c r="AA58" s="82">
        <f t="shared" ref="AA58:AA59" si="43">Y58/$Y$59</f>
        <v>7.5696767001114829E-2</v>
      </c>
      <c r="AB58" s="82">
        <f t="shared" ref="AB58:AB59" si="44">(Y58/Z58)^(1/1)-1</f>
        <v>-2.302158273381294E-2</v>
      </c>
    </row>
    <row r="59" spans="2:28" ht="13.8" x14ac:dyDescent="0.25">
      <c r="C59" s="15" t="s">
        <v>110</v>
      </c>
      <c r="D59" s="83">
        <v>11.47</v>
      </c>
      <c r="E59" s="83">
        <v>12.2</v>
      </c>
      <c r="F59" s="79">
        <f t="shared" si="33"/>
        <v>-5.9836065573770414E-2</v>
      </c>
      <c r="H59" s="15" t="s">
        <v>110</v>
      </c>
      <c r="I59" s="83">
        <v>7.22</v>
      </c>
      <c r="J59" s="83">
        <v>13.11</v>
      </c>
      <c r="K59" s="79">
        <f t="shared" si="34"/>
        <v>-0.44927536231884058</v>
      </c>
      <c r="M59" s="15" t="s">
        <v>110</v>
      </c>
      <c r="N59" s="83">
        <v>38.25</v>
      </c>
      <c r="O59" s="83">
        <v>56.95</v>
      </c>
      <c r="P59" s="79">
        <f t="shared" si="35"/>
        <v>-0.32835820895522394</v>
      </c>
      <c r="R59" s="15" t="s">
        <v>141</v>
      </c>
      <c r="S59" s="15">
        <v>201</v>
      </c>
      <c r="T59" s="15">
        <v>120</v>
      </c>
      <c r="U59" s="80">
        <f t="shared" si="36"/>
        <v>2.625048974794306E-2</v>
      </c>
      <c r="V59" s="80">
        <f t="shared" si="37"/>
        <v>0.67500000000000004</v>
      </c>
      <c r="X59" s="15" t="s">
        <v>21</v>
      </c>
      <c r="Y59" s="15">
        <v>8970</v>
      </c>
      <c r="Z59" s="15">
        <v>9182</v>
      </c>
      <c r="AA59" s="80">
        <f t="shared" si="43"/>
        <v>1</v>
      </c>
      <c r="AB59" s="80">
        <f t="shared" si="44"/>
        <v>-2.3088651709867181E-2</v>
      </c>
    </row>
    <row r="60" spans="2:28" ht="13.8" x14ac:dyDescent="0.25">
      <c r="C60" s="15" t="s">
        <v>142</v>
      </c>
      <c r="D60" s="73">
        <f t="shared" ref="D60:E60" si="45">D56/D53</f>
        <v>0.14668310174809501</v>
      </c>
      <c r="E60" s="73">
        <f t="shared" si="45"/>
        <v>0.16090797271609081</v>
      </c>
      <c r="F60" s="84">
        <f t="shared" ref="F60:F62" si="46">D60-E60</f>
        <v>-1.4224870967995795E-2</v>
      </c>
      <c r="H60" s="15" t="s">
        <v>142</v>
      </c>
      <c r="I60" s="73">
        <f t="shared" ref="I60:J60" si="47">I56/I53</f>
        <v>0.13277310924369748</v>
      </c>
      <c r="J60" s="73">
        <f t="shared" si="47"/>
        <v>0.16503850132168715</v>
      </c>
      <c r="K60" s="84">
        <f t="shared" ref="K60:K62" si="48">I60-J60</f>
        <v>-3.2265392077989674E-2</v>
      </c>
      <c r="M60" s="15" t="s">
        <v>142</v>
      </c>
      <c r="N60" s="73">
        <f t="shared" ref="N60:O60" si="49">N56/N53</f>
        <v>0.14412521821463445</v>
      </c>
      <c r="O60" s="73">
        <f t="shared" si="49"/>
        <v>0.18707252275168165</v>
      </c>
      <c r="P60" s="84">
        <f t="shared" ref="P60:P62" si="50">N60-O60</f>
        <v>-4.2947304537047204E-2</v>
      </c>
      <c r="R60" s="15"/>
      <c r="S60" s="15"/>
      <c r="T60" s="15"/>
      <c r="U60" s="80"/>
      <c r="V60" s="80"/>
    </row>
    <row r="61" spans="2:28" ht="13.8" x14ac:dyDescent="0.25">
      <c r="C61" s="15" t="s">
        <v>53</v>
      </c>
      <c r="D61" s="85">
        <f t="shared" ref="D61:E61" si="51">D57/D53</f>
        <v>0.12516808606006274</v>
      </c>
      <c r="E61" s="85">
        <f t="shared" si="51"/>
        <v>0.13261768981326177</v>
      </c>
      <c r="F61" s="84">
        <f t="shared" si="46"/>
        <v>-7.44960375319903E-3</v>
      </c>
      <c r="G61" s="70"/>
      <c r="H61" s="15" t="s">
        <v>53</v>
      </c>
      <c r="I61" s="85">
        <f t="shared" ref="I61:J61" si="52">I57/I53</f>
        <v>8.4153661464585833E-2</v>
      </c>
      <c r="J61" s="85">
        <f t="shared" si="52"/>
        <v>0.14653488104815537</v>
      </c>
      <c r="K61" s="84">
        <f t="shared" si="48"/>
        <v>-6.2381219583569542E-2</v>
      </c>
      <c r="L61" s="30"/>
      <c r="M61" s="15" t="s">
        <v>53</v>
      </c>
      <c r="N61" s="85">
        <f t="shared" ref="N61:O61" si="53">N57/N53</f>
        <v>0.10977305678018759</v>
      </c>
      <c r="O61" s="85">
        <f t="shared" si="53"/>
        <v>0.15705726075405574</v>
      </c>
      <c r="P61" s="84">
        <f t="shared" si="50"/>
        <v>-4.728420397386815E-2</v>
      </c>
    </row>
    <row r="62" spans="2:28" ht="13.8" x14ac:dyDescent="0.25">
      <c r="C62" s="15" t="s">
        <v>143</v>
      </c>
      <c r="D62" s="48">
        <f t="shared" ref="D62:E62" si="54">(D53-D55+D54)/D54</f>
        <v>29.75</v>
      </c>
      <c r="E62" s="48">
        <f t="shared" si="54"/>
        <v>26.163636363636364</v>
      </c>
      <c r="F62" s="86">
        <f t="shared" si="46"/>
        <v>3.586363636363636</v>
      </c>
      <c r="H62" s="15" t="s">
        <v>143</v>
      </c>
      <c r="I62" s="48">
        <f t="shared" ref="I62:J62" si="55">(I53-I55+I54)/I54</f>
        <v>20.867924528301888</v>
      </c>
      <c r="J62" s="48">
        <f t="shared" si="55"/>
        <v>26.592592592592592</v>
      </c>
      <c r="K62" s="86">
        <f t="shared" si="48"/>
        <v>-5.7246680642907037</v>
      </c>
      <c r="M62" s="15" t="s">
        <v>143</v>
      </c>
      <c r="N62" s="48">
        <f t="shared" ref="N62:O62" si="56">(N53-N55+N54)/N54</f>
        <v>21.458149779735681</v>
      </c>
      <c r="O62" s="48">
        <f t="shared" si="56"/>
        <v>32.287804878048782</v>
      </c>
      <c r="P62" s="86">
        <f t="shared" si="50"/>
        <v>-10.829655098313101</v>
      </c>
      <c r="R62" s="87" t="s">
        <v>144</v>
      </c>
      <c r="S62" s="87">
        <f t="shared" ref="S62:T62" si="57">SUM(S53:S60)</f>
        <v>7657</v>
      </c>
      <c r="T62" s="87">
        <f t="shared" si="57"/>
        <v>7557</v>
      </c>
      <c r="U62" s="88">
        <f>S62/$S$62</f>
        <v>1</v>
      </c>
      <c r="V62" s="89">
        <f>(S62/T62)^(1/1)-1</f>
        <v>1.3232764324467405E-2</v>
      </c>
    </row>
    <row r="63" spans="2:28" ht="13.2" x14ac:dyDescent="0.25">
      <c r="J63" s="30"/>
      <c r="K63" s="30"/>
    </row>
    <row r="64" spans="2:28" ht="13.2" x14ac:dyDescent="0.25">
      <c r="B64" s="24" t="s">
        <v>145</v>
      </c>
      <c r="C64" s="4" t="s">
        <v>146</v>
      </c>
      <c r="D64" s="4" t="s">
        <v>126</v>
      </c>
      <c r="E64" s="4" t="s">
        <v>51</v>
      </c>
      <c r="F64" s="4" t="s">
        <v>110</v>
      </c>
      <c r="G64" s="4" t="s">
        <v>114</v>
      </c>
    </row>
    <row r="65" spans="2:14" ht="13.2" x14ac:dyDescent="0.25">
      <c r="B65" s="53"/>
      <c r="C65" s="90" t="s">
        <v>147</v>
      </c>
      <c r="D65" s="55">
        <v>0.13</v>
      </c>
      <c r="E65" s="55">
        <v>0.13</v>
      </c>
      <c r="F65" s="55">
        <v>0.13</v>
      </c>
      <c r="G65" s="56">
        <f>AVERAGE(G40:G44)</f>
        <v>0.1160238553709452</v>
      </c>
    </row>
    <row r="66" spans="2:14" ht="13.2" x14ac:dyDescent="0.25">
      <c r="B66" s="53"/>
      <c r="C66" s="90" t="s">
        <v>148</v>
      </c>
      <c r="D66" s="55">
        <v>0.04</v>
      </c>
      <c r="E66" s="55">
        <f>(E69/E36)-1</f>
        <v>0.18426145552560658</v>
      </c>
      <c r="F66" s="55">
        <v>0.18</v>
      </c>
      <c r="G66" s="56">
        <v>0.125</v>
      </c>
    </row>
    <row r="68" spans="2:14" ht="13.2" x14ac:dyDescent="0.25">
      <c r="B68" s="24" t="s">
        <v>149</v>
      </c>
      <c r="C68" s="4" t="s">
        <v>146</v>
      </c>
      <c r="D68" s="4" t="s">
        <v>126</v>
      </c>
      <c r="E68" s="4" t="s">
        <v>51</v>
      </c>
      <c r="F68" s="4" t="s">
        <v>110</v>
      </c>
      <c r="G68" s="4" t="s">
        <v>60</v>
      </c>
      <c r="H68" s="4" t="s">
        <v>150</v>
      </c>
      <c r="I68" s="4" t="s">
        <v>151</v>
      </c>
      <c r="J68" s="4" t="s">
        <v>152</v>
      </c>
      <c r="K68" s="4" t="s">
        <v>150</v>
      </c>
      <c r="L68" s="4" t="s">
        <v>153</v>
      </c>
      <c r="M68" s="4" t="s">
        <v>152</v>
      </c>
      <c r="N68" s="4" t="s">
        <v>154</v>
      </c>
    </row>
    <row r="69" spans="2:14" ht="13.8" x14ac:dyDescent="0.25">
      <c r="B69" s="53"/>
      <c r="C69" s="90" t="s">
        <v>148</v>
      </c>
      <c r="D69" s="91">
        <f>FV(D66,1,0,-D36,0)</f>
        <v>35148.880000000005</v>
      </c>
      <c r="E69" s="91">
        <f>D69*G66</f>
        <v>4393.6100000000006</v>
      </c>
      <c r="F69" s="91">
        <f>FV(F66,1,0,-F36,0)</f>
        <v>45.134999999999998</v>
      </c>
      <c r="G69" s="92">
        <f>(65%*F69)+N36</f>
        <v>231.42108333333334</v>
      </c>
      <c r="H69" s="93">
        <f t="shared" ref="H69:H71" si="58">F69*50</f>
        <v>2256.75</v>
      </c>
      <c r="I69" s="93">
        <f t="shared" ref="I69:I71" si="59">AVERAGE(H69,J69)</f>
        <v>2843.5050000000001</v>
      </c>
      <c r="J69" s="93">
        <f t="shared" ref="J69:J71" si="60">F69*76</f>
        <v>3430.2599999999998</v>
      </c>
      <c r="K69" s="92">
        <f t="shared" ref="K69:K71" si="61">G69*11.5</f>
        <v>2661.3424583333335</v>
      </c>
      <c r="L69" s="93">
        <f t="shared" ref="L69:L71" si="62">AVERAGE(K69,M69)</f>
        <v>3413.4609791666667</v>
      </c>
      <c r="M69" s="92">
        <f t="shared" ref="M69:M71" si="63">G69*18</f>
        <v>4165.5794999999998</v>
      </c>
      <c r="N69" s="93">
        <f t="shared" ref="N69:N71" si="64">I69*60%+L69*40%</f>
        <v>3071.4873916666666</v>
      </c>
    </row>
    <row r="70" spans="2:14" ht="14.4" x14ac:dyDescent="0.3">
      <c r="B70" s="53"/>
      <c r="C70" s="90" t="s">
        <v>155</v>
      </c>
      <c r="D70" s="91">
        <f>FV(D65,4,0,-D69,0)</f>
        <v>57309.321261056779</v>
      </c>
      <c r="E70" s="91">
        <f>D70*G65</f>
        <v>6649.2484013998865</v>
      </c>
      <c r="F70" s="91">
        <f>E70*F69/E69</f>
        <v>68.306888093659623</v>
      </c>
      <c r="G70" s="94">
        <f>FV(7%,4,0,-G69,0)</f>
        <v>303.34583266321084</v>
      </c>
      <c r="H70" s="93">
        <f t="shared" si="58"/>
        <v>3415.3444046829813</v>
      </c>
      <c r="I70" s="93">
        <f t="shared" si="59"/>
        <v>4303.333949900556</v>
      </c>
      <c r="J70" s="93">
        <f t="shared" si="60"/>
        <v>5191.3234951181312</v>
      </c>
      <c r="K70" s="92">
        <f t="shared" si="61"/>
        <v>3488.4770756269245</v>
      </c>
      <c r="L70" s="93">
        <f t="shared" si="62"/>
        <v>4474.3510317823602</v>
      </c>
      <c r="M70" s="92">
        <f t="shared" si="63"/>
        <v>5460.224987937795</v>
      </c>
      <c r="N70" s="93">
        <f t="shared" si="64"/>
        <v>4371.7407826532781</v>
      </c>
    </row>
    <row r="71" spans="2:14" ht="14.4" x14ac:dyDescent="0.3">
      <c r="B71" s="53"/>
      <c r="C71" s="90" t="s">
        <v>156</v>
      </c>
      <c r="D71" s="91">
        <f t="shared" ref="D71:F71" si="65">FV(D65,5,0,-D70,0)</f>
        <v>105588.70959317639</v>
      </c>
      <c r="E71" s="91">
        <f t="shared" si="65"/>
        <v>12250.809170643432</v>
      </c>
      <c r="F71" s="91">
        <f t="shared" si="65"/>
        <v>125.85101361226673</v>
      </c>
      <c r="G71" s="94">
        <f>FV(7%,5,0,-G70,0)</f>
        <v>425.45822260241903</v>
      </c>
      <c r="H71" s="93">
        <f t="shared" si="58"/>
        <v>6292.5506806133362</v>
      </c>
      <c r="I71" s="93">
        <f t="shared" si="59"/>
        <v>7928.6138575728037</v>
      </c>
      <c r="J71" s="93">
        <f t="shared" si="60"/>
        <v>9564.6770345322711</v>
      </c>
      <c r="K71" s="92">
        <f t="shared" si="61"/>
        <v>4892.7695599278186</v>
      </c>
      <c r="L71" s="93">
        <f t="shared" si="62"/>
        <v>6275.5087833856805</v>
      </c>
      <c r="M71" s="92">
        <f t="shared" si="63"/>
        <v>7658.2480068435425</v>
      </c>
      <c r="N71" s="93">
        <f t="shared" si="64"/>
        <v>7267.3718278979541</v>
      </c>
    </row>
    <row r="73" spans="2:14" ht="13.8" x14ac:dyDescent="0.25">
      <c r="C73" s="1" t="s">
        <v>1</v>
      </c>
      <c r="D73" s="1" t="s">
        <v>2</v>
      </c>
      <c r="E73" s="1" t="s">
        <v>157</v>
      </c>
      <c r="F73" s="1" t="s">
        <v>158</v>
      </c>
      <c r="G73" s="1" t="s">
        <v>159</v>
      </c>
    </row>
    <row r="74" spans="2:14" ht="14.4" x14ac:dyDescent="0.3">
      <c r="C74" s="7" t="s">
        <v>22</v>
      </c>
      <c r="D74" s="95">
        <f ca="1">IFERROR(__xludf.DUMMYFUNCTION("GOOGLEFINANCE(""NSE:""&amp;C74,""price"")"),2505)</f>
        <v>2505</v>
      </c>
      <c r="E74" s="96">
        <v>1.4E-2</v>
      </c>
      <c r="F74" s="97">
        <f ca="1">IFERROR(MAX(0.25, MIN(1,1.25 - 0.5*(D74/N69))),"")</f>
        <v>0.84221711168400337</v>
      </c>
      <c r="G74" s="98">
        <f ca="1">E74*F74</f>
        <v>1.1791039563576047E-2</v>
      </c>
    </row>
    <row r="92" spans="2:14" ht="13.2" x14ac:dyDescent="0.25">
      <c r="B92" s="99" t="s">
        <v>160</v>
      </c>
      <c r="C92" s="100"/>
      <c r="D92" s="100"/>
      <c r="E92" s="100"/>
      <c r="F92" s="100"/>
      <c r="G92" s="100"/>
      <c r="H92" s="100"/>
      <c r="I92" s="100"/>
      <c r="J92" s="100"/>
      <c r="K92" s="100"/>
      <c r="L92" s="100"/>
      <c r="M92" s="100"/>
      <c r="N92" s="101"/>
    </row>
    <row r="93" spans="2:14" ht="13.2" x14ac:dyDescent="0.25">
      <c r="B93" s="102"/>
      <c r="C93" s="103"/>
      <c r="D93" s="103"/>
      <c r="E93" s="103"/>
      <c r="F93" s="103"/>
      <c r="G93" s="103"/>
      <c r="H93" s="103"/>
      <c r="I93" s="103"/>
      <c r="J93" s="103"/>
      <c r="K93" s="103"/>
      <c r="L93" s="103"/>
      <c r="M93" s="103"/>
      <c r="N93" s="104"/>
    </row>
    <row r="94" spans="2:14" ht="13.2" x14ac:dyDescent="0.25">
      <c r="B94" s="105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7"/>
    </row>
  </sheetData>
  <mergeCells count="2">
    <mergeCell ref="T47:T49"/>
    <mergeCell ref="B92:N94"/>
  </mergeCells>
  <conditionalFormatting sqref="D12:D37">
    <cfRule type="colorScale" priority="15">
      <colorScale>
        <cfvo type="min"/>
        <cfvo type="max"/>
        <color rgb="FFFFFFFF"/>
        <color rgb="FF57BB8A"/>
      </colorScale>
    </cfRule>
  </conditionalFormatting>
  <conditionalFormatting sqref="D63:F66">
    <cfRule type="colorScale" priority="2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7:G47">
    <cfRule type="colorScale" priority="1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8:G48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49:G49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37:I45 K37:K45 J38:J45 N40:N44">
    <cfRule type="colorScale" priority="2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12:E37">
    <cfRule type="colorScale" priority="16">
      <colorScale>
        <cfvo type="min"/>
        <cfvo type="max"/>
        <color rgb="FFFFFFFF"/>
        <color rgb="FF57BB8A"/>
      </colorScale>
    </cfRule>
  </conditionalFormatting>
  <conditionalFormatting sqref="E3:G4">
    <cfRule type="colorScale" priority="1">
      <colorScale>
        <cfvo type="min"/>
        <cfvo type="max"/>
        <color rgb="FFFFFFFF"/>
        <color rgb="FF57BB8A"/>
      </colorScale>
    </cfRule>
  </conditionalFormatting>
  <conditionalFormatting sqref="F3:G4">
    <cfRule type="colorScale" priority="2">
      <colorScale>
        <cfvo type="min"/>
        <cfvo type="max"/>
        <color rgb="FFFFFFFF"/>
        <color rgb="FF57BB8A"/>
      </colorScale>
    </cfRule>
  </conditionalFormatting>
  <conditionalFormatting sqref="G3:G4">
    <cfRule type="colorScale" priority="3">
      <colorScale>
        <cfvo type="min"/>
        <cfvo type="max"/>
        <color rgb="FFFFFFFF"/>
        <color rgb="FF57BB8A"/>
      </colorScale>
    </cfRule>
  </conditionalFormatting>
  <conditionalFormatting sqref="G12:G37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3:J4">
    <cfRule type="colorScale" priority="4">
      <colorScale>
        <cfvo type="min"/>
        <cfvo type="max"/>
        <color rgb="FFFFFFFF"/>
        <color rgb="FF57BB8A"/>
      </colorScale>
    </cfRule>
  </conditionalFormatting>
  <conditionalFormatting sqref="J12:M37 R12:R37">
    <cfRule type="colorScale" priority="17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J37:M45 R37:R45 N38:N45 O39:O44 F40:F42 G40:G45 P40:P44">
    <cfRule type="colorScale" priority="26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J47:N47">
    <cfRule type="colorScale" priority="14">
      <colorScale>
        <cfvo type="min"/>
        <cfvo type="max"/>
        <color rgb="FFFFFFFF"/>
        <color rgb="FF57BB8A"/>
      </colorScale>
    </cfRule>
  </conditionalFormatting>
  <conditionalFormatting sqref="K51:K62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L3:L4">
    <cfRule type="colorScale" priority="5">
      <colorScale>
        <cfvo type="min"/>
        <cfvo type="max"/>
        <color rgb="FF57BB8A"/>
        <color rgb="FFFFFFFF"/>
      </colorScale>
    </cfRule>
  </conditionalFormatting>
  <conditionalFormatting sqref="M3:M4">
    <cfRule type="colorScale" priority="6">
      <colorScale>
        <cfvo type="min"/>
        <cfvo type="max"/>
        <color rgb="FFFFFFFF"/>
        <color rgb="FF57BB8A"/>
      </colorScale>
    </cfRule>
  </conditionalFormatting>
  <conditionalFormatting sqref="N3:N4">
    <cfRule type="colorScale" priority="7">
      <colorScale>
        <cfvo type="min"/>
        <cfvo type="max"/>
        <color rgb="FF57BB8A"/>
        <color rgb="FFFFFFFF"/>
      </colorScale>
    </cfRule>
  </conditionalFormatting>
  <conditionalFormatting sqref="N38:N39 G40:G45">
    <cfRule type="colorScale" priority="2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O3:O4">
    <cfRule type="colorScale" priority="8">
      <colorScale>
        <cfvo type="min"/>
        <cfvo type="max"/>
        <color rgb="FFFFFFFF"/>
        <color rgb="FF57BB8A"/>
      </colorScale>
    </cfRule>
  </conditionalFormatting>
  <conditionalFormatting sqref="P3:P4">
    <cfRule type="colorScale" priority="9">
      <colorScale>
        <cfvo type="min"/>
        <cfvo type="max"/>
        <color rgb="FF57BB8A"/>
        <color rgb="FFFFFFFF"/>
      </colorScale>
    </cfRule>
  </conditionalFormatting>
  <conditionalFormatting sqref="P47:S47">
    <cfRule type="colorScale" priority="2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P49:S49">
    <cfRule type="colorScale" priority="2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Q3:Q4">
    <cfRule type="colorScale" priority="10">
      <colorScale>
        <cfvo type="min"/>
        <cfvo type="max"/>
        <color rgb="FF57BB8A"/>
        <color rgb="FFFFFFFF"/>
      </colorScale>
    </cfRule>
  </conditionalFormatting>
  <conditionalFormatting sqref="R3:R4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S37:S45 AC47:AG47 F51:G62 K51:P62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U53:U59">
    <cfRule type="colorScale" priority="3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V53:V59">
    <cfRule type="colorScale" priority="3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A53:AA56">
    <cfRule type="colorScale" priority="2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B53:AB59">
    <cfRule type="colorScale" priority="2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hyperlinks>
    <hyperlink ref="B92" r:id="rId1" xr:uid="{11F524D1-C3BE-437E-86FB-A6B4AFFE769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ASIANPAINT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2025-08-24T04:32:40Z</dcterms:created>
  <dcterms:modified xsi:type="dcterms:W3CDTF">2025-08-24T04:32:59Z</dcterms:modified>
</cp:coreProperties>
</file>