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3DBB3CD8-1B12-4CAB-ADB5-5ABC33C8F052}" xr6:coauthVersionLast="47" xr6:coauthVersionMax="47" xr10:uidLastSave="{00000000-0000-0000-0000-000000000000}"/>
  <bookViews>
    <workbookView xWindow="-108" yWindow="-108" windowWidth="23256" windowHeight="12456" xr2:uid="{460AE6D7-A1D7-4F6A-B0E0-13C3B9CF4F4E}"/>
  </bookViews>
  <sheets>
    <sheet name="SBIN" sheetId="1" r:id="rId1"/>
    <sheet name="BANKING DATA_23" sheetId="3" r:id="rId2"/>
    <sheet name="BANKING IN INDIA" sheetId="2" r:id="rId3"/>
  </sheets>
  <externalReferences>
    <externalReference r:id="rId4"/>
  </externalReferences>
  <definedNames>
    <definedName name="_xlnm._FilterDatabase" localSheetId="1" hidden="1">'BANKING DATA_23'!$C$164:$C$179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3" l="1"/>
  <c r="D179" i="3"/>
  <c r="P139" i="3"/>
  <c r="O139" i="3"/>
  <c r="N139" i="3"/>
  <c r="M139" i="3"/>
  <c r="L139" i="3"/>
  <c r="K139" i="3"/>
  <c r="J139" i="3"/>
  <c r="I139" i="3"/>
  <c r="F139" i="3"/>
  <c r="F138" i="3"/>
  <c r="E138" i="3"/>
  <c r="I136" i="3"/>
  <c r="F136" i="3"/>
  <c r="I135" i="3"/>
  <c r="I134" i="3"/>
  <c r="F134" i="3"/>
  <c r="I133" i="3"/>
  <c r="F133" i="3"/>
  <c r="I132" i="3"/>
  <c r="I131" i="3"/>
  <c r="I130" i="3"/>
  <c r="I129" i="3"/>
  <c r="I128" i="3"/>
  <c r="I127" i="3"/>
  <c r="F127" i="3"/>
  <c r="I126" i="3"/>
  <c r="F126" i="3"/>
  <c r="I125" i="3"/>
  <c r="F125" i="3"/>
  <c r="P120" i="3"/>
  <c r="O120" i="3"/>
  <c r="N120" i="3"/>
  <c r="M120" i="3"/>
  <c r="L120" i="3"/>
  <c r="K120" i="3"/>
  <c r="J120" i="3"/>
  <c r="I120" i="3"/>
  <c r="F120" i="3"/>
  <c r="I117" i="3"/>
  <c r="F117" i="3"/>
  <c r="I116" i="3"/>
  <c r="F116" i="3"/>
  <c r="I115" i="3"/>
  <c r="F115" i="3"/>
  <c r="I114" i="3"/>
  <c r="F114" i="3"/>
  <c r="I113" i="3"/>
  <c r="F113" i="3"/>
  <c r="I112" i="3"/>
  <c r="F112" i="3"/>
  <c r="I111" i="3"/>
  <c r="F111" i="3"/>
  <c r="I110" i="3"/>
  <c r="F110" i="3"/>
  <c r="I109" i="3"/>
  <c r="F109" i="3"/>
  <c r="I108" i="3"/>
  <c r="F108" i="3"/>
  <c r="I107" i="3"/>
  <c r="F107" i="3"/>
  <c r="I106" i="3"/>
  <c r="F106" i="3"/>
  <c r="I105" i="3"/>
  <c r="F105" i="3"/>
  <c r="I104" i="3"/>
  <c r="F104" i="3"/>
  <c r="I103" i="3"/>
  <c r="F103" i="3"/>
  <c r="I102" i="3"/>
  <c r="F102" i="3"/>
  <c r="I101" i="3"/>
  <c r="F101" i="3"/>
  <c r="I100" i="3"/>
  <c r="F100" i="3"/>
  <c r="I99" i="3"/>
  <c r="F99" i="3"/>
  <c r="I98" i="3"/>
  <c r="F98" i="3"/>
  <c r="I97" i="3"/>
  <c r="F97" i="3"/>
  <c r="I96" i="3"/>
  <c r="F96" i="3"/>
  <c r="I95" i="3"/>
  <c r="F95" i="3"/>
  <c r="I94" i="3"/>
  <c r="F94" i="3"/>
  <c r="I93" i="3"/>
  <c r="F93" i="3"/>
  <c r="I92" i="3"/>
  <c r="F92" i="3"/>
  <c r="I91" i="3"/>
  <c r="F91" i="3"/>
  <c r="I90" i="3"/>
  <c r="F90" i="3"/>
  <c r="I89" i="3"/>
  <c r="F89" i="3"/>
  <c r="I88" i="3"/>
  <c r="F88" i="3"/>
  <c r="I87" i="3"/>
  <c r="F87" i="3"/>
  <c r="I86" i="3"/>
  <c r="F86" i="3"/>
  <c r="I85" i="3"/>
  <c r="F85" i="3"/>
  <c r="I84" i="3"/>
  <c r="F84" i="3"/>
  <c r="I83" i="3"/>
  <c r="F83" i="3"/>
  <c r="I82" i="3"/>
  <c r="F82" i="3"/>
  <c r="I81" i="3"/>
  <c r="F81" i="3"/>
  <c r="I80" i="3"/>
  <c r="F80" i="3"/>
  <c r="I79" i="3"/>
  <c r="F79" i="3"/>
  <c r="I78" i="3"/>
  <c r="F78" i="3"/>
  <c r="I77" i="3"/>
  <c r="F77" i="3"/>
  <c r="I76" i="3"/>
  <c r="F76" i="3"/>
  <c r="I75" i="3"/>
  <c r="F75" i="3"/>
  <c r="I74" i="3"/>
  <c r="F74" i="3"/>
  <c r="I73" i="3"/>
  <c r="F73" i="3"/>
  <c r="P67" i="3"/>
  <c r="O67" i="3"/>
  <c r="N67" i="3"/>
  <c r="M67" i="3"/>
  <c r="L67" i="3"/>
  <c r="K67" i="3"/>
  <c r="J67" i="3"/>
  <c r="I67" i="3"/>
  <c r="F67" i="3"/>
  <c r="I64" i="3"/>
  <c r="F64" i="3"/>
  <c r="I63" i="3"/>
  <c r="F63" i="3"/>
  <c r="I62" i="3"/>
  <c r="F62" i="3"/>
  <c r="I61" i="3"/>
  <c r="F61" i="3"/>
  <c r="I60" i="3"/>
  <c r="F60" i="3"/>
  <c r="I59" i="3"/>
  <c r="F59" i="3"/>
  <c r="I58" i="3"/>
  <c r="F58" i="3"/>
  <c r="I57" i="3"/>
  <c r="F57" i="3"/>
  <c r="I56" i="3"/>
  <c r="F56" i="3"/>
  <c r="I55" i="3"/>
  <c r="F55" i="3"/>
  <c r="I54" i="3"/>
  <c r="F54" i="3"/>
  <c r="I53" i="3"/>
  <c r="F53" i="3"/>
  <c r="I52" i="3"/>
  <c r="F52" i="3"/>
  <c r="I51" i="3"/>
  <c r="I50" i="3"/>
  <c r="F50" i="3"/>
  <c r="I49" i="3"/>
  <c r="F49" i="3"/>
  <c r="I48" i="3"/>
  <c r="F48" i="3"/>
  <c r="I47" i="3"/>
  <c r="F47" i="3"/>
  <c r="I46" i="3"/>
  <c r="F46" i="3"/>
  <c r="I45" i="3"/>
  <c r="F45" i="3"/>
  <c r="I44" i="3"/>
  <c r="F44" i="3"/>
  <c r="P36" i="3"/>
  <c r="O36" i="3"/>
  <c r="N36" i="3"/>
  <c r="M36" i="3"/>
  <c r="L36" i="3"/>
  <c r="K36" i="3"/>
  <c r="J36" i="3"/>
  <c r="I36" i="3"/>
  <c r="F36" i="3"/>
  <c r="I25" i="3"/>
  <c r="F25" i="3"/>
  <c r="I24" i="3"/>
  <c r="F24" i="3"/>
  <c r="I23" i="3"/>
  <c r="F23" i="3"/>
  <c r="I22" i="3"/>
  <c r="F22" i="3"/>
  <c r="I21" i="3"/>
  <c r="F21" i="3"/>
  <c r="I20" i="3"/>
  <c r="F20" i="3"/>
  <c r="I19" i="3"/>
  <c r="F19" i="3"/>
  <c r="I18" i="3"/>
  <c r="F18" i="3"/>
  <c r="I17" i="3"/>
  <c r="F17" i="3"/>
  <c r="I16" i="3"/>
  <c r="F16" i="3"/>
  <c r="I15" i="3"/>
  <c r="F15" i="3"/>
  <c r="I14" i="3"/>
  <c r="F14" i="3"/>
  <c r="Q9" i="3"/>
  <c r="P9" i="3"/>
  <c r="O9" i="3"/>
  <c r="N9" i="3"/>
  <c r="L9" i="3"/>
  <c r="J9" i="3"/>
  <c r="G9" i="3"/>
  <c r="F9" i="3"/>
  <c r="B9" i="3"/>
  <c r="J7" i="3"/>
  <c r="F7" i="3"/>
  <c r="J6" i="3"/>
  <c r="F6" i="3"/>
  <c r="J5" i="3"/>
  <c r="F5" i="3"/>
  <c r="J4" i="3"/>
  <c r="F4" i="3"/>
  <c r="O108" i="2"/>
  <c r="D108" i="2"/>
  <c r="O106" i="2"/>
  <c r="H106" i="2"/>
  <c r="D106" i="2"/>
  <c r="O105" i="2"/>
  <c r="H105" i="2"/>
  <c r="D105" i="2"/>
  <c r="O104" i="2"/>
  <c r="H104" i="2"/>
  <c r="D104" i="2"/>
  <c r="O103" i="2"/>
  <c r="H103" i="2"/>
  <c r="D103" i="2"/>
  <c r="O102" i="2"/>
  <c r="H102" i="2"/>
  <c r="D102" i="2"/>
  <c r="O101" i="2"/>
  <c r="H101" i="2"/>
  <c r="D101" i="2"/>
  <c r="O100" i="2"/>
  <c r="H100" i="2"/>
  <c r="D100" i="2"/>
  <c r="O99" i="2"/>
  <c r="H99" i="2"/>
  <c r="D99" i="2"/>
  <c r="O98" i="2"/>
  <c r="H98" i="2"/>
  <c r="D98" i="2"/>
  <c r="O97" i="2"/>
  <c r="H97" i="2"/>
  <c r="D97" i="2"/>
  <c r="O96" i="2"/>
  <c r="H96" i="2"/>
  <c r="D96" i="2"/>
  <c r="O95" i="2"/>
  <c r="H95" i="2"/>
  <c r="D95" i="2"/>
  <c r="O94" i="2"/>
  <c r="H94" i="2"/>
  <c r="D94" i="2"/>
  <c r="O93" i="2"/>
  <c r="H93" i="2"/>
  <c r="D93" i="2"/>
  <c r="O92" i="2"/>
  <c r="H92" i="2"/>
  <c r="D92" i="2"/>
  <c r="O91" i="2"/>
  <c r="H91" i="2"/>
  <c r="D91" i="2"/>
  <c r="O90" i="2"/>
  <c r="H90" i="2"/>
  <c r="D90" i="2"/>
  <c r="O89" i="2"/>
  <c r="H89" i="2"/>
  <c r="D89" i="2"/>
  <c r="O88" i="2"/>
  <c r="H88" i="2"/>
  <c r="D88" i="2"/>
  <c r="O87" i="2"/>
  <c r="H87" i="2"/>
  <c r="D87" i="2"/>
  <c r="O86" i="2"/>
  <c r="H86" i="2"/>
  <c r="D86" i="2"/>
  <c r="O85" i="2"/>
  <c r="H85" i="2"/>
  <c r="D85" i="2"/>
  <c r="O84" i="2"/>
  <c r="H84" i="2"/>
  <c r="D84" i="2"/>
  <c r="O83" i="2"/>
  <c r="H83" i="2"/>
  <c r="D83" i="2"/>
  <c r="O82" i="2"/>
  <c r="H82" i="2"/>
  <c r="D82" i="2"/>
  <c r="O81" i="2"/>
  <c r="H81" i="2"/>
  <c r="D81" i="2"/>
  <c r="O80" i="2"/>
  <c r="H80" i="2"/>
  <c r="D80" i="2"/>
  <c r="O79" i="2"/>
  <c r="H79" i="2"/>
  <c r="D79" i="2"/>
  <c r="O78" i="2"/>
  <c r="H78" i="2"/>
  <c r="D78" i="2"/>
  <c r="O77" i="2"/>
  <c r="H77" i="2"/>
  <c r="D77" i="2"/>
  <c r="O76" i="2"/>
  <c r="H76" i="2"/>
  <c r="D76" i="2"/>
  <c r="O75" i="2"/>
  <c r="H75" i="2"/>
  <c r="D75" i="2"/>
  <c r="O74" i="2"/>
  <c r="H74" i="2"/>
  <c r="D74" i="2"/>
  <c r="O73" i="2"/>
  <c r="H73" i="2"/>
  <c r="D73" i="2"/>
  <c r="O72" i="2"/>
  <c r="H72" i="2"/>
  <c r="D72" i="2"/>
  <c r="O71" i="2"/>
  <c r="H71" i="2"/>
  <c r="D71" i="2"/>
  <c r="O70" i="2"/>
  <c r="H70" i="2"/>
  <c r="D70" i="2"/>
  <c r="O69" i="2"/>
  <c r="H69" i="2"/>
  <c r="D69" i="2"/>
  <c r="O68" i="2"/>
  <c r="H68" i="2"/>
  <c r="D68" i="2"/>
  <c r="O67" i="2"/>
  <c r="H67" i="2"/>
  <c r="D67" i="2"/>
  <c r="O66" i="2"/>
  <c r="H66" i="2"/>
  <c r="D66" i="2"/>
  <c r="O65" i="2"/>
  <c r="H65" i="2"/>
  <c r="D65" i="2"/>
  <c r="O64" i="2"/>
  <c r="H64" i="2"/>
  <c r="D64" i="2"/>
  <c r="O63" i="2"/>
  <c r="H63" i="2"/>
  <c r="D63" i="2"/>
  <c r="O62" i="2"/>
  <c r="H62" i="2"/>
  <c r="D62" i="2"/>
  <c r="O61" i="2"/>
  <c r="H61" i="2"/>
  <c r="D61" i="2"/>
  <c r="O60" i="2"/>
  <c r="H60" i="2"/>
  <c r="D60" i="2"/>
  <c r="O59" i="2"/>
  <c r="H59" i="2"/>
  <c r="D59" i="2"/>
  <c r="O58" i="2"/>
  <c r="H58" i="2"/>
  <c r="D58" i="2"/>
  <c r="O57" i="2"/>
  <c r="H57" i="2"/>
  <c r="D57" i="2"/>
  <c r="O56" i="2"/>
  <c r="H56" i="2"/>
  <c r="D56" i="2"/>
  <c r="O55" i="2"/>
  <c r="H55" i="2"/>
  <c r="D55" i="2"/>
  <c r="O54" i="2"/>
  <c r="H54" i="2"/>
  <c r="D54" i="2"/>
  <c r="O53" i="2"/>
  <c r="H53" i="2"/>
  <c r="D53" i="2"/>
  <c r="O52" i="2"/>
  <c r="H52" i="2"/>
  <c r="D52" i="2"/>
  <c r="O51" i="2"/>
  <c r="H51" i="2"/>
  <c r="D51" i="2"/>
  <c r="O50" i="2"/>
  <c r="H50" i="2"/>
  <c r="D50" i="2"/>
  <c r="O49" i="2"/>
  <c r="H49" i="2"/>
  <c r="D49" i="2"/>
  <c r="O48" i="2"/>
  <c r="H48" i="2"/>
  <c r="D48" i="2"/>
  <c r="O47" i="2"/>
  <c r="H47" i="2"/>
  <c r="D47" i="2"/>
  <c r="O46" i="2"/>
  <c r="H46" i="2"/>
  <c r="D46" i="2"/>
  <c r="O45" i="2"/>
  <c r="H45" i="2"/>
  <c r="D45" i="2"/>
  <c r="O44" i="2"/>
  <c r="H44" i="2"/>
  <c r="D44" i="2"/>
  <c r="O43" i="2"/>
  <c r="H43" i="2"/>
  <c r="D43" i="2"/>
  <c r="O42" i="2"/>
  <c r="H42" i="2"/>
  <c r="D42" i="2"/>
  <c r="O41" i="2"/>
  <c r="H41" i="2"/>
  <c r="D41" i="2"/>
  <c r="O40" i="2"/>
  <c r="H40" i="2"/>
  <c r="D40" i="2"/>
  <c r="O39" i="2"/>
  <c r="H39" i="2"/>
  <c r="D39" i="2"/>
  <c r="O38" i="2"/>
  <c r="H38" i="2"/>
  <c r="D38" i="2"/>
  <c r="O37" i="2"/>
  <c r="H37" i="2"/>
  <c r="D37" i="2"/>
  <c r="O36" i="2"/>
  <c r="H36" i="2"/>
  <c r="D36" i="2"/>
  <c r="O35" i="2"/>
  <c r="H35" i="2"/>
  <c r="D35" i="2"/>
  <c r="O34" i="2"/>
  <c r="H34" i="2"/>
  <c r="D34" i="2"/>
  <c r="O33" i="2"/>
  <c r="H33" i="2"/>
  <c r="D33" i="2"/>
  <c r="O32" i="2"/>
  <c r="H32" i="2"/>
  <c r="D32" i="2"/>
  <c r="O31" i="2"/>
  <c r="H31" i="2"/>
  <c r="D31" i="2"/>
  <c r="O30" i="2"/>
  <c r="H30" i="2"/>
  <c r="D30" i="2"/>
  <c r="O29" i="2"/>
  <c r="H29" i="2"/>
  <c r="D29" i="2"/>
  <c r="O28" i="2"/>
  <c r="H28" i="2"/>
  <c r="D28" i="2"/>
  <c r="O27" i="2"/>
  <c r="H27" i="2"/>
  <c r="D27" i="2"/>
  <c r="O26" i="2"/>
  <c r="H26" i="2"/>
  <c r="D26" i="2"/>
  <c r="O25" i="2"/>
  <c r="H25" i="2"/>
  <c r="D25" i="2"/>
  <c r="O24" i="2"/>
  <c r="H24" i="2"/>
  <c r="D24" i="2"/>
  <c r="O23" i="2"/>
  <c r="H23" i="2"/>
  <c r="D23" i="2"/>
  <c r="O22" i="2"/>
  <c r="H22" i="2"/>
  <c r="D22" i="2"/>
  <c r="O21" i="2"/>
  <c r="H21" i="2"/>
  <c r="D21" i="2"/>
  <c r="O20" i="2"/>
  <c r="H20" i="2"/>
  <c r="D20" i="2"/>
  <c r="O19" i="2"/>
  <c r="H19" i="2"/>
  <c r="D19" i="2"/>
  <c r="O18" i="2"/>
  <c r="H18" i="2"/>
  <c r="D18" i="2"/>
  <c r="O17" i="2"/>
  <c r="H17" i="2"/>
  <c r="D17" i="2"/>
  <c r="O16" i="2"/>
  <c r="H16" i="2"/>
  <c r="D16" i="2"/>
  <c r="O15" i="2"/>
  <c r="H15" i="2"/>
  <c r="D15" i="2"/>
  <c r="O14" i="2"/>
  <c r="H14" i="2"/>
  <c r="D14" i="2"/>
  <c r="O11" i="2"/>
  <c r="H11" i="2"/>
  <c r="D11" i="2"/>
  <c r="O9" i="2"/>
  <c r="H9" i="2"/>
  <c r="D9" i="2"/>
  <c r="O8" i="2"/>
  <c r="H8" i="2"/>
  <c r="D8" i="2"/>
  <c r="O7" i="2"/>
  <c r="H7" i="2"/>
  <c r="D7" i="2"/>
  <c r="O6" i="2"/>
  <c r="H6" i="2"/>
  <c r="D6" i="2"/>
  <c r="O5" i="2"/>
  <c r="H5" i="2"/>
  <c r="D5" i="2"/>
  <c r="H46" i="1"/>
  <c r="G46" i="1"/>
  <c r="F46" i="1"/>
  <c r="D46" i="1"/>
  <c r="D47" i="1" s="1"/>
  <c r="C46" i="1"/>
  <c r="C47" i="1" s="1"/>
  <c r="C48" i="1" s="1"/>
  <c r="W42" i="1"/>
  <c r="M39" i="1"/>
  <c r="L39" i="1"/>
  <c r="K39" i="1"/>
  <c r="J39" i="1"/>
  <c r="H42" i="1" s="1"/>
  <c r="I39" i="1"/>
  <c r="G39" i="1"/>
  <c r="E39" i="1"/>
  <c r="D39" i="1"/>
  <c r="C39" i="1"/>
  <c r="Y38" i="1"/>
  <c r="M38" i="1"/>
  <c r="L38" i="1"/>
  <c r="K38" i="1"/>
  <c r="J38" i="1"/>
  <c r="G38" i="1"/>
  <c r="E38" i="1"/>
  <c r="D38" i="1"/>
  <c r="C38" i="1"/>
  <c r="M37" i="1"/>
  <c r="L37" i="1"/>
  <c r="K37" i="1"/>
  <c r="G37" i="1"/>
  <c r="E37" i="1"/>
  <c r="D37" i="1"/>
  <c r="C37" i="1"/>
  <c r="Z36" i="1"/>
  <c r="Z38" i="1" s="1"/>
  <c r="AB37" i="1" s="1"/>
  <c r="P34" i="1"/>
  <c r="P39" i="1" s="1"/>
  <c r="O34" i="1"/>
  <c r="O39" i="1" s="1"/>
  <c r="N34" i="1"/>
  <c r="N39" i="1" s="1"/>
  <c r="H34" i="1"/>
  <c r="F34" i="1"/>
  <c r="P33" i="1"/>
  <c r="O33" i="1"/>
  <c r="N33" i="1"/>
  <c r="H33" i="1"/>
  <c r="F33" i="1"/>
  <c r="P32" i="1"/>
  <c r="O32" i="1"/>
  <c r="N32" i="1"/>
  <c r="I32" i="1"/>
  <c r="H32" i="1"/>
  <c r="F32" i="1"/>
  <c r="P31" i="1"/>
  <c r="O31" i="1"/>
  <c r="N31" i="1"/>
  <c r="I31" i="1"/>
  <c r="H31" i="1"/>
  <c r="F31" i="1"/>
  <c r="P30" i="1"/>
  <c r="P38" i="1" s="1"/>
  <c r="O30" i="1"/>
  <c r="N30" i="1"/>
  <c r="I30" i="1"/>
  <c r="H30" i="1"/>
  <c r="F30" i="1"/>
  <c r="AF29" i="1"/>
  <c r="AE29" i="1"/>
  <c r="AH29" i="1" s="1"/>
  <c r="Z29" i="1"/>
  <c r="Y29" i="1"/>
  <c r="AB29" i="1" s="1"/>
  <c r="P29" i="1"/>
  <c r="O29" i="1"/>
  <c r="N29" i="1"/>
  <c r="H29" i="1"/>
  <c r="S28" i="1"/>
  <c r="U26" i="1" s="1"/>
  <c r="P28" i="1"/>
  <c r="O28" i="1"/>
  <c r="N28" i="1"/>
  <c r="H28" i="1"/>
  <c r="F28" i="1"/>
  <c r="AH27" i="1"/>
  <c r="AG27" i="1"/>
  <c r="AB27" i="1"/>
  <c r="P27" i="1"/>
  <c r="O27" i="1"/>
  <c r="N27" i="1"/>
  <c r="H27" i="1"/>
  <c r="F27" i="1"/>
  <c r="AH26" i="1"/>
  <c r="AG26" i="1"/>
  <c r="AB26" i="1"/>
  <c r="V26" i="1"/>
  <c r="P26" i="1"/>
  <c r="O26" i="1"/>
  <c r="N26" i="1"/>
  <c r="H26" i="1"/>
  <c r="F26" i="1"/>
  <c r="AH25" i="1"/>
  <c r="AG25" i="1"/>
  <c r="AB25" i="1"/>
  <c r="T25" i="1"/>
  <c r="T28" i="1" s="1"/>
  <c r="S25" i="1"/>
  <c r="V25" i="1" s="1"/>
  <c r="P25" i="1"/>
  <c r="O25" i="1"/>
  <c r="N25" i="1"/>
  <c r="H25" i="1"/>
  <c r="F25" i="1"/>
  <c r="AH24" i="1"/>
  <c r="AG24" i="1"/>
  <c r="AB24" i="1"/>
  <c r="V24" i="1"/>
  <c r="P24" i="1"/>
  <c r="O24" i="1"/>
  <c r="O38" i="1" s="1"/>
  <c r="N24" i="1"/>
  <c r="N38" i="1" s="1"/>
  <c r="I24" i="1"/>
  <c r="I38" i="1" s="1"/>
  <c r="H24" i="1"/>
  <c r="F24" i="1"/>
  <c r="AH23" i="1"/>
  <c r="AG23" i="1"/>
  <c r="AB23" i="1"/>
  <c r="V23" i="1"/>
  <c r="U23" i="1"/>
  <c r="P23" i="1"/>
  <c r="O23" i="1"/>
  <c r="N23" i="1"/>
  <c r="I23" i="1"/>
  <c r="H23" i="1"/>
  <c r="F23" i="1"/>
  <c r="P22" i="1"/>
  <c r="O22" i="1"/>
  <c r="N22" i="1"/>
  <c r="I22" i="1"/>
  <c r="H22" i="1"/>
  <c r="F22" i="1"/>
  <c r="P21" i="1"/>
  <c r="O21" i="1"/>
  <c r="N21" i="1"/>
  <c r="I21" i="1"/>
  <c r="H21" i="1"/>
  <c r="F21" i="1"/>
  <c r="AD20" i="1"/>
  <c r="AE20" i="1" s="1"/>
  <c r="AC20" i="1"/>
  <c r="Y20" i="1"/>
  <c r="X20" i="1"/>
  <c r="Z20" i="1" s="1"/>
  <c r="T20" i="1"/>
  <c r="S20" i="1"/>
  <c r="U20" i="1" s="1"/>
  <c r="P20" i="1"/>
  <c r="O20" i="1"/>
  <c r="N20" i="1"/>
  <c r="I20" i="1"/>
  <c r="H20" i="1"/>
  <c r="F20" i="1"/>
  <c r="AE19" i="1"/>
  <c r="Z19" i="1"/>
  <c r="U19" i="1"/>
  <c r="P19" i="1"/>
  <c r="O19" i="1"/>
  <c r="N19" i="1"/>
  <c r="I19" i="1"/>
  <c r="I37" i="1" s="1"/>
  <c r="G42" i="1" s="1"/>
  <c r="H19" i="1"/>
  <c r="F19" i="1"/>
  <c r="AE18" i="1"/>
  <c r="Z18" i="1"/>
  <c r="U18" i="1"/>
  <c r="P18" i="1"/>
  <c r="O18" i="1"/>
  <c r="N18" i="1"/>
  <c r="N37" i="1" s="1"/>
  <c r="I42" i="1" s="1"/>
  <c r="I18" i="1"/>
  <c r="H18" i="1"/>
  <c r="F18" i="1"/>
  <c r="AE17" i="1"/>
  <c r="Z17" i="1"/>
  <c r="U17" i="1"/>
  <c r="P17" i="1"/>
  <c r="O17" i="1"/>
  <c r="N17" i="1"/>
  <c r="I17" i="1"/>
  <c r="H17" i="1"/>
  <c r="F17" i="1"/>
  <c r="AE16" i="1"/>
  <c r="Z16" i="1"/>
  <c r="U16" i="1"/>
  <c r="P16" i="1"/>
  <c r="O16" i="1"/>
  <c r="N16" i="1"/>
  <c r="I16" i="1"/>
  <c r="H16" i="1"/>
  <c r="F16" i="1"/>
  <c r="AD15" i="1"/>
  <c r="AC15" i="1"/>
  <c r="AE15" i="1" s="1"/>
  <c r="Y15" i="1"/>
  <c r="X15" i="1"/>
  <c r="Z15" i="1" s="1"/>
  <c r="U15" i="1"/>
  <c r="T15" i="1"/>
  <c r="S15" i="1"/>
  <c r="P15" i="1"/>
  <c r="O15" i="1"/>
  <c r="N15" i="1"/>
  <c r="I15" i="1"/>
  <c r="H15" i="1"/>
  <c r="F15" i="1"/>
  <c r="AE14" i="1"/>
  <c r="Z14" i="1"/>
  <c r="U14" i="1"/>
  <c r="P14" i="1"/>
  <c r="P37" i="1" s="1"/>
  <c r="O14" i="1"/>
  <c r="O37" i="1" s="1"/>
  <c r="J42" i="1" s="1"/>
  <c r="N14" i="1"/>
  <c r="I14" i="1"/>
  <c r="H14" i="1"/>
  <c r="F14" i="1"/>
  <c r="AE13" i="1"/>
  <c r="Z13" i="1"/>
  <c r="U13" i="1"/>
  <c r="P13" i="1"/>
  <c r="O13" i="1"/>
  <c r="N13" i="1"/>
  <c r="I13" i="1"/>
  <c r="H13" i="1"/>
  <c r="F13" i="1"/>
  <c r="AE12" i="1"/>
  <c r="Z12" i="1"/>
  <c r="U12" i="1"/>
  <c r="P12" i="1"/>
  <c r="O12" i="1"/>
  <c r="I12" i="1"/>
  <c r="H12" i="1"/>
  <c r="F12" i="1"/>
  <c r="AE11" i="1"/>
  <c r="Z11" i="1"/>
  <c r="U11" i="1"/>
  <c r="P11" i="1"/>
  <c r="O11" i="1"/>
  <c r="I11" i="1"/>
  <c r="K8" i="1"/>
  <c r="H8" i="1"/>
  <c r="G8" i="1"/>
  <c r="E8" i="1"/>
  <c r="D8" i="1"/>
  <c r="C8" i="1"/>
  <c r="S5" i="1"/>
  <c r="R5" i="1"/>
  <c r="Q5" i="1"/>
  <c r="P5" i="1"/>
  <c r="N5" i="1"/>
  <c r="M5" i="1"/>
  <c r="L5" i="1"/>
  <c r="K5" i="1"/>
  <c r="J5" i="1"/>
  <c r="I5" i="1"/>
  <c r="H5" i="1"/>
  <c r="F5" i="1"/>
  <c r="E5" i="1"/>
  <c r="T4" i="1"/>
  <c r="G4" i="1"/>
  <c r="G5" i="1" s="1"/>
  <c r="F4" i="1"/>
  <c r="E4" i="1"/>
  <c r="D4" i="1"/>
  <c r="T3" i="1"/>
  <c r="T5" i="1" s="1"/>
  <c r="D3" i="1"/>
  <c r="D5" i="1" s="1"/>
  <c r="C3" i="1"/>
  <c r="M8" i="1" s="1"/>
  <c r="J8" i="1" l="1"/>
  <c r="I8" i="1"/>
  <c r="K42" i="1"/>
  <c r="L42" i="1" s="1"/>
  <c r="E47" i="1"/>
  <c r="D48" i="1"/>
  <c r="AA24" i="1"/>
  <c r="AA26" i="1"/>
  <c r="AG29" i="1"/>
  <c r="E46" i="1"/>
  <c r="E43" i="1" s="1"/>
  <c r="AA27" i="1"/>
  <c r="AA38" i="1"/>
  <c r="C5" i="1"/>
  <c r="AA23" i="1"/>
  <c r="U28" i="1"/>
  <c r="AA29" i="1"/>
  <c r="AA25" i="1"/>
  <c r="V28" i="1"/>
  <c r="U25" i="1"/>
  <c r="U24" i="1"/>
  <c r="F47" i="1" l="1"/>
  <c r="E48" i="1"/>
  <c r="F48" i="1" l="1"/>
  <c r="H47" i="1"/>
  <c r="G47" i="1"/>
  <c r="H48" i="1" l="1"/>
  <c r="G48" i="1"/>
</calcChain>
</file>

<file path=xl/sharedStrings.xml><?xml version="1.0" encoding="utf-8"?>
<sst xmlns="http://schemas.openxmlformats.org/spreadsheetml/2006/main" count="951" uniqueCount="288">
  <si>
    <t>MARKETDATA</t>
  </si>
  <si>
    <t>INCOME STATEMENT</t>
  </si>
  <si>
    <t>BALANCESHEET</t>
  </si>
  <si>
    <t>CASHFLOW</t>
  </si>
  <si>
    <t>FACTS</t>
  </si>
  <si>
    <t>COMPANY</t>
  </si>
  <si>
    <t>PRICE</t>
  </si>
  <si>
    <t>MARKETCAP IN CR</t>
  </si>
  <si>
    <t>REVENUE</t>
  </si>
  <si>
    <t>PROFIT</t>
  </si>
  <si>
    <t>EPS</t>
  </si>
  <si>
    <t>EQUITY</t>
  </si>
  <si>
    <t>RESERVE</t>
  </si>
  <si>
    <t>DEPOSITS</t>
  </si>
  <si>
    <t>BORROWING</t>
  </si>
  <si>
    <t>ADVANCES</t>
  </si>
  <si>
    <t>ASSETS</t>
  </si>
  <si>
    <t>FV</t>
  </si>
  <si>
    <t>BRANCHES</t>
  </si>
  <si>
    <t>EMPOYEES</t>
  </si>
  <si>
    <t>CFO</t>
  </si>
  <si>
    <t>CFI</t>
  </si>
  <si>
    <t>CFF</t>
  </si>
  <si>
    <t>NET</t>
  </si>
  <si>
    <t>SBIN</t>
  </si>
  <si>
    <t>PREVIOUS YEAR</t>
  </si>
  <si>
    <t>GROWTH</t>
  </si>
  <si>
    <t>Year</t>
  </si>
  <si>
    <t>SALES GR</t>
  </si>
  <si>
    <t>P-MARGIN</t>
  </si>
  <si>
    <t>GNPA%</t>
  </si>
  <si>
    <t>CAR</t>
  </si>
  <si>
    <t>ROE</t>
  </si>
  <si>
    <t>ROA</t>
  </si>
  <si>
    <t>PE</t>
  </si>
  <si>
    <t>YIELD</t>
  </si>
  <si>
    <t>PEG</t>
  </si>
  <si>
    <t>BOOKVALUE</t>
  </si>
  <si>
    <t>PBV</t>
  </si>
  <si>
    <t>Actual</t>
  </si>
  <si>
    <t>Revenue</t>
  </si>
  <si>
    <t>Profit</t>
  </si>
  <si>
    <t>NPM (%)</t>
  </si>
  <si>
    <t>NPA  (%)</t>
  </si>
  <si>
    <t>Dividend</t>
  </si>
  <si>
    <t>High</t>
  </si>
  <si>
    <t>Low</t>
  </si>
  <si>
    <t>Dividend %</t>
  </si>
  <si>
    <t>H P/E</t>
  </si>
  <si>
    <t>L P/E</t>
  </si>
  <si>
    <t>RESULT</t>
  </si>
  <si>
    <t>FY_24</t>
  </si>
  <si>
    <t>FY_23</t>
  </si>
  <si>
    <t>Growth</t>
  </si>
  <si>
    <t>Q4_FY_24</t>
  </si>
  <si>
    <t>Q4_FY_23</t>
  </si>
  <si>
    <t>9M_FY_24</t>
  </si>
  <si>
    <t>9M_FY_23</t>
  </si>
  <si>
    <t>FY_2001</t>
  </si>
  <si>
    <t>FY_2002</t>
  </si>
  <si>
    <t>FY_2003</t>
  </si>
  <si>
    <t>COST</t>
  </si>
  <si>
    <t>FY_2004</t>
  </si>
  <si>
    <t>PROVISONS</t>
  </si>
  <si>
    <t>FY_2005</t>
  </si>
  <si>
    <t>TOTAL COST</t>
  </si>
  <si>
    <t>FY_2006</t>
  </si>
  <si>
    <t>FY_2007</t>
  </si>
  <si>
    <t>FY_2008</t>
  </si>
  <si>
    <t>FY_2009</t>
  </si>
  <si>
    <t>GNPA</t>
  </si>
  <si>
    <t>FY_2010</t>
  </si>
  <si>
    <t>Margin</t>
  </si>
  <si>
    <t>FY_2011</t>
  </si>
  <si>
    <t>FY_2012</t>
  </si>
  <si>
    <t>MajorCost</t>
  </si>
  <si>
    <t>SHARE</t>
  </si>
  <si>
    <t>SEGMENT</t>
  </si>
  <si>
    <t>SUB_PROFITS</t>
  </si>
  <si>
    <t>RANKING</t>
  </si>
  <si>
    <t>FY_2013</t>
  </si>
  <si>
    <t>INTEREST</t>
  </si>
  <si>
    <t>Retail Personal</t>
  </si>
  <si>
    <t>SBI_LIFE</t>
  </si>
  <si>
    <t>NO#1</t>
  </si>
  <si>
    <t>FY_2014</t>
  </si>
  <si>
    <t>EMPLOYEE</t>
  </si>
  <si>
    <t>Corporate</t>
  </si>
  <si>
    <t>SBI_CARD</t>
  </si>
  <si>
    <t>NO#2</t>
  </si>
  <si>
    <t>Split:10:1</t>
  </si>
  <si>
    <t>FY_2015</t>
  </si>
  <si>
    <t>OTHERCOST</t>
  </si>
  <si>
    <t>Foreign Offices Advances</t>
  </si>
  <si>
    <t>SBI_MF</t>
  </si>
  <si>
    <t>FY_2016</t>
  </si>
  <si>
    <t>SME</t>
  </si>
  <si>
    <t>SBI_GENERAL</t>
  </si>
  <si>
    <t>NO#6</t>
  </si>
  <si>
    <t>FY_2017</t>
  </si>
  <si>
    <t>Agri</t>
  </si>
  <si>
    <t>SBI_CAPS</t>
  </si>
  <si>
    <t>NO#4</t>
  </si>
  <si>
    <t>FY_2018</t>
  </si>
  <si>
    <t>TOTAL</t>
  </si>
  <si>
    <t>FY_2019</t>
  </si>
  <si>
    <t>TOTAL ADVANCES</t>
  </si>
  <si>
    <t>TOTAL_PROFIT</t>
  </si>
  <si>
    <t>FY_2020</t>
  </si>
  <si>
    <t>FY_2021</t>
  </si>
  <si>
    <t>FY_2022</t>
  </si>
  <si>
    <t>FY_2023</t>
  </si>
  <si>
    <t>FY_2024</t>
  </si>
  <si>
    <t>YEAR</t>
  </si>
  <si>
    <t>Q1_FY_24</t>
  </si>
  <si>
    <t>H1_FY_24</t>
  </si>
  <si>
    <t>EST_FY25</t>
  </si>
  <si>
    <t>EPS_23</t>
  </si>
  <si>
    <t>EPS_24</t>
  </si>
  <si>
    <t>F_EPS_25</t>
  </si>
  <si>
    <t>SALES</t>
  </si>
  <si>
    <t>20YEAR CAGR</t>
  </si>
  <si>
    <t>TRAIL_PE</t>
  </si>
  <si>
    <t>F_PE</t>
  </si>
  <si>
    <t>10 Year Gr</t>
  </si>
  <si>
    <t>MARGIN</t>
  </si>
  <si>
    <t>CYEAR</t>
  </si>
  <si>
    <t>FAIR_PE</t>
  </si>
  <si>
    <t>Exp Gr</t>
  </si>
  <si>
    <t>NPA%</t>
  </si>
  <si>
    <t>DIVIDEND</t>
  </si>
  <si>
    <t>HIGHPE</t>
  </si>
  <si>
    <t>LOWPE</t>
  </si>
  <si>
    <t>FAIRPE</t>
  </si>
  <si>
    <t>Current Trend</t>
  </si>
  <si>
    <t>Q1</t>
  </si>
  <si>
    <t>Q2</t>
  </si>
  <si>
    <t>Q3</t>
  </si>
  <si>
    <t>Q4</t>
  </si>
  <si>
    <t>LT Growth</t>
  </si>
  <si>
    <t>FY_2025</t>
  </si>
  <si>
    <t>FAIRVALUE</t>
  </si>
  <si>
    <t>FY_2030</t>
  </si>
  <si>
    <t>FY_2035</t>
  </si>
  <si>
    <t>SCHEDULED COMMERCIAL BANKS IN INDIA</t>
  </si>
  <si>
    <t>SCHEDULED BANKS</t>
  </si>
  <si>
    <t>Advances</t>
  </si>
  <si>
    <t>M SHARE</t>
  </si>
  <si>
    <t xml:space="preserve"> Total Assets</t>
  </si>
  <si>
    <t>MEDIAN of GNPA%</t>
  </si>
  <si>
    <t>MSHARE</t>
  </si>
  <si>
    <t>PUBLIC SECTOR BANKS</t>
  </si>
  <si>
    <t>PAYMENTS BANKS</t>
  </si>
  <si>
    <t>PRIVATE SECTOR BANKS</t>
  </si>
  <si>
    <t>FOREIGN BANKS</t>
  </si>
  <si>
    <t>SMALL FINANCE BANKS</t>
  </si>
  <si>
    <t>Grand Total</t>
  </si>
  <si>
    <t>BANKS IN INDIA</t>
  </si>
  <si>
    <t>Total Assets</t>
  </si>
  <si>
    <t>STATE BANK OF INDIA</t>
  </si>
  <si>
    <t>BNP PARIBAS</t>
  </si>
  <si>
    <t>HDFC BANK LTD.</t>
  </si>
  <si>
    <t>CREDIT AGRICOLE CORPORATE AND INVESTMENT BANK</t>
  </si>
  <si>
    <t>ICICI BANK LIMITED</t>
  </si>
  <si>
    <t>MIZUHO BANK LTD</t>
  </si>
  <si>
    <t>BANK OF BARODA</t>
  </si>
  <si>
    <t>PUNJAB NATIONAL BANK</t>
  </si>
  <si>
    <t>CTBC BANK CO., LTD.</t>
  </si>
  <si>
    <t>AXIS BANK LIMITED</t>
  </si>
  <si>
    <t>HONGKONG AND SHANGHAI BANKING CORPN.LTD.</t>
  </si>
  <si>
    <t>KOTAK MAHINDRA BANK LTD.</t>
  </si>
  <si>
    <t>CANARA BANK</t>
  </si>
  <si>
    <t>AUSTRALIA AND NEW ZEALAND BANKING GROUP LIMITED</t>
  </si>
  <si>
    <t>UNION BANK OF INDIA</t>
  </si>
  <si>
    <t>BANK OF BAHRAIN &amp; KUWAIT B.S.C.</t>
  </si>
  <si>
    <t>CITIBANK N.A</t>
  </si>
  <si>
    <t>BANK OF INDIA</t>
  </si>
  <si>
    <t>INDUSIND BANK LTD</t>
  </si>
  <si>
    <t>INDIAN BANK</t>
  </si>
  <si>
    <t>BARCLAYS BANK PLC</t>
  </si>
  <si>
    <t>STANDARD CHARTERED BANK</t>
  </si>
  <si>
    <t>TAMILNAD MERCANTILE BANK LTD</t>
  </si>
  <si>
    <t>CSB BANK LIMITED</t>
  </si>
  <si>
    <t>YES BANK LTD.</t>
  </si>
  <si>
    <t>CENTRAL BANK OF INDIA</t>
  </si>
  <si>
    <t>AU SMALL FINANCE BANK LIMITED</t>
  </si>
  <si>
    <t>SBM BANK (INDIA) LTD.</t>
  </si>
  <si>
    <t>IDBI BANK LIMITED</t>
  </si>
  <si>
    <t>SHINHAN BANK</t>
  </si>
  <si>
    <t>FEDERAL BANK LTD</t>
  </si>
  <si>
    <t>INDIAN OVERSEAS BANK</t>
  </si>
  <si>
    <t>UCO BANK</t>
  </si>
  <si>
    <t>BANK OF MAHARASHTRA</t>
  </si>
  <si>
    <t>CAPITAL SMALL FINANCE BANK LIMITED</t>
  </si>
  <si>
    <t>JPMORGAN CHASE BANK NATIONAL ASSOCIATION</t>
  </si>
  <si>
    <t>IDFC FIRST BANK LIMITED</t>
  </si>
  <si>
    <t>DEUTSCHE BANK AG</t>
  </si>
  <si>
    <t>BANDHAN BANK LIMITED</t>
  </si>
  <si>
    <t>KEB HANA BANK</t>
  </si>
  <si>
    <t>SHIVALIK SMALL FINANCE BANK LIMITED</t>
  </si>
  <si>
    <t>DOHA BANK Q.P.S.C</t>
  </si>
  <si>
    <t>JAMMU &amp; KASHMIR BANK LTD</t>
  </si>
  <si>
    <t>PUNJAB AND SIND BANK</t>
  </si>
  <si>
    <t>KARNATAKA BANK LTD</t>
  </si>
  <si>
    <t>RBL BANK LIMITED</t>
  </si>
  <si>
    <t>BANK OF AMERICA , NATIONAL ASSOCIATION</t>
  </si>
  <si>
    <t>SOUTH INDIAN BANK LTD</t>
  </si>
  <si>
    <t>EQUITAS SMALL FINANCE BANK LIMITED</t>
  </si>
  <si>
    <t>CITY UNION BANK LIMITED</t>
  </si>
  <si>
    <t>DCB BANK LIMITED</t>
  </si>
  <si>
    <t>KARUR VYSYA BANK LTD</t>
  </si>
  <si>
    <t>DBS BANK INDIA LTD.</t>
  </si>
  <si>
    <t>SOCIETE GENERALE</t>
  </si>
  <si>
    <t>JANA SMALL FINANCE BANK LIMITED</t>
  </si>
  <si>
    <t>MUFG BANK LTD</t>
  </si>
  <si>
    <t>AMERICAN EXPRESS BANKING CORP.</t>
  </si>
  <si>
    <t>SUMITOMO MITSUI BANKING CORPORATION</t>
  </si>
  <si>
    <t>CREDIT SUISSE AG</t>
  </si>
  <si>
    <t>UJJIVAN SMALL FINANCE BANK LIMITED</t>
  </si>
  <si>
    <t>QATAR NATIONAL BANK (Q.P.S.C.)</t>
  </si>
  <si>
    <t>UTKARSH SMALL FINANCE BANK LIMITED</t>
  </si>
  <si>
    <t>THE DHANALAKSHMI BANK LTD</t>
  </si>
  <si>
    <t>FIRST ABU DHABI BANK PJSC</t>
  </si>
  <si>
    <t>ESAF SMALL FINANCE BANK LIMITED</t>
  </si>
  <si>
    <t>BANK OF NOVA SCOTIA</t>
  </si>
  <si>
    <t>FINCARE SMALL FINANCE BANK LIMITED</t>
  </si>
  <si>
    <t>SBERBANK</t>
  </si>
  <si>
    <t>SURYODAY SMALL FINANCE BANK LIMITED</t>
  </si>
  <si>
    <t>INDUSTRIAL AND COMMERCIAL BANK OF CHINA</t>
  </si>
  <si>
    <t>COOPERATIEVE RABOBANK U.A.</t>
  </si>
  <si>
    <t>JSC VTB BANK</t>
  </si>
  <si>
    <t>NAINITAL BANK LTD</t>
  </si>
  <si>
    <t>PAYTM PAYMENTS BANK LIMITED</t>
  </si>
  <si>
    <t>NORTH EAST SMALL FINANCE BANK LIMITED</t>
  </si>
  <si>
    <t>FINO PAYMENTS BANK LIMITED</t>
  </si>
  <si>
    <t>SONALI BANK</t>
  </si>
  <si>
    <t>EMIRATES NBD BANK (P.J.S.C.)</t>
  </si>
  <si>
    <t>WOORI BANK</t>
  </si>
  <si>
    <t>BANK OF CEYLON</t>
  </si>
  <si>
    <t>NATWEST MARKETS PLC</t>
  </si>
  <si>
    <t>MASHREQ BANK PSC</t>
  </si>
  <si>
    <t>UNITED OVERSEAS BANK LTD</t>
  </si>
  <si>
    <t>INDUSTRIAL BANK OF KOREA</t>
  </si>
  <si>
    <t>INDIA POST PAYMENTS BANK LIMITED</t>
  </si>
  <si>
    <t>AB BANK LIMITED</t>
  </si>
  <si>
    <t>ABU DHABI COMMERCIAL BANK PJSC</t>
  </si>
  <si>
    <t>AIRTEL PAYMENTS BANK LIMITED</t>
  </si>
  <si>
    <t>KOOKMIN BANK</t>
  </si>
  <si>
    <t>BANK OF CHINA LIMITED</t>
  </si>
  <si>
    <t>FIRSTRAND BANK LTD</t>
  </si>
  <si>
    <t>PT BANK MAYBANK INDONESIA TBK</t>
  </si>
  <si>
    <t>KRUNG THAI BANK PUBLIC COMPANY LIMITED</t>
  </si>
  <si>
    <r>
      <rPr>
        <b/>
        <sz val="10"/>
        <color rgb="FFFFFFFF"/>
        <rFont val="Calibri"/>
        <scheme val="minor"/>
      </rPr>
      <t xml:space="preserve">BY </t>
    </r>
    <r>
      <rPr>
        <b/>
        <u/>
        <sz val="10"/>
        <color rgb="FFFFFFFF"/>
        <rFont val="Calibri"/>
        <scheme val="minor"/>
      </rPr>
      <t>WWW.PROFITFROMIT.IN</t>
    </r>
  </si>
  <si>
    <t>BANKS_FY18</t>
  </si>
  <si>
    <t>ALL SCHEDULED BANKS</t>
  </si>
  <si>
    <t xml:space="preserve"> Advances</t>
  </si>
  <si>
    <t>BANKS_FY23</t>
  </si>
  <si>
    <t>INCOME</t>
  </si>
  <si>
    <t>Net Profit</t>
  </si>
  <si>
    <t>MARGIN%</t>
  </si>
  <si>
    <t>NPA%_18</t>
  </si>
  <si>
    <t>NPA%_20</t>
  </si>
  <si>
    <t>NPA%_23</t>
  </si>
  <si>
    <t>Credit - Deposit Ratio</t>
  </si>
  <si>
    <t>Return on assets</t>
  </si>
  <si>
    <t>Return on equity</t>
  </si>
  <si>
    <t>MARKETCAP</t>
  </si>
  <si>
    <t>ALL SCHEDULED COMMERCIAL BANKS</t>
  </si>
  <si>
    <t>BANKS</t>
  </si>
  <si>
    <t>ALLAHABAD BANK</t>
  </si>
  <si>
    <t>ANDHRA BANK</t>
  </si>
  <si>
    <t>CORPORATION BANK</t>
  </si>
  <si>
    <t>DENA BANK</t>
  </si>
  <si>
    <t>ORIENTAL BANK OF COMMERCE</t>
  </si>
  <si>
    <t>SYNDICATE BANK</t>
  </si>
  <si>
    <t>UNITED BANK OF INDIA</t>
  </si>
  <si>
    <t>VIJAYA BANK</t>
  </si>
  <si>
    <t>IDFC BANK LIMITED</t>
  </si>
  <si>
    <t>CATHOLIC SYRIAN BANK LTD</t>
  </si>
  <si>
    <t xml:space="preserve">DHANLAXMI BANK </t>
  </si>
  <si>
    <t>LAKSHMI VILAS BANK LTD</t>
  </si>
  <si>
    <t>-</t>
  </si>
  <si>
    <t>NATIONAL AUSTRALIA BANK</t>
  </si>
  <si>
    <t>THE ROYAL BANK OF SCOTLAND N.V.</t>
  </si>
  <si>
    <t>WESTPAC BANKING CORPORATION</t>
  </si>
  <si>
    <t>Unity Small Finance Bank Limited</t>
  </si>
  <si>
    <t>www.profitfromit.in</t>
  </si>
  <si>
    <t>SMALLFINANCEBANKS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</si>
</sst>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#,##0.0"/>
    <numFmt numFmtId="166" formatCode="0.0"/>
    <numFmt numFmtId="167" formatCode="#,#0#;\-#,#0#"/>
    <numFmt numFmtId="168" formatCode="#,#0#;\-#,#0#;0"/>
    <numFmt numFmtId="169" formatCode="_ * #,##0.0_ ;_ * \-#,##0.0_ ;_ * &quot;-&quot;??_ ;_ @_ "/>
    <numFmt numFmtId="170" formatCode="#,#0#.00;\-#,#0#.00"/>
  </numFmts>
  <fonts count="31" x14ac:knownFonts="1">
    <font>
      <sz val="10"/>
      <color rgb="FF000000"/>
      <name val="Calibri"/>
      <scheme val="minor"/>
    </font>
    <font>
      <b/>
      <sz val="11"/>
      <color rgb="FFFFFFFF"/>
      <name val="Calibri"/>
    </font>
    <font>
      <sz val="11"/>
      <color rgb="FF000000"/>
      <name val="Calibri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Calibri"/>
      <scheme val="minor"/>
    </font>
    <font>
      <b/>
      <i/>
      <sz val="10"/>
      <color theme="1"/>
      <name val="Calibri"/>
      <scheme val="minor"/>
    </font>
    <font>
      <sz val="11"/>
      <color theme="0"/>
      <name val="Calibri"/>
    </font>
    <font>
      <sz val="11"/>
      <color rgb="FFFFFFFF"/>
      <name val="Calibri"/>
    </font>
    <font>
      <sz val="8"/>
      <color theme="1"/>
      <name val="Calibri"/>
      <scheme val="minor"/>
    </font>
    <font>
      <b/>
      <i/>
      <u/>
      <sz val="11"/>
      <color theme="1"/>
      <name val="Arial"/>
    </font>
    <font>
      <b/>
      <i/>
      <u/>
      <sz val="11"/>
      <color theme="1"/>
      <name val="Calibri"/>
    </font>
    <font>
      <b/>
      <sz val="14"/>
      <color rgb="FFFFFFFF"/>
      <name val="Arial"/>
    </font>
    <font>
      <b/>
      <sz val="11"/>
      <color rgb="FFFFFFFF"/>
      <name val="Arial"/>
    </font>
    <font>
      <b/>
      <sz val="11"/>
      <color rgb="FF3F3F3F"/>
      <name val="Calibri"/>
    </font>
    <font>
      <b/>
      <sz val="10"/>
      <color rgb="FFFFFFFF"/>
      <name val="Arial"/>
    </font>
    <font>
      <sz val="10"/>
      <color rgb="FFFFFFFF"/>
      <name val="Calibri"/>
      <scheme val="minor"/>
    </font>
    <font>
      <b/>
      <u/>
      <sz val="10"/>
      <color rgb="FFFFFFFF"/>
      <name val="Arial"/>
    </font>
    <font>
      <b/>
      <sz val="10"/>
      <color rgb="FFFFFFFF"/>
      <name val="Calibri"/>
      <scheme val="minor"/>
    </font>
    <font>
      <b/>
      <u/>
      <sz val="10"/>
      <color rgb="FFFFFFFF"/>
      <name val="Calibri"/>
      <scheme val="minor"/>
    </font>
    <font>
      <b/>
      <sz val="9"/>
      <color rgb="FF333333"/>
      <name val="Arial"/>
    </font>
    <font>
      <sz val="10"/>
      <color rgb="FF000000"/>
      <name val="Arial"/>
    </font>
    <font>
      <b/>
      <sz val="9"/>
      <color rgb="FFFFFFFF"/>
      <name val="Arial"/>
    </font>
    <font>
      <sz val="9"/>
      <color rgb="FF333333"/>
      <name val="Arial"/>
    </font>
    <font>
      <i/>
      <u/>
      <sz val="10"/>
      <color rgb="FF000000"/>
      <name val="Arial"/>
    </font>
    <font>
      <i/>
      <u/>
      <sz val="9"/>
      <color rgb="FF333333"/>
      <name val="Arial"/>
    </font>
    <font>
      <b/>
      <sz val="9"/>
      <color rgb="FF000000"/>
      <name val="Arial"/>
    </font>
    <font>
      <sz val="9"/>
      <color rgb="FF000000"/>
      <name val="Arial"/>
    </font>
    <font>
      <u/>
      <sz val="36"/>
      <color theme="10"/>
      <name val="Arial"/>
    </font>
    <font>
      <sz val="10"/>
      <name val="Arial"/>
    </font>
  </fonts>
  <fills count="32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95B3D7"/>
        <bgColor rgb="FF95B3D7"/>
      </patternFill>
    </fill>
    <fill>
      <patternFill patternType="solid">
        <fgColor rgb="FFFFFFCC"/>
        <bgColor rgb="FFFFFFCC"/>
      </patternFill>
    </fill>
    <fill>
      <patternFill patternType="solid">
        <fgColor rgb="FFF6FCF9"/>
        <bgColor rgb="FFF6FCF9"/>
      </patternFill>
    </fill>
    <fill>
      <patternFill patternType="solid">
        <fgColor rgb="FF57BB8A"/>
        <bgColor rgb="FF57BB8A"/>
      </patternFill>
    </fill>
    <fill>
      <patternFill patternType="solid">
        <fgColor rgb="FFE67C73"/>
        <bgColor rgb="FFE67C73"/>
      </patternFill>
    </fill>
    <fill>
      <patternFill patternType="solid">
        <fgColor rgb="FFD1EDDF"/>
        <bgColor rgb="FFD1EDDF"/>
      </patternFill>
    </fill>
    <fill>
      <patternFill patternType="solid">
        <fgColor rgb="FFF4C6C2"/>
        <bgColor rgb="FFF4C6C2"/>
      </patternFill>
    </fill>
    <fill>
      <patternFill patternType="solid">
        <fgColor rgb="FFE0F3E9"/>
        <bgColor rgb="FFE0F3E9"/>
      </patternFill>
    </fill>
    <fill>
      <patternFill patternType="solid">
        <fgColor rgb="FFF4C9C5"/>
        <bgColor rgb="FFF4C9C5"/>
      </patternFill>
    </fill>
    <fill>
      <patternFill patternType="solid">
        <fgColor rgb="FFFFC7CE"/>
        <bgColor rgb="FFFFC7CE"/>
      </patternFill>
    </fill>
    <fill>
      <patternFill patternType="solid">
        <fgColor rgb="FFF3FAF7"/>
        <bgColor rgb="FFF3FAF7"/>
      </patternFill>
    </fill>
    <fill>
      <patternFill patternType="solid">
        <fgColor rgb="FFFBEDEC"/>
        <bgColor rgb="FFFBEDEC"/>
      </patternFill>
    </fill>
    <fill>
      <patternFill patternType="solid">
        <fgColor rgb="FF073763"/>
        <bgColor rgb="FF073763"/>
      </patternFill>
    </fill>
    <fill>
      <patternFill patternType="solid">
        <fgColor rgb="FF62C092"/>
        <bgColor rgb="FF62C092"/>
      </patternFill>
    </fill>
    <fill>
      <patternFill patternType="solid">
        <fgColor rgb="FF92D3B3"/>
        <bgColor rgb="FF92D3B3"/>
      </patternFill>
    </fill>
    <fill>
      <patternFill patternType="solid">
        <fgColor rgb="FFDBF1E6"/>
        <bgColor rgb="FFDBF1E6"/>
      </patternFill>
    </fill>
    <fill>
      <patternFill patternType="solid">
        <fgColor rgb="FF68C296"/>
        <bgColor rgb="FF68C296"/>
      </patternFill>
    </fill>
    <fill>
      <patternFill patternType="solid">
        <fgColor rgb="FFB2E0C9"/>
        <bgColor rgb="FFB2E0C9"/>
      </patternFill>
    </fill>
    <fill>
      <patternFill patternType="solid">
        <fgColor rgb="FF4285F4"/>
        <bgColor rgb="FF4285F4"/>
      </patternFill>
    </fill>
    <fill>
      <patternFill patternType="solid">
        <fgColor rgb="FFE1F3EB"/>
        <bgColor rgb="FFE1F3EB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4C1130"/>
        <bgColor rgb="FF4C1130"/>
      </patternFill>
    </fill>
    <fill>
      <patternFill patternType="solid">
        <fgColor rgb="FFD7EBFF"/>
        <bgColor rgb="FFD7EBFF"/>
      </patternFill>
    </fill>
    <fill>
      <patternFill patternType="solid">
        <fgColor rgb="FF488AC7"/>
        <bgColor rgb="FF488AC7"/>
      </patternFill>
    </fill>
    <fill>
      <patternFill patternType="solid">
        <fgColor rgb="FFD7EAFF"/>
        <bgColor rgb="FFD7EAFF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2" borderId="2" xfId="0" applyFont="1" applyFill="1" applyBorder="1" applyAlignment="1">
      <alignment horizontal="left"/>
    </xf>
    <xf numFmtId="0" fontId="2" fillId="0" borderId="0" xfId="0" applyFont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" fontId="3" fillId="3" borderId="5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3" borderId="3" xfId="0" applyFont="1" applyFill="1" applyBorder="1"/>
    <xf numFmtId="0" fontId="4" fillId="3" borderId="5" xfId="0" applyFont="1" applyFill="1" applyBorder="1" applyAlignment="1">
      <alignment horizontal="right"/>
    </xf>
    <xf numFmtId="1" fontId="4" fillId="3" borderId="5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2" xfId="0" applyFont="1" applyBorder="1"/>
    <xf numFmtId="164" fontId="7" fillId="4" borderId="2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0" fontId="6" fillId="0" borderId="0" xfId="0" applyFont="1"/>
    <xf numFmtId="9" fontId="3" fillId="5" borderId="3" xfId="0" applyNumberFormat="1" applyFont="1" applyFill="1" applyBorder="1" applyAlignment="1">
      <alignment horizontal="right"/>
    </xf>
    <xf numFmtId="9" fontId="3" fillId="5" borderId="5" xfId="0" applyNumberFormat="1" applyFont="1" applyFill="1" applyBorder="1" applyAlignment="1">
      <alignment horizontal="right"/>
    </xf>
    <xf numFmtId="164" fontId="3" fillId="5" borderId="5" xfId="0" applyNumberFormat="1" applyFont="1" applyFill="1" applyBorder="1" applyAlignment="1">
      <alignment horizontal="right"/>
    </xf>
    <xf numFmtId="164" fontId="3" fillId="5" borderId="0" xfId="0" applyNumberFormat="1" applyFont="1" applyFill="1" applyAlignment="1">
      <alignment horizontal="right"/>
    </xf>
    <xf numFmtId="164" fontId="3" fillId="5" borderId="6" xfId="0" applyNumberFormat="1" applyFont="1" applyFill="1" applyBorder="1" applyAlignment="1">
      <alignment horizontal="right"/>
    </xf>
    <xf numFmtId="165" fontId="3" fillId="5" borderId="5" xfId="0" applyNumberFormat="1" applyFont="1" applyFill="1" applyBorder="1" applyAlignment="1">
      <alignment horizontal="right"/>
    </xf>
    <xf numFmtId="3" fontId="3" fillId="5" borderId="5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right" vertical="center"/>
    </xf>
    <xf numFmtId="166" fontId="2" fillId="7" borderId="2" xfId="0" applyNumberFormat="1" applyFont="1" applyFill="1" applyBorder="1" applyAlignment="1">
      <alignment horizontal="right" vertical="center"/>
    </xf>
    <xf numFmtId="9" fontId="2" fillId="7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/>
    <xf numFmtId="164" fontId="4" fillId="8" borderId="5" xfId="0" applyNumberFormat="1" applyFont="1" applyFill="1" applyBorder="1" applyAlignment="1">
      <alignment horizontal="right"/>
    </xf>
    <xf numFmtId="10" fontId="4" fillId="0" borderId="0" xfId="0" applyNumberFormat="1" applyFont="1"/>
    <xf numFmtId="1" fontId="2" fillId="7" borderId="2" xfId="0" applyNumberFormat="1" applyFont="1" applyFill="1" applyBorder="1" applyAlignment="1">
      <alignment horizontal="right" vertical="center"/>
    </xf>
    <xf numFmtId="164" fontId="4" fillId="9" borderId="5" xfId="0" applyNumberFormat="1" applyFont="1" applyFill="1" applyBorder="1" applyAlignment="1">
      <alignment horizontal="right"/>
    </xf>
    <xf numFmtId="9" fontId="4" fillId="0" borderId="0" xfId="0" applyNumberFormat="1" applyFont="1"/>
    <xf numFmtId="164" fontId="4" fillId="10" borderId="5" xfId="0" applyNumberFormat="1" applyFont="1" applyFill="1" applyBorder="1" applyAlignment="1">
      <alignment horizontal="right"/>
    </xf>
    <xf numFmtId="0" fontId="3" fillId="0" borderId="3" xfId="0" applyFont="1" applyBorder="1"/>
    <xf numFmtId="164" fontId="4" fillId="3" borderId="5" xfId="0" applyNumberFormat="1" applyFont="1" applyFill="1" applyBorder="1" applyAlignment="1">
      <alignment horizontal="right"/>
    </xf>
    <xf numFmtId="164" fontId="4" fillId="11" borderId="5" xfId="0" applyNumberFormat="1" applyFont="1" applyFill="1" applyBorder="1" applyAlignment="1">
      <alignment horizontal="right"/>
    </xf>
    <xf numFmtId="164" fontId="4" fillId="12" borderId="5" xfId="0" applyNumberFormat="1" applyFont="1" applyFill="1" applyBorder="1" applyAlignment="1">
      <alignment horizontal="right"/>
    </xf>
    <xf numFmtId="1" fontId="5" fillId="3" borderId="5" xfId="0" applyNumberFormat="1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164" fontId="4" fillId="13" borderId="5" xfId="0" applyNumberFormat="1" applyFont="1" applyFill="1" applyBorder="1" applyAlignment="1">
      <alignment horizontal="right"/>
    </xf>
    <xf numFmtId="1" fontId="2" fillId="7" borderId="2" xfId="0" applyNumberFormat="1" applyFont="1" applyFill="1" applyBorder="1" applyAlignment="1">
      <alignment horizontal="right" vertical="center" wrapText="1"/>
    </xf>
    <xf numFmtId="10" fontId="5" fillId="3" borderId="5" xfId="0" applyNumberFormat="1" applyFont="1" applyFill="1" applyBorder="1" applyAlignment="1">
      <alignment horizontal="right"/>
    </xf>
    <xf numFmtId="164" fontId="4" fillId="14" borderId="5" xfId="0" applyNumberFormat="1" applyFont="1" applyFill="1" applyBorder="1" applyAlignment="1">
      <alignment horizontal="right"/>
    </xf>
    <xf numFmtId="0" fontId="4" fillId="0" borderId="0" xfId="0" applyFont="1"/>
    <xf numFmtId="2" fontId="4" fillId="0" borderId="0" xfId="0" applyNumberFormat="1" applyFont="1"/>
    <xf numFmtId="9" fontId="3" fillId="9" borderId="5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64" fontId="6" fillId="0" borderId="0" xfId="0" applyNumberFormat="1" applyFont="1"/>
    <xf numFmtId="9" fontId="6" fillId="0" borderId="0" xfId="0" applyNumberFormat="1" applyFont="1"/>
    <xf numFmtId="1" fontId="2" fillId="15" borderId="2" xfId="0" applyNumberFormat="1" applyFont="1" applyFill="1" applyBorder="1" applyAlignment="1">
      <alignment horizontal="right" vertical="center"/>
    </xf>
    <xf numFmtId="164" fontId="4" fillId="16" borderId="5" xfId="0" applyNumberFormat="1" applyFont="1" applyFill="1" applyBorder="1" applyAlignment="1">
      <alignment horizontal="right"/>
    </xf>
    <xf numFmtId="0" fontId="10" fillId="0" borderId="0" xfId="0" applyFont="1"/>
    <xf numFmtId="9" fontId="2" fillId="7" borderId="2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/>
    <xf numFmtId="1" fontId="3" fillId="3" borderId="5" xfId="0" applyNumberFormat="1" applyFont="1" applyFill="1" applyBorder="1"/>
    <xf numFmtId="0" fontId="3" fillId="0" borderId="5" xfId="0" applyFont="1" applyBorder="1"/>
    <xf numFmtId="164" fontId="3" fillId="3" borderId="5" xfId="0" applyNumberFormat="1" applyFont="1" applyFill="1" applyBorder="1"/>
    <xf numFmtId="0" fontId="6" fillId="0" borderId="8" xfId="0" applyFont="1" applyBorder="1"/>
    <xf numFmtId="1" fontId="3" fillId="3" borderId="8" xfId="0" applyNumberFormat="1" applyFont="1" applyFill="1" applyBorder="1" applyAlignment="1">
      <alignment horizontal="right"/>
    </xf>
    <xf numFmtId="164" fontId="6" fillId="0" borderId="8" xfId="0" applyNumberFormat="1" applyFont="1" applyBorder="1"/>
    <xf numFmtId="9" fontId="6" fillId="0" borderId="8" xfId="0" applyNumberFormat="1" applyFont="1" applyBorder="1"/>
    <xf numFmtId="0" fontId="11" fillId="3" borderId="3" xfId="0" applyFont="1" applyFill="1" applyBorder="1"/>
    <xf numFmtId="3" fontId="11" fillId="3" borderId="5" xfId="0" applyNumberFormat="1" applyFont="1" applyFill="1" applyBorder="1" applyAlignment="1">
      <alignment horizontal="right"/>
    </xf>
    <xf numFmtId="164" fontId="12" fillId="17" borderId="5" xfId="0" applyNumberFormat="1" applyFont="1" applyFill="1" applyBorder="1" applyAlignment="1">
      <alignment horizontal="right"/>
    </xf>
    <xf numFmtId="0" fontId="6" fillId="0" borderId="9" xfId="0" applyFont="1" applyBorder="1"/>
    <xf numFmtId="1" fontId="6" fillId="0" borderId="9" xfId="0" applyNumberFormat="1" applyFont="1" applyBorder="1"/>
    <xf numFmtId="164" fontId="6" fillId="0" borderId="9" xfId="0" applyNumberFormat="1" applyFont="1" applyBorder="1"/>
    <xf numFmtId="166" fontId="6" fillId="0" borderId="2" xfId="0" applyNumberFormat="1" applyFont="1" applyBorder="1"/>
    <xf numFmtId="9" fontId="6" fillId="0" borderId="2" xfId="0" applyNumberFormat="1" applyFont="1" applyBorder="1"/>
    <xf numFmtId="1" fontId="6" fillId="0" borderId="2" xfId="0" applyNumberFormat="1" applyFont="1" applyBorder="1"/>
    <xf numFmtId="0" fontId="13" fillId="18" borderId="2" xfId="0" applyFont="1" applyFill="1" applyBorder="1" applyAlignment="1">
      <alignment horizontal="center"/>
    </xf>
    <xf numFmtId="9" fontId="3" fillId="19" borderId="5" xfId="0" applyNumberFormat="1" applyFont="1" applyFill="1" applyBorder="1" applyAlignment="1">
      <alignment horizontal="right"/>
    </xf>
    <xf numFmtId="166" fontId="3" fillId="10" borderId="2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9" fontId="4" fillId="7" borderId="2" xfId="0" applyNumberFormat="1" applyFont="1" applyFill="1" applyBorder="1" applyAlignment="1">
      <alignment horizontal="right" vertical="center"/>
    </xf>
    <xf numFmtId="165" fontId="4" fillId="7" borderId="2" xfId="0" applyNumberFormat="1" applyFont="1" applyFill="1" applyBorder="1" applyAlignment="1">
      <alignment horizontal="right" vertical="center"/>
    </xf>
    <xf numFmtId="3" fontId="4" fillId="7" borderId="2" xfId="0" applyNumberFormat="1" applyFont="1" applyFill="1" applyBorder="1" applyAlignment="1">
      <alignment horizontal="right" vertical="center"/>
    </xf>
    <xf numFmtId="9" fontId="3" fillId="20" borderId="5" xfId="0" applyNumberFormat="1" applyFont="1" applyFill="1" applyBorder="1" applyAlignment="1">
      <alignment horizontal="right"/>
    </xf>
    <xf numFmtId="9" fontId="3" fillId="21" borderId="5" xfId="0" applyNumberFormat="1" applyFont="1" applyFill="1" applyBorder="1" applyAlignment="1">
      <alignment horizontal="right"/>
    </xf>
    <xf numFmtId="166" fontId="6" fillId="5" borderId="2" xfId="0" applyNumberFormat="1" applyFont="1" applyFill="1" applyBorder="1" applyAlignment="1">
      <alignment horizontal="center"/>
    </xf>
    <xf numFmtId="9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164" fontId="3" fillId="22" borderId="5" xfId="0" applyNumberFormat="1" applyFont="1" applyFill="1" applyBorder="1" applyAlignment="1">
      <alignment horizontal="right"/>
    </xf>
    <xf numFmtId="164" fontId="5" fillId="22" borderId="5" xfId="0" applyNumberFormat="1" applyFont="1" applyFill="1" applyBorder="1" applyAlignment="1">
      <alignment horizontal="right"/>
    </xf>
    <xf numFmtId="1" fontId="3" fillId="10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5" fillId="3" borderId="10" xfId="0" applyFont="1" applyFill="1" applyBorder="1"/>
    <xf numFmtId="164" fontId="3" fillId="23" borderId="11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8" fillId="6" borderId="2" xfId="0" applyFont="1" applyFill="1" applyBorder="1" applyAlignment="1">
      <alignment horizontal="left" vertical="center"/>
    </xf>
    <xf numFmtId="164" fontId="6" fillId="0" borderId="2" xfId="0" applyNumberFormat="1" applyFont="1" applyBorder="1"/>
    <xf numFmtId="165" fontId="6" fillId="0" borderId="2" xfId="0" applyNumberFormat="1" applyFont="1" applyBorder="1"/>
    <xf numFmtId="0" fontId="14" fillId="24" borderId="8" xfId="0" applyFont="1" applyFill="1" applyBorder="1"/>
    <xf numFmtId="0" fontId="3" fillId="10" borderId="8" xfId="0" applyFont="1" applyFill="1" applyBorder="1" applyAlignment="1">
      <alignment horizontal="right"/>
    </xf>
    <xf numFmtId="0" fontId="3" fillId="25" borderId="8" xfId="0" applyFont="1" applyFill="1" applyBorder="1" applyAlignment="1">
      <alignment horizontal="right"/>
    </xf>
    <xf numFmtId="0" fontId="3" fillId="9" borderId="8" xfId="0" applyFont="1" applyFill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0" fontId="4" fillId="26" borderId="2" xfId="0" applyFont="1" applyFill="1" applyBorder="1" applyAlignment="1">
      <alignment horizontal="left"/>
    </xf>
    <xf numFmtId="1" fontId="15" fillId="27" borderId="1" xfId="0" applyNumberFormat="1" applyFont="1" applyFill="1" applyBorder="1"/>
    <xf numFmtId="1" fontId="15" fillId="27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166" fontId="6" fillId="0" borderId="0" xfId="0" applyNumberFormat="1" applyFont="1"/>
    <xf numFmtId="0" fontId="4" fillId="26" borderId="12" xfId="0" applyFont="1" applyFill="1" applyBorder="1" applyAlignment="1">
      <alignment horizontal="left"/>
    </xf>
    <xf numFmtId="1" fontId="15" fillId="27" borderId="13" xfId="0" applyNumberFormat="1" applyFont="1" applyFill="1" applyBorder="1"/>
    <xf numFmtId="1" fontId="15" fillId="27" borderId="13" xfId="0" applyNumberFormat="1" applyFont="1" applyFill="1" applyBorder="1" applyAlignment="1">
      <alignment horizontal="center" vertical="center" wrapText="1"/>
    </xf>
    <xf numFmtId="1" fontId="6" fillId="0" borderId="0" xfId="0" applyNumberFormat="1" applyFont="1"/>
    <xf numFmtId="0" fontId="16" fillId="28" borderId="0" xfId="0" applyFont="1" applyFill="1" applyAlignment="1">
      <alignment horizontal="center"/>
    </xf>
    <xf numFmtId="0" fontId="0" fillId="0" borderId="0" xfId="0"/>
    <xf numFmtId="0" fontId="17" fillId="2" borderId="2" xfId="0" applyFont="1" applyFill="1" applyBorder="1"/>
    <xf numFmtId="0" fontId="7" fillId="0" borderId="14" xfId="0" applyFont="1" applyBorder="1"/>
    <xf numFmtId="1" fontId="7" fillId="0" borderId="14" xfId="0" applyNumberFormat="1" applyFont="1" applyBorder="1"/>
    <xf numFmtId="9" fontId="7" fillId="0" borderId="14" xfId="0" applyNumberFormat="1" applyFont="1" applyBorder="1"/>
    <xf numFmtId="3" fontId="7" fillId="0" borderId="14" xfId="0" applyNumberFormat="1" applyFont="1" applyBorder="1"/>
    <xf numFmtId="0" fontId="18" fillId="28" borderId="0" xfId="0" applyFont="1" applyFill="1" applyAlignment="1">
      <alignment horizontal="center"/>
    </xf>
    <xf numFmtId="167" fontId="21" fillId="29" borderId="2" xfId="0" applyNumberFormat="1" applyFont="1" applyFill="1" applyBorder="1" applyAlignment="1">
      <alignment horizontal="right"/>
    </xf>
    <xf numFmtId="0" fontId="22" fillId="0" borderId="2" xfId="0" applyFont="1" applyBorder="1"/>
    <xf numFmtId="167" fontId="23" fillId="30" borderId="2" xfId="0" applyNumberFormat="1" applyFont="1" applyFill="1" applyBorder="1" applyAlignment="1">
      <alignment horizontal="center" vertical="center" wrapText="1"/>
    </xf>
    <xf numFmtId="49" fontId="23" fillId="30" borderId="2" xfId="0" applyNumberFormat="1" applyFont="1" applyFill="1" applyBorder="1" applyAlignment="1">
      <alignment horizontal="center" vertical="center" wrapText="1"/>
    </xf>
    <xf numFmtId="49" fontId="21" fillId="29" borderId="2" xfId="0" applyNumberFormat="1" applyFont="1" applyFill="1" applyBorder="1" applyAlignment="1">
      <alignment horizontal="left"/>
    </xf>
    <xf numFmtId="168" fontId="24" fillId="29" borderId="2" xfId="0" applyNumberFormat="1" applyFont="1" applyFill="1" applyBorder="1" applyAlignment="1">
      <alignment horizontal="right"/>
    </xf>
    <xf numFmtId="164" fontId="22" fillId="0" borderId="2" xfId="0" applyNumberFormat="1" applyFont="1" applyBorder="1"/>
    <xf numFmtId="3" fontId="21" fillId="3" borderId="2" xfId="0" applyNumberFormat="1" applyFont="1" applyFill="1" applyBorder="1" applyAlignment="1">
      <alignment horizontal="right"/>
    </xf>
    <xf numFmtId="9" fontId="22" fillId="0" borderId="2" xfId="0" applyNumberFormat="1" applyFont="1" applyBorder="1"/>
    <xf numFmtId="169" fontId="22" fillId="0" borderId="2" xfId="0" applyNumberFormat="1" applyFont="1" applyBorder="1"/>
    <xf numFmtId="166" fontId="22" fillId="0" borderId="2" xfId="0" applyNumberFormat="1" applyFont="1" applyBorder="1"/>
    <xf numFmtId="168" fontId="21" fillId="29" borderId="2" xfId="0" applyNumberFormat="1" applyFont="1" applyFill="1" applyBorder="1" applyAlignment="1">
      <alignment horizontal="right"/>
    </xf>
    <xf numFmtId="167" fontId="22" fillId="0" borderId="2" xfId="0" applyNumberFormat="1" applyFont="1" applyBorder="1"/>
    <xf numFmtId="0" fontId="25" fillId="0" borderId="2" xfId="0" applyFont="1" applyBorder="1"/>
    <xf numFmtId="49" fontId="26" fillId="3" borderId="2" xfId="0" applyNumberFormat="1" applyFont="1" applyFill="1" applyBorder="1" applyAlignment="1">
      <alignment horizontal="left" wrapText="1"/>
    </xf>
    <xf numFmtId="167" fontId="26" fillId="3" borderId="2" xfId="0" applyNumberFormat="1" applyFont="1" applyFill="1" applyBorder="1" applyAlignment="1">
      <alignment horizontal="right"/>
    </xf>
    <xf numFmtId="168" fontId="26" fillId="3" borderId="2" xfId="0" applyNumberFormat="1" applyFont="1" applyFill="1" applyBorder="1" applyAlignment="1">
      <alignment horizontal="right"/>
    </xf>
    <xf numFmtId="164" fontId="25" fillId="0" borderId="2" xfId="0" applyNumberFormat="1" applyFont="1" applyBorder="1"/>
    <xf numFmtId="3" fontId="26" fillId="3" borderId="2" xfId="0" applyNumberFormat="1" applyFont="1" applyFill="1" applyBorder="1" applyAlignment="1">
      <alignment horizontal="right"/>
    </xf>
    <xf numFmtId="9" fontId="25" fillId="0" borderId="2" xfId="0" applyNumberFormat="1" applyFont="1" applyBorder="1"/>
    <xf numFmtId="169" fontId="25" fillId="0" borderId="2" xfId="0" applyNumberFormat="1" applyFont="1" applyBorder="1"/>
    <xf numFmtId="49" fontId="21" fillId="3" borderId="0" xfId="0" applyNumberFormat="1" applyFont="1" applyFill="1" applyAlignment="1">
      <alignment horizontal="left" wrapText="1"/>
    </xf>
    <xf numFmtId="170" fontId="21" fillId="3" borderId="0" xfId="0" applyNumberFormat="1" applyFont="1" applyFill="1" applyAlignment="1">
      <alignment horizontal="right"/>
    </xf>
    <xf numFmtId="49" fontId="24" fillId="29" borderId="2" xfId="0" applyNumberFormat="1" applyFont="1" applyFill="1" applyBorder="1" applyAlignment="1">
      <alignment horizontal="left"/>
    </xf>
    <xf numFmtId="167" fontId="21" fillId="3" borderId="2" xfId="0" applyNumberFormat="1" applyFont="1" applyFill="1" applyBorder="1" applyAlignment="1">
      <alignment horizontal="right"/>
    </xf>
    <xf numFmtId="168" fontId="24" fillId="3" borderId="2" xfId="0" applyNumberFormat="1" applyFont="1" applyFill="1" applyBorder="1" applyAlignment="1">
      <alignment horizontal="right"/>
    </xf>
    <xf numFmtId="3" fontId="24" fillId="3" borderId="2" xfId="0" applyNumberFormat="1" applyFont="1" applyFill="1" applyBorder="1" applyAlignment="1">
      <alignment horizontal="right"/>
    </xf>
    <xf numFmtId="165" fontId="21" fillId="3" borderId="2" xfId="0" applyNumberFormat="1" applyFont="1" applyFill="1" applyBorder="1" applyAlignment="1">
      <alignment horizontal="right"/>
    </xf>
    <xf numFmtId="4" fontId="21" fillId="3" borderId="2" xfId="0" applyNumberFormat="1" applyFont="1" applyFill="1" applyBorder="1" applyAlignment="1">
      <alignment horizontal="right"/>
    </xf>
    <xf numFmtId="4" fontId="24" fillId="3" borderId="2" xfId="0" applyNumberFormat="1" applyFont="1" applyFill="1" applyBorder="1" applyAlignment="1">
      <alignment horizontal="right"/>
    </xf>
    <xf numFmtId="165" fontId="24" fillId="3" borderId="2" xfId="0" applyNumberFormat="1" applyFont="1" applyFill="1" applyBorder="1" applyAlignment="1">
      <alignment horizontal="right"/>
    </xf>
    <xf numFmtId="3" fontId="24" fillId="31" borderId="2" xfId="0" applyNumberFormat="1" applyFont="1" applyFill="1" applyBorder="1" applyAlignment="1">
      <alignment horizontal="right"/>
    </xf>
    <xf numFmtId="3" fontId="24" fillId="29" borderId="2" xfId="0" applyNumberFormat="1" applyFont="1" applyFill="1" applyBorder="1" applyAlignment="1">
      <alignment horizontal="right"/>
    </xf>
    <xf numFmtId="4" fontId="21" fillId="29" borderId="2" xfId="0" applyNumberFormat="1" applyFont="1" applyFill="1" applyBorder="1" applyAlignment="1">
      <alignment horizontal="right"/>
    </xf>
    <xf numFmtId="4" fontId="24" fillId="29" borderId="2" xfId="0" applyNumberFormat="1" applyFont="1" applyFill="1" applyBorder="1" applyAlignment="1">
      <alignment horizontal="right"/>
    </xf>
    <xf numFmtId="165" fontId="24" fillId="29" borderId="2" xfId="0" applyNumberFormat="1" applyFont="1" applyFill="1" applyBorder="1" applyAlignment="1">
      <alignment horizontal="right"/>
    </xf>
    <xf numFmtId="165" fontId="21" fillId="29" borderId="2" xfId="0" applyNumberFormat="1" applyFont="1" applyFill="1" applyBorder="1" applyAlignment="1">
      <alignment horizontal="right"/>
    </xf>
    <xf numFmtId="165" fontId="22" fillId="0" borderId="2" xfId="0" applyNumberFormat="1" applyFont="1" applyBorder="1"/>
    <xf numFmtId="9" fontId="22" fillId="0" borderId="0" xfId="0" applyNumberFormat="1" applyFont="1"/>
    <xf numFmtId="165" fontId="22" fillId="0" borderId="0" xfId="0" applyNumberFormat="1" applyFont="1"/>
    <xf numFmtId="49" fontId="21" fillId="29" borderId="15" xfId="0" applyNumberFormat="1" applyFont="1" applyFill="1" applyBorder="1" applyAlignment="1">
      <alignment horizontal="left"/>
    </xf>
    <xf numFmtId="167" fontId="21" fillId="29" borderId="16" xfId="0" applyNumberFormat="1" applyFont="1" applyFill="1" applyBorder="1" applyAlignment="1">
      <alignment horizontal="right"/>
    </xf>
    <xf numFmtId="168" fontId="24" fillId="29" borderId="16" xfId="0" applyNumberFormat="1" applyFont="1" applyFill="1" applyBorder="1" applyAlignment="1">
      <alignment horizontal="right"/>
    </xf>
    <xf numFmtId="164" fontId="22" fillId="0" borderId="0" xfId="0" applyNumberFormat="1" applyFont="1"/>
    <xf numFmtId="3" fontId="21" fillId="3" borderId="4" xfId="0" applyNumberFormat="1" applyFont="1" applyFill="1" applyBorder="1" applyAlignment="1">
      <alignment horizontal="right"/>
    </xf>
    <xf numFmtId="3" fontId="21" fillId="3" borderId="16" xfId="0" applyNumberFormat="1" applyFont="1" applyFill="1" applyBorder="1" applyAlignment="1">
      <alignment horizontal="right"/>
    </xf>
    <xf numFmtId="49" fontId="21" fillId="29" borderId="17" xfId="0" applyNumberFormat="1" applyFont="1" applyFill="1" applyBorder="1" applyAlignment="1">
      <alignment horizontal="left"/>
    </xf>
    <xf numFmtId="167" fontId="21" fillId="29" borderId="14" xfId="0" applyNumberFormat="1" applyFont="1" applyFill="1" applyBorder="1" applyAlignment="1">
      <alignment horizontal="right"/>
    </xf>
    <xf numFmtId="167" fontId="21" fillId="29" borderId="18" xfId="0" applyNumberFormat="1" applyFont="1" applyFill="1" applyBorder="1" applyAlignment="1">
      <alignment horizontal="right"/>
    </xf>
    <xf numFmtId="0" fontId="22" fillId="0" borderId="18" xfId="0" applyFont="1" applyBorder="1"/>
    <xf numFmtId="4" fontId="21" fillId="3" borderId="6" xfId="0" applyNumberFormat="1" applyFont="1" applyFill="1" applyBorder="1" applyAlignment="1">
      <alignment horizontal="right"/>
    </xf>
    <xf numFmtId="168" fontId="21" fillId="3" borderId="2" xfId="0" applyNumberFormat="1" applyFont="1" applyFill="1" applyBorder="1" applyAlignment="1">
      <alignment horizontal="right"/>
    </xf>
    <xf numFmtId="4" fontId="21" fillId="29" borderId="6" xfId="0" applyNumberFormat="1" applyFont="1" applyFill="1" applyBorder="1" applyAlignment="1">
      <alignment horizontal="right"/>
    </xf>
    <xf numFmtId="0" fontId="22" fillId="0" borderId="0" xfId="0" applyFont="1"/>
    <xf numFmtId="168" fontId="22" fillId="0" borderId="0" xfId="0" applyNumberFormat="1" applyFont="1"/>
    <xf numFmtId="168" fontId="21" fillId="29" borderId="16" xfId="0" applyNumberFormat="1" applyFont="1" applyFill="1" applyBorder="1" applyAlignment="1">
      <alignment horizontal="right"/>
    </xf>
    <xf numFmtId="49" fontId="27" fillId="3" borderId="2" xfId="0" applyNumberFormat="1" applyFont="1" applyFill="1" applyBorder="1" applyAlignment="1">
      <alignment horizontal="right"/>
    </xf>
    <xf numFmtId="49" fontId="28" fillId="3" borderId="2" xfId="0" applyNumberFormat="1" applyFont="1" applyFill="1" applyBorder="1" applyAlignment="1">
      <alignment horizontal="right"/>
    </xf>
    <xf numFmtId="49" fontId="27" fillId="29" borderId="2" xfId="0" applyNumberFormat="1" applyFont="1" applyFill="1" applyBorder="1" applyAlignment="1">
      <alignment horizontal="right"/>
    </xf>
    <xf numFmtId="49" fontId="28" fillId="29" borderId="2" xfId="0" applyNumberFormat="1" applyFont="1" applyFill="1" applyBorder="1" applyAlignment="1">
      <alignment horizontal="right"/>
    </xf>
    <xf numFmtId="168" fontId="28" fillId="3" borderId="2" xfId="0" applyNumberFormat="1" applyFont="1" applyFill="1" applyBorder="1" applyAlignment="1">
      <alignment horizontal="right"/>
    </xf>
    <xf numFmtId="168" fontId="28" fillId="29" borderId="2" xfId="0" applyNumberFormat="1" applyFont="1" applyFill="1" applyBorder="1" applyAlignment="1">
      <alignment horizontal="right"/>
    </xf>
    <xf numFmtId="168" fontId="22" fillId="0" borderId="2" xfId="0" applyNumberFormat="1" applyFont="1" applyBorder="1"/>
    <xf numFmtId="49" fontId="29" fillId="29" borderId="0" xfId="0" applyNumberFormat="1" applyFont="1" applyFill="1" applyAlignment="1">
      <alignment horizontal="center"/>
    </xf>
    <xf numFmtId="0" fontId="30" fillId="0" borderId="0" xfId="0" applyFont="1"/>
    <xf numFmtId="49" fontId="21" fillId="29" borderId="2" xfId="0" applyNumberFormat="1" applyFont="1" applyFill="1" applyBorder="1"/>
    <xf numFmtId="49" fontId="24" fillId="29" borderId="3" xfId="0" applyNumberFormat="1" applyFont="1" applyFill="1" applyBorder="1"/>
    <xf numFmtId="49" fontId="24" fillId="29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NPA%_20 and NPA%_23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'BANKING DATA_23'!$D$164</c:f>
              <c:strCache>
                <c:ptCount val="1"/>
                <c:pt idx="0">
                  <c:v>NPA%_20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'BANKING DATA_23'!$C$165:$C$176</c:f>
              <c:strCache>
                <c:ptCount val="12"/>
                <c:pt idx="0">
                  <c:v>AU SMALL FINANCE BANK LIMITED</c:v>
                </c:pt>
                <c:pt idx="1">
                  <c:v>EQUITAS SMALL FINANCE BANK LIMITED</c:v>
                </c:pt>
                <c:pt idx="2">
                  <c:v>UJJIVAN SMALL FINANCE BANK LIMITED</c:v>
                </c:pt>
                <c:pt idx="3">
                  <c:v>ESAF SMALL FINANCE BANK LIMITED</c:v>
                </c:pt>
                <c:pt idx="4">
                  <c:v>JANA SMALL FINANCE BANK LIMITED</c:v>
                </c:pt>
                <c:pt idx="5">
                  <c:v>UTKARSH SMALL FINANCE BANK LIMITED</c:v>
                </c:pt>
                <c:pt idx="6">
                  <c:v>FINCARE SMALL FINANCE BANK LIMITED</c:v>
                </c:pt>
                <c:pt idx="7">
                  <c:v>SURYODAY SMALL FINANCE BANK LIMITED</c:v>
                </c:pt>
                <c:pt idx="8">
                  <c:v>CAPITAL SMALL FINANCE BANK LIMITED</c:v>
                </c:pt>
                <c:pt idx="9">
                  <c:v>Unity Small Finance Bank Limited</c:v>
                </c:pt>
                <c:pt idx="10">
                  <c:v>NORTH EAST SMALL FINANCE BANK LIMITED</c:v>
                </c:pt>
                <c:pt idx="11">
                  <c:v>SHIVALIK SMALL FINANCE BANK LIMITED</c:v>
                </c:pt>
              </c:strCache>
            </c:strRef>
          </c:cat>
          <c:val>
            <c:numRef>
              <c:f>'BANKING DATA_23'!$D$165:$D$176</c:f>
              <c:numCache>
                <c:formatCode>#,##0.00</c:formatCode>
                <c:ptCount val="12"/>
                <c:pt idx="0">
                  <c:v>0.81</c:v>
                </c:pt>
                <c:pt idx="1">
                  <c:v>1.25</c:v>
                </c:pt>
                <c:pt idx="2">
                  <c:v>1.67</c:v>
                </c:pt>
                <c:pt idx="3">
                  <c:v>0.64</c:v>
                </c:pt>
                <c:pt idx="4">
                  <c:v>0.41</c:v>
                </c:pt>
                <c:pt idx="5">
                  <c:v>1.41</c:v>
                </c:pt>
                <c:pt idx="6">
                  <c:v>1.2</c:v>
                </c:pt>
                <c:pt idx="8">
                  <c:v>0.56999999999999995</c:v>
                </c:pt>
                <c:pt idx="9">
                  <c:v>0.2</c:v>
                </c:pt>
                <c:pt idx="11">
                  <c:v>0.18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E1C-44DC-8799-782F95873F02}"/>
            </c:ext>
          </c:extLst>
        </c:ser>
        <c:ser>
          <c:idx val="1"/>
          <c:order val="1"/>
          <c:tx>
            <c:strRef>
              <c:f>'BANKING DATA_23'!$E$164</c:f>
              <c:strCache>
                <c:ptCount val="1"/>
                <c:pt idx="0">
                  <c:v>NPA%_23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'BANKING DATA_23'!$C$165:$C$176</c:f>
              <c:strCache>
                <c:ptCount val="12"/>
                <c:pt idx="0">
                  <c:v>AU SMALL FINANCE BANK LIMITED</c:v>
                </c:pt>
                <c:pt idx="1">
                  <c:v>EQUITAS SMALL FINANCE BANK LIMITED</c:v>
                </c:pt>
                <c:pt idx="2">
                  <c:v>UJJIVAN SMALL FINANCE BANK LIMITED</c:v>
                </c:pt>
                <c:pt idx="3">
                  <c:v>ESAF SMALL FINANCE BANK LIMITED</c:v>
                </c:pt>
                <c:pt idx="4">
                  <c:v>JANA SMALL FINANCE BANK LIMITED</c:v>
                </c:pt>
                <c:pt idx="5">
                  <c:v>UTKARSH SMALL FINANCE BANK LIMITED</c:v>
                </c:pt>
                <c:pt idx="6">
                  <c:v>FINCARE SMALL FINANCE BANK LIMITED</c:v>
                </c:pt>
                <c:pt idx="7">
                  <c:v>SURYODAY SMALL FINANCE BANK LIMITED</c:v>
                </c:pt>
                <c:pt idx="8">
                  <c:v>CAPITAL SMALL FINANCE BANK LIMITED</c:v>
                </c:pt>
                <c:pt idx="9">
                  <c:v>Unity Small Finance Bank Limited</c:v>
                </c:pt>
                <c:pt idx="10">
                  <c:v>NORTH EAST SMALL FINANCE BANK LIMITED</c:v>
                </c:pt>
                <c:pt idx="11">
                  <c:v>SHIVALIK SMALL FINANCE BANK LIMITED</c:v>
                </c:pt>
              </c:strCache>
            </c:strRef>
          </c:cat>
          <c:val>
            <c:numRef>
              <c:f>'BANKING DATA_23'!$E$165:$E$176</c:f>
              <c:numCache>
                <c:formatCode>#,##0.0</c:formatCode>
                <c:ptCount val="12"/>
                <c:pt idx="0">
                  <c:v>0.42</c:v>
                </c:pt>
                <c:pt idx="1">
                  <c:v>1.36</c:v>
                </c:pt>
                <c:pt idx="2">
                  <c:v>1.21</c:v>
                </c:pt>
                <c:pt idx="3">
                  <c:v>1.1299999999999999</c:v>
                </c:pt>
                <c:pt idx="4">
                  <c:v>3.55</c:v>
                </c:pt>
                <c:pt idx="5">
                  <c:v>2.64</c:v>
                </c:pt>
                <c:pt idx="6">
                  <c:v>1.71</c:v>
                </c:pt>
                <c:pt idx="7">
                  <c:v>1.1399999999999999</c:v>
                </c:pt>
                <c:pt idx="8">
                  <c:v>1.55</c:v>
                </c:pt>
                <c:pt idx="9">
                  <c:v>0.09</c:v>
                </c:pt>
                <c:pt idx="10">
                  <c:v>0.34</c:v>
                </c:pt>
                <c:pt idx="11">
                  <c:v>0.39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E1C-44DC-8799-782F95873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016972"/>
        <c:axId val="1250232250"/>
      </c:barChart>
      <c:catAx>
        <c:axId val="147701697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SMALL FINANCE BANKS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0232250"/>
        <c:crosses val="autoZero"/>
        <c:auto val="1"/>
        <c:lblAlgn val="ctr"/>
        <c:lblOffset val="100"/>
        <c:noMultiLvlLbl val="1"/>
      </c:catAx>
      <c:valAx>
        <c:axId val="125023225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701697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49</xdr:row>
      <xdr:rowOff>-142875</xdr:rowOff>
    </xdr:from>
    <xdr:ext cx="7334250" cy="73342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9E37019-0B3C-42B6-B062-7DB277B5EE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9565005"/>
          <a:ext cx="7334250" cy="7334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159</xdr:row>
      <xdr:rowOff>95250</xdr:rowOff>
    </xdr:from>
    <xdr:ext cx="5715000" cy="5743575"/>
    <xdr:graphicFrame macro="">
      <xdr:nvGraphicFramePr>
        <xdr:cNvPr id="2" name="Chart 21" title="Chart">
          <a:extLst>
            <a:ext uri="{FF2B5EF4-FFF2-40B4-BE49-F238E27FC236}">
              <a16:creationId xmlns:a16="http://schemas.microsoft.com/office/drawing/2014/main" id="{180017BF-07D5-4A2C-8CBA-3FFF4929F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ublic%20Sector%20Bank%20(3).xlsx" TargetMode="External"/><Relationship Id="rId1" Type="http://schemas.openxmlformats.org/officeDocument/2006/relationships/externalLinkPath" Target="/Users/profi/Downloads/Public%20Sector%20Bank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SUBANK"/>
      <sheetName val="SBIN"/>
      <sheetName val="BANKING IN INDIA"/>
      <sheetName val="Sheet2"/>
      <sheetName val="Copy of BANKING DATA"/>
    </sheetNames>
    <sheetDataSet>
      <sheetData sheetId="0"/>
      <sheetData sheetId="1"/>
      <sheetData sheetId="2"/>
      <sheetData sheetId="3"/>
      <sheetData sheetId="4">
        <row r="164">
          <cell r="D164" t="str">
            <v>NPA%_20</v>
          </cell>
          <cell r="E164" t="str">
            <v>NPA%_23</v>
          </cell>
        </row>
        <row r="165">
          <cell r="C165" t="str">
            <v>AU SMALL FINANCE BANK LIMITED</v>
          </cell>
          <cell r="D165">
            <v>0.81</v>
          </cell>
          <cell r="E165">
            <v>0.42</v>
          </cell>
        </row>
        <row r="166">
          <cell r="C166" t="str">
            <v>EQUITAS SMALL FINANCE BANK LIMITED</v>
          </cell>
          <cell r="D166">
            <v>1.25</v>
          </cell>
          <cell r="E166">
            <v>1.36</v>
          </cell>
        </row>
        <row r="167">
          <cell r="C167" t="str">
            <v>UJJIVAN SMALL FINANCE BANK LIMITED</v>
          </cell>
          <cell r="D167">
            <v>1.67</v>
          </cell>
          <cell r="E167">
            <v>1.21</v>
          </cell>
        </row>
        <row r="168">
          <cell r="C168" t="str">
            <v>ESAF SMALL FINANCE BANK LIMITED</v>
          </cell>
          <cell r="D168">
            <v>0.64</v>
          </cell>
          <cell r="E168">
            <v>1.1299999999999999</v>
          </cell>
        </row>
        <row r="169">
          <cell r="C169" t="str">
            <v>JANA SMALL FINANCE BANK LIMITED</v>
          </cell>
          <cell r="D169">
            <v>0.41</v>
          </cell>
          <cell r="E169">
            <v>3.55</v>
          </cell>
        </row>
        <row r="170">
          <cell r="C170" t="str">
            <v>UTKARSH SMALL FINANCE BANK LIMITED</v>
          </cell>
          <cell r="D170">
            <v>1.41</v>
          </cell>
          <cell r="E170">
            <v>2.64</v>
          </cell>
        </row>
        <row r="171">
          <cell r="C171" t="str">
            <v>FINCARE SMALL FINANCE BANK LIMITED</v>
          </cell>
          <cell r="D171">
            <v>1.2</v>
          </cell>
          <cell r="E171">
            <v>1.71</v>
          </cell>
        </row>
        <row r="172">
          <cell r="C172" t="str">
            <v>SURYODAY SMALL FINANCE BANK LIMITED</v>
          </cell>
          <cell r="E172">
            <v>1.1399999999999999</v>
          </cell>
        </row>
        <row r="173">
          <cell r="C173" t="str">
            <v>CAPITAL SMALL FINANCE BANK LIMITED</v>
          </cell>
          <cell r="D173">
            <v>0.56999999999999995</v>
          </cell>
          <cell r="E173">
            <v>1.55</v>
          </cell>
        </row>
        <row r="174">
          <cell r="C174" t="str">
            <v>Unity Small Finance Bank Limited</v>
          </cell>
          <cell r="D174">
            <v>0.2</v>
          </cell>
          <cell r="E174">
            <v>0.09</v>
          </cell>
        </row>
        <row r="175">
          <cell r="C175" t="str">
            <v>NORTH EAST SMALL FINANCE BANK LIMITED</v>
          </cell>
          <cell r="E175">
            <v>0.34</v>
          </cell>
        </row>
        <row r="176">
          <cell r="C176" t="str">
            <v>SHIVALIK SMALL FINANCE BANK LIMITED</v>
          </cell>
          <cell r="D176">
            <v>0.18</v>
          </cell>
          <cell r="E176">
            <v>0.39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ofitfromit.in/" TargetMode="Externa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9A4F-ECFB-4CA0-BE5D-1B459E0CBA18}">
  <dimension ref="A1:AI51"/>
  <sheetViews>
    <sheetView showGridLines="0" tabSelected="1" workbookViewId="0"/>
  </sheetViews>
  <sheetFormatPr defaultColWidth="12.6640625" defaultRowHeight="15.75" customHeight="1" x14ac:dyDescent="0.3"/>
  <cols>
    <col min="1" max="1" width="6.33203125" customWidth="1"/>
    <col min="2" max="2" width="13.88671875" customWidth="1"/>
    <col min="3" max="3" width="10.44140625" customWidth="1"/>
    <col min="4" max="4" width="9.33203125" customWidth="1"/>
    <col min="5" max="5" width="18.33203125" customWidth="1"/>
    <col min="6" max="6" width="7.33203125" customWidth="1"/>
    <col min="7" max="7" width="13.33203125" customWidth="1"/>
    <col min="8" max="8" width="8" customWidth="1"/>
    <col min="9" max="9" width="10.88671875" customWidth="1"/>
    <col min="10" max="10" width="9.6640625" customWidth="1"/>
    <col min="11" max="11" width="10" customWidth="1"/>
    <col min="12" max="12" width="12.88671875" customWidth="1"/>
    <col min="13" max="13" width="7.88671875" customWidth="1"/>
    <col min="15" max="15" width="8.88671875" customWidth="1"/>
    <col min="16" max="16" width="10.21875" customWidth="1"/>
    <col min="17" max="17" width="14.88671875" customWidth="1"/>
    <col min="18" max="18" width="17.109375" customWidth="1"/>
    <col min="19" max="19" width="17.44140625" customWidth="1"/>
    <col min="20" max="20" width="11.6640625" customWidth="1"/>
    <col min="21" max="21" width="9.6640625" customWidth="1"/>
    <col min="22" max="22" width="9.21875" customWidth="1"/>
    <col min="23" max="23" width="12.33203125" customWidth="1"/>
    <col min="24" max="24" width="10.6640625" customWidth="1"/>
    <col min="27" max="27" width="12.88671875" customWidth="1"/>
    <col min="28" max="28" width="11.77734375" customWidth="1"/>
    <col min="29" max="29" width="9.6640625" customWidth="1"/>
    <col min="30" max="30" width="11.77734375" customWidth="1"/>
    <col min="31" max="32" width="9" customWidth="1"/>
    <col min="33" max="33" width="6" customWidth="1"/>
    <col min="34" max="34" width="8.109375" customWidth="1"/>
    <col min="35" max="47" width="7.6640625" customWidth="1"/>
  </cols>
  <sheetData>
    <row r="1" spans="1:31" ht="15.75" customHeight="1" x14ac:dyDescent="0.3">
      <c r="B1" s="1" t="s">
        <v>0</v>
      </c>
      <c r="E1" s="1" t="s">
        <v>1</v>
      </c>
      <c r="H1" s="1" t="s">
        <v>2</v>
      </c>
      <c r="Q1" s="1" t="s">
        <v>3</v>
      </c>
      <c r="R1" s="2"/>
      <c r="S1" s="2"/>
      <c r="T1" s="2"/>
    </row>
    <row r="2" spans="1:31" ht="15.75" customHeight="1" x14ac:dyDescent="0.3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4" t="s">
        <v>21</v>
      </c>
      <c r="S2" s="4" t="s">
        <v>22</v>
      </c>
      <c r="T2" s="4" t="s">
        <v>23</v>
      </c>
    </row>
    <row r="3" spans="1:31" ht="15.75" customHeight="1" x14ac:dyDescent="0.3">
      <c r="B3" s="3" t="s">
        <v>24</v>
      </c>
      <c r="C3" s="5">
        <f ca="1">IFERROR(__xludf.DUMMYFUNCTION("GOOGLEFINANCE(""NSE:""&amp;B3,""PRICE"")"),817)</f>
        <v>817</v>
      </c>
      <c r="D3" s="5">
        <f ca="1">IFERROR(__xludf.DUMMYFUNCTION("GOOGLEFINANCE(""NSE:""&amp;B3,""MARKETCAP"")/10000000"),728193.5401658)</f>
        <v>728193.54016580002</v>
      </c>
      <c r="E3" s="6">
        <v>594574</v>
      </c>
      <c r="F3" s="6">
        <v>68138</v>
      </c>
      <c r="G3" s="6">
        <v>75.17</v>
      </c>
      <c r="H3" s="5">
        <v>892</v>
      </c>
      <c r="I3" s="7">
        <v>414047</v>
      </c>
      <c r="J3" s="7">
        <v>4916077</v>
      </c>
      <c r="K3" s="7">
        <v>639610</v>
      </c>
      <c r="L3" s="8">
        <v>3767535</v>
      </c>
      <c r="M3" s="7">
        <v>6733779</v>
      </c>
      <c r="N3" s="7">
        <v>1</v>
      </c>
      <c r="O3" s="9">
        <v>225452</v>
      </c>
      <c r="P3" s="9">
        <v>232296</v>
      </c>
      <c r="Q3" s="10">
        <v>21632</v>
      </c>
      <c r="R3" s="11">
        <v>-4251</v>
      </c>
      <c r="S3" s="11">
        <v>-9896</v>
      </c>
      <c r="T3" s="11">
        <f t="shared" ref="T3:T4" si="0">SUM(Q3:S3)</f>
        <v>7485</v>
      </c>
    </row>
    <row r="4" spans="1:31" ht="15.75" customHeight="1" x14ac:dyDescent="0.3">
      <c r="B4" s="12" t="s">
        <v>25</v>
      </c>
      <c r="C4" s="13">
        <v>752</v>
      </c>
      <c r="D4" s="13">
        <f>C4*(H4/1)</f>
        <v>670784</v>
      </c>
      <c r="E4" s="14">
        <f t="shared" ref="E4:F4" si="1">D33</f>
        <v>473373</v>
      </c>
      <c r="F4" s="14">
        <f t="shared" si="1"/>
        <v>56558</v>
      </c>
      <c r="G4" s="14">
        <f>G33</f>
        <v>62.35</v>
      </c>
      <c r="H4" s="13">
        <v>892</v>
      </c>
      <c r="I4" s="13">
        <v>358039</v>
      </c>
      <c r="J4" s="7">
        <v>4423778</v>
      </c>
      <c r="K4" s="13">
        <v>521152</v>
      </c>
      <c r="L4" s="8">
        <v>3269252</v>
      </c>
      <c r="M4" s="15">
        <v>5954418</v>
      </c>
      <c r="N4" s="15">
        <v>1</v>
      </c>
      <c r="O4" s="15"/>
      <c r="P4" s="15">
        <v>235858</v>
      </c>
      <c r="Q4" s="10">
        <v>-86013</v>
      </c>
      <c r="R4" s="11">
        <v>-4043</v>
      </c>
      <c r="S4" s="11">
        <v>6386</v>
      </c>
      <c r="T4" s="11">
        <f t="shared" si="0"/>
        <v>-83670</v>
      </c>
    </row>
    <row r="5" spans="1:31" ht="15.75" customHeight="1" x14ac:dyDescent="0.3">
      <c r="B5" s="16" t="s">
        <v>26</v>
      </c>
      <c r="C5" s="17">
        <f t="shared" ref="C5:N5" ca="1" si="2">(C3/C4)-1</f>
        <v>8.6436170212766061E-2</v>
      </c>
      <c r="D5" s="17">
        <f t="shared" ca="1" si="2"/>
        <v>8.5585732763154843E-2</v>
      </c>
      <c r="E5" s="17">
        <f t="shared" si="2"/>
        <v>0.25603699408289016</v>
      </c>
      <c r="F5" s="17">
        <f t="shared" si="2"/>
        <v>0.20474557091834922</v>
      </c>
      <c r="G5" s="17">
        <f t="shared" si="2"/>
        <v>0.20561347233360072</v>
      </c>
      <c r="H5" s="17">
        <f t="shared" si="2"/>
        <v>0</v>
      </c>
      <c r="I5" s="17">
        <f t="shared" si="2"/>
        <v>0.15642988612972331</v>
      </c>
      <c r="J5" s="17">
        <f t="shared" si="2"/>
        <v>0.11128474349300532</v>
      </c>
      <c r="K5" s="17">
        <f t="shared" si="2"/>
        <v>0.22730028859142815</v>
      </c>
      <c r="L5" s="17">
        <f t="shared" si="2"/>
        <v>0.15241498666973352</v>
      </c>
      <c r="M5" s="17">
        <f t="shared" si="2"/>
        <v>0.13088785503469857</v>
      </c>
      <c r="N5" s="17">
        <f t="shared" si="2"/>
        <v>0</v>
      </c>
      <c r="O5" s="17"/>
      <c r="P5" s="18">
        <f>P3-P4</f>
        <v>-3562</v>
      </c>
      <c r="Q5" s="17">
        <f t="shared" ref="Q5:T5" si="3">(Q3/Q4)-1</f>
        <v>-1.2514968667527002</v>
      </c>
      <c r="R5" s="17">
        <f t="shared" si="3"/>
        <v>5.1446945337620509E-2</v>
      </c>
      <c r="S5" s="17">
        <f t="shared" si="3"/>
        <v>-2.5496398371437516</v>
      </c>
      <c r="T5" s="17">
        <f t="shared" si="3"/>
        <v>-1.0894585873072786</v>
      </c>
    </row>
    <row r="7" spans="1:31" ht="15.75" customHeight="1" x14ac:dyDescent="0.3"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31" ht="15.75" customHeight="1" x14ac:dyDescent="0.3">
      <c r="B8" s="19" t="s">
        <v>26</v>
      </c>
      <c r="C8" s="20">
        <f>U12</f>
        <v>0.25602372733840606</v>
      </c>
      <c r="D8" s="21">
        <f>S20</f>
        <v>0.11459969658949096</v>
      </c>
      <c r="E8" s="22">
        <f>S19</f>
        <v>2.24E-2</v>
      </c>
      <c r="F8" s="21">
        <v>0.19400000000000001</v>
      </c>
      <c r="G8" s="23">
        <f>F3/(I3+H3)</f>
        <v>0.16421208900585388</v>
      </c>
      <c r="H8" s="24">
        <f>F3/M3</f>
        <v>1.0118835203828341E-2</v>
      </c>
      <c r="I8" s="25">
        <f ca="1">C3/G3</f>
        <v>10.868697618730877</v>
      </c>
      <c r="J8" s="22">
        <f ca="1">G3/C3</f>
        <v>9.2007343941248473E-2</v>
      </c>
      <c r="K8" s="25">
        <f>19/19</f>
        <v>1</v>
      </c>
      <c r="L8" s="26">
        <v>364</v>
      </c>
      <c r="M8" s="25">
        <f ca="1">C3/L8</f>
        <v>2.2445054945054945</v>
      </c>
    </row>
    <row r="10" spans="1:31" ht="15.75" customHeight="1" x14ac:dyDescent="0.3">
      <c r="A10" s="27" t="s">
        <v>39</v>
      </c>
      <c r="B10" s="28" t="s">
        <v>27</v>
      </c>
      <c r="C10" s="28" t="s">
        <v>15</v>
      </c>
      <c r="D10" s="28" t="s">
        <v>40</v>
      </c>
      <c r="E10" s="28" t="s">
        <v>41</v>
      </c>
      <c r="F10" s="28" t="s">
        <v>26</v>
      </c>
      <c r="G10" s="28" t="s">
        <v>10</v>
      </c>
      <c r="H10" s="28" t="s">
        <v>26</v>
      </c>
      <c r="I10" s="28" t="s">
        <v>42</v>
      </c>
      <c r="J10" s="28" t="s">
        <v>43</v>
      </c>
      <c r="K10" s="28" t="s">
        <v>44</v>
      </c>
      <c r="L10" s="28" t="s">
        <v>45</v>
      </c>
      <c r="M10" s="28" t="s">
        <v>46</v>
      </c>
      <c r="N10" s="28" t="s">
        <v>47</v>
      </c>
      <c r="O10" s="28" t="s">
        <v>48</v>
      </c>
      <c r="P10" s="28" t="s">
        <v>49</v>
      </c>
      <c r="R10" s="29" t="s">
        <v>50</v>
      </c>
      <c r="S10" s="29" t="s">
        <v>51</v>
      </c>
      <c r="T10" s="29" t="s">
        <v>52</v>
      </c>
      <c r="U10" s="29" t="s">
        <v>53</v>
      </c>
      <c r="V10" s="30"/>
      <c r="W10" s="3" t="s">
        <v>54</v>
      </c>
      <c r="X10" s="3" t="s">
        <v>54</v>
      </c>
      <c r="Y10" s="3" t="s">
        <v>55</v>
      </c>
      <c r="Z10" s="3" t="s">
        <v>53</v>
      </c>
      <c r="AB10" s="3" t="s">
        <v>50</v>
      </c>
      <c r="AC10" s="3" t="s">
        <v>56</v>
      </c>
      <c r="AD10" s="3" t="s">
        <v>57</v>
      </c>
      <c r="AE10" s="3" t="s">
        <v>53</v>
      </c>
    </row>
    <row r="11" spans="1:31" ht="15.75" customHeight="1" x14ac:dyDescent="0.3">
      <c r="B11" s="31" t="s">
        <v>58</v>
      </c>
      <c r="C11" s="32"/>
      <c r="D11" s="32">
        <v>30021</v>
      </c>
      <c r="E11" s="32">
        <v>1604</v>
      </c>
      <c r="F11" s="32"/>
      <c r="G11" s="33">
        <v>30.48</v>
      </c>
      <c r="H11" s="32"/>
      <c r="I11" s="34">
        <f t="shared" ref="I11:I24" si="4">E11/D11</f>
        <v>5.3429266180340426E-2</v>
      </c>
      <c r="J11" s="32"/>
      <c r="K11" s="32"/>
      <c r="L11" s="32">
        <v>276</v>
      </c>
      <c r="M11" s="32">
        <v>155</v>
      </c>
      <c r="N11" s="32"/>
      <c r="O11" s="33">
        <f t="shared" ref="O11:O34" si="5">L11/G11</f>
        <v>9.0551181102362204</v>
      </c>
      <c r="P11" s="33">
        <f t="shared" ref="P11:P34" si="6">M11/G11</f>
        <v>5.0853018372703414</v>
      </c>
      <c r="R11" s="35" t="s">
        <v>15</v>
      </c>
      <c r="S11" s="8">
        <v>3784272</v>
      </c>
      <c r="T11" s="8">
        <v>3267902</v>
      </c>
      <c r="U11" s="36">
        <f t="shared" ref="U11:U18" si="7">(S11/T11)^(1/1)-1</f>
        <v>0.15801269438312415</v>
      </c>
      <c r="V11" s="37"/>
      <c r="W11" s="35" t="s">
        <v>15</v>
      </c>
      <c r="X11" s="8">
        <v>3784272</v>
      </c>
      <c r="Y11" s="8">
        <v>3267902</v>
      </c>
      <c r="Z11" s="36">
        <f t="shared" ref="Z11:Z18" si="8">(X11/Y11)^(1/1)-1</f>
        <v>0.15801269438312415</v>
      </c>
      <c r="AB11" s="35" t="s">
        <v>15</v>
      </c>
      <c r="AC11" s="8">
        <v>3584252</v>
      </c>
      <c r="AD11" s="8">
        <v>3133565</v>
      </c>
      <c r="AE11" s="36">
        <f t="shared" ref="AE11:AE18" si="9">(AC11/AD11)^(1/1)-1</f>
        <v>0.14382564267854669</v>
      </c>
    </row>
    <row r="12" spans="1:31" ht="15.75" customHeight="1" x14ac:dyDescent="0.3">
      <c r="B12" s="31" t="s">
        <v>59</v>
      </c>
      <c r="C12" s="32"/>
      <c r="D12" s="32">
        <v>33985</v>
      </c>
      <c r="E12" s="32">
        <v>2432</v>
      </c>
      <c r="F12" s="34">
        <f t="shared" ref="F12:F28" si="10">(E12/E11)^(1/1)-1</f>
        <v>0.51620947630922687</v>
      </c>
      <c r="G12" s="33">
        <v>46.2</v>
      </c>
      <c r="H12" s="34">
        <f t="shared" ref="H12:H34" si="11">(G12/G11)^(1/1)-1</f>
        <v>0.51574803149606296</v>
      </c>
      <c r="I12" s="34">
        <f t="shared" si="4"/>
        <v>7.1560982786523467E-2</v>
      </c>
      <c r="J12" s="32"/>
      <c r="K12" s="32"/>
      <c r="L12" s="32">
        <v>265</v>
      </c>
      <c r="M12" s="32">
        <v>140</v>
      </c>
      <c r="N12" s="32"/>
      <c r="O12" s="33">
        <f t="shared" si="5"/>
        <v>5.7359307359307357</v>
      </c>
      <c r="P12" s="33">
        <f t="shared" si="6"/>
        <v>3.0303030303030303</v>
      </c>
      <c r="R12" s="35" t="s">
        <v>40</v>
      </c>
      <c r="S12" s="8">
        <v>594574</v>
      </c>
      <c r="T12" s="8">
        <v>473378</v>
      </c>
      <c r="U12" s="36">
        <f t="shared" si="7"/>
        <v>0.25602372733840606</v>
      </c>
      <c r="V12" s="37"/>
      <c r="W12" s="35" t="s">
        <v>40</v>
      </c>
      <c r="X12" s="8">
        <v>164914</v>
      </c>
      <c r="Y12" s="8">
        <v>136852</v>
      </c>
      <c r="Z12" s="36">
        <f t="shared" si="8"/>
        <v>0.20505363458334558</v>
      </c>
      <c r="AB12" s="35" t="s">
        <v>40</v>
      </c>
      <c r="AC12" s="8">
        <v>429660</v>
      </c>
      <c r="AD12" s="8">
        <v>336525</v>
      </c>
      <c r="AE12" s="36">
        <f t="shared" si="9"/>
        <v>0.2767550702028081</v>
      </c>
    </row>
    <row r="13" spans="1:31" ht="15.75" customHeight="1" x14ac:dyDescent="0.3">
      <c r="B13" s="31" t="s">
        <v>60</v>
      </c>
      <c r="C13" s="38">
        <v>120806</v>
      </c>
      <c r="D13" s="38">
        <v>36827.279999999999</v>
      </c>
      <c r="E13" s="38">
        <v>3105</v>
      </c>
      <c r="F13" s="34">
        <f t="shared" si="10"/>
        <v>0.27672697368421062</v>
      </c>
      <c r="G13" s="33">
        <v>59</v>
      </c>
      <c r="H13" s="34">
        <f t="shared" si="11"/>
        <v>0.277056277056277</v>
      </c>
      <c r="I13" s="34">
        <f t="shared" si="4"/>
        <v>8.4312498778079725E-2</v>
      </c>
      <c r="J13" s="32"/>
      <c r="K13" s="38">
        <v>8.5</v>
      </c>
      <c r="L13" s="38">
        <v>316.64999999999998</v>
      </c>
      <c r="M13" s="38">
        <v>212.6</v>
      </c>
      <c r="N13" s="34">
        <f t="shared" ref="N13:N34" si="12">K13/G13</f>
        <v>0.1440677966101695</v>
      </c>
      <c r="O13" s="33">
        <f t="shared" si="5"/>
        <v>5.3669491525423725</v>
      </c>
      <c r="P13" s="33">
        <f t="shared" si="6"/>
        <v>3.6033898305084744</v>
      </c>
      <c r="R13" s="35" t="s">
        <v>61</v>
      </c>
      <c r="S13" s="8">
        <v>488529</v>
      </c>
      <c r="T13" s="8">
        <v>379795</v>
      </c>
      <c r="U13" s="39">
        <f t="shared" si="7"/>
        <v>0.28629655472030957</v>
      </c>
      <c r="V13" s="40"/>
      <c r="W13" s="35" t="s">
        <v>61</v>
      </c>
      <c r="X13" s="8">
        <v>129281</v>
      </c>
      <c r="Y13" s="8">
        <v>109622</v>
      </c>
      <c r="Z13" s="39">
        <f t="shared" si="8"/>
        <v>0.17933444016711975</v>
      </c>
      <c r="AB13" s="35" t="s">
        <v>61</v>
      </c>
      <c r="AC13" s="8">
        <v>354858</v>
      </c>
      <c r="AD13" s="8">
        <v>270173</v>
      </c>
      <c r="AE13" s="39">
        <f t="shared" si="9"/>
        <v>0.31344730968675627</v>
      </c>
    </row>
    <row r="14" spans="1:31" ht="15.75" customHeight="1" x14ac:dyDescent="0.3">
      <c r="B14" s="31" t="s">
        <v>62</v>
      </c>
      <c r="C14" s="38">
        <v>137758</v>
      </c>
      <c r="D14" s="38">
        <v>38072.93</v>
      </c>
      <c r="E14" s="38">
        <v>3681</v>
      </c>
      <c r="F14" s="34">
        <f t="shared" si="10"/>
        <v>0.18550724637681149</v>
      </c>
      <c r="G14" s="33">
        <v>69.94</v>
      </c>
      <c r="H14" s="34">
        <f t="shared" si="11"/>
        <v>0.18542372881355917</v>
      </c>
      <c r="I14" s="34">
        <f t="shared" si="4"/>
        <v>9.6682866277956539E-2</v>
      </c>
      <c r="J14" s="32"/>
      <c r="K14" s="38">
        <v>11</v>
      </c>
      <c r="L14" s="38">
        <v>689.2</v>
      </c>
      <c r="M14" s="38">
        <v>269.95</v>
      </c>
      <c r="N14" s="34">
        <f t="shared" si="12"/>
        <v>0.15727766657134687</v>
      </c>
      <c r="O14" s="33">
        <f t="shared" si="5"/>
        <v>9.8541607091792969</v>
      </c>
      <c r="P14" s="33">
        <f t="shared" si="6"/>
        <v>3.8597369173577354</v>
      </c>
      <c r="R14" s="35" t="s">
        <v>63</v>
      </c>
      <c r="S14" s="8">
        <v>7705</v>
      </c>
      <c r="T14" s="8">
        <v>18184</v>
      </c>
      <c r="U14" s="41">
        <f t="shared" si="7"/>
        <v>-0.57627584689837219</v>
      </c>
      <c r="W14" s="35" t="s">
        <v>63</v>
      </c>
      <c r="X14" s="8">
        <v>2391</v>
      </c>
      <c r="Y14" s="8">
        <v>3794</v>
      </c>
      <c r="Z14" s="41">
        <f t="shared" si="8"/>
        <v>-0.36979441222983656</v>
      </c>
      <c r="AB14" s="35" t="s">
        <v>63</v>
      </c>
      <c r="AC14" s="8">
        <v>5313</v>
      </c>
      <c r="AD14" s="8">
        <v>14389</v>
      </c>
      <c r="AE14" s="41">
        <f t="shared" si="9"/>
        <v>-0.63075960803391484</v>
      </c>
    </row>
    <row r="15" spans="1:31" ht="15.75" customHeight="1" x14ac:dyDescent="0.3">
      <c r="B15" s="31" t="s">
        <v>64</v>
      </c>
      <c r="C15" s="38">
        <v>202374</v>
      </c>
      <c r="D15" s="38">
        <v>39547.910000000003</v>
      </c>
      <c r="E15" s="38">
        <v>4304.5200000000004</v>
      </c>
      <c r="F15" s="34">
        <f t="shared" si="10"/>
        <v>0.1693887530562348</v>
      </c>
      <c r="G15" s="33">
        <v>81.790000000000006</v>
      </c>
      <c r="H15" s="34">
        <f t="shared" si="11"/>
        <v>0.16943094080640564</v>
      </c>
      <c r="I15" s="34">
        <f t="shared" si="4"/>
        <v>0.1088431727492047</v>
      </c>
      <c r="J15" s="32"/>
      <c r="K15" s="38">
        <v>12.5</v>
      </c>
      <c r="L15" s="38">
        <v>750.7</v>
      </c>
      <c r="M15" s="38">
        <v>399.95</v>
      </c>
      <c r="N15" s="34">
        <f t="shared" si="12"/>
        <v>0.15283041936667072</v>
      </c>
      <c r="O15" s="33">
        <f t="shared" si="5"/>
        <v>9.1783836654847786</v>
      </c>
      <c r="P15" s="33">
        <f t="shared" si="6"/>
        <v>4.8899620980559968</v>
      </c>
      <c r="R15" s="42" t="s">
        <v>65</v>
      </c>
      <c r="S15" s="5">
        <f t="shared" ref="S15:T15" si="13">SUM(S13:S14)</f>
        <v>496234</v>
      </c>
      <c r="T15" s="5">
        <f t="shared" si="13"/>
        <v>397979</v>
      </c>
      <c r="U15" s="43">
        <f t="shared" si="7"/>
        <v>0.24688488588593871</v>
      </c>
      <c r="V15" s="30"/>
      <c r="W15" s="42" t="s">
        <v>65</v>
      </c>
      <c r="X15" s="5">
        <f t="shared" ref="X15:Y15" si="14">SUM(X13:X14)</f>
        <v>131672</v>
      </c>
      <c r="Y15" s="5">
        <f t="shared" si="14"/>
        <v>113416</v>
      </c>
      <c r="Z15" s="43">
        <f t="shared" si="8"/>
        <v>0.16096494321788812</v>
      </c>
      <c r="AB15" s="42" t="s">
        <v>65</v>
      </c>
      <c r="AC15" s="5">
        <f t="shared" ref="AC15:AD15" si="15">SUM(AC13:AC14)</f>
        <v>360171</v>
      </c>
      <c r="AD15" s="5">
        <f t="shared" si="15"/>
        <v>284562</v>
      </c>
      <c r="AE15" s="43">
        <f t="shared" si="9"/>
        <v>0.26570308052375236</v>
      </c>
    </row>
    <row r="16" spans="1:31" ht="15.75" customHeight="1" x14ac:dyDescent="0.3">
      <c r="B16" s="31" t="s">
        <v>66</v>
      </c>
      <c r="C16" s="38">
        <v>261642</v>
      </c>
      <c r="D16" s="38">
        <v>43183.62</v>
      </c>
      <c r="E16" s="38">
        <v>4406.67</v>
      </c>
      <c r="F16" s="34">
        <f t="shared" si="10"/>
        <v>2.3730868947060113E-2</v>
      </c>
      <c r="G16" s="33">
        <v>83.73</v>
      </c>
      <c r="H16" s="34">
        <f t="shared" si="11"/>
        <v>2.37192810857072E-2</v>
      </c>
      <c r="I16" s="34">
        <f t="shared" si="4"/>
        <v>0.1020449420405237</v>
      </c>
      <c r="J16" s="32"/>
      <c r="K16" s="38">
        <v>14</v>
      </c>
      <c r="L16" s="38">
        <v>998.05</v>
      </c>
      <c r="M16" s="38">
        <v>576.65</v>
      </c>
      <c r="N16" s="34">
        <f t="shared" si="12"/>
        <v>0.16720410844380748</v>
      </c>
      <c r="O16" s="33">
        <f t="shared" si="5"/>
        <v>11.919861459453003</v>
      </c>
      <c r="P16" s="33">
        <f t="shared" si="6"/>
        <v>6.8870177952943985</v>
      </c>
      <c r="R16" s="35" t="s">
        <v>41</v>
      </c>
      <c r="S16" s="8">
        <v>68138</v>
      </c>
      <c r="T16" s="8">
        <v>56558</v>
      </c>
      <c r="U16" s="44">
        <f t="shared" si="7"/>
        <v>0.20474557091834922</v>
      </c>
      <c r="V16" s="40"/>
      <c r="W16" s="35" t="s">
        <v>41</v>
      </c>
      <c r="X16" s="8">
        <v>21736</v>
      </c>
      <c r="Y16" s="8">
        <v>18343</v>
      </c>
      <c r="Z16" s="44">
        <f t="shared" si="8"/>
        <v>0.18497519489723602</v>
      </c>
      <c r="AB16" s="35" t="s">
        <v>41</v>
      </c>
      <c r="AC16" s="8">
        <v>46401</v>
      </c>
      <c r="AD16" s="8">
        <v>38215</v>
      </c>
      <c r="AE16" s="44">
        <f t="shared" si="9"/>
        <v>0.21420908020410834</v>
      </c>
    </row>
    <row r="17" spans="1:35" ht="15.75" customHeight="1" x14ac:dyDescent="0.3">
      <c r="B17" s="31" t="s">
        <v>67</v>
      </c>
      <c r="C17" s="38">
        <v>337337</v>
      </c>
      <c r="D17" s="38">
        <v>45260.28</v>
      </c>
      <c r="E17" s="38">
        <v>4541.3100000000004</v>
      </c>
      <c r="F17" s="34">
        <f t="shared" si="10"/>
        <v>3.0553683393582887E-2</v>
      </c>
      <c r="G17" s="33">
        <v>86.29</v>
      </c>
      <c r="H17" s="34">
        <f t="shared" si="11"/>
        <v>3.0574465544010554E-2</v>
      </c>
      <c r="I17" s="34">
        <f t="shared" si="4"/>
        <v>0.10033764704946591</v>
      </c>
      <c r="J17" s="32"/>
      <c r="K17" s="38">
        <v>14</v>
      </c>
      <c r="L17" s="38">
        <v>1378.7</v>
      </c>
      <c r="M17" s="38">
        <v>684.15</v>
      </c>
      <c r="N17" s="34">
        <f t="shared" si="12"/>
        <v>0.16224359717232587</v>
      </c>
      <c r="O17" s="33">
        <f t="shared" si="5"/>
        <v>15.977517672963263</v>
      </c>
      <c r="P17" s="33">
        <f t="shared" si="6"/>
        <v>7.928496928960481</v>
      </c>
      <c r="R17" s="35" t="s">
        <v>11</v>
      </c>
      <c r="S17" s="8">
        <v>892</v>
      </c>
      <c r="T17" s="8">
        <v>892</v>
      </c>
      <c r="U17" s="45">
        <f t="shared" si="7"/>
        <v>0</v>
      </c>
      <c r="V17" s="40"/>
      <c r="W17" s="35" t="s">
        <v>11</v>
      </c>
      <c r="X17" s="8">
        <v>892</v>
      </c>
      <c r="Y17" s="8">
        <v>892</v>
      </c>
      <c r="Z17" s="45">
        <f t="shared" si="8"/>
        <v>0</v>
      </c>
      <c r="AB17" s="35" t="s">
        <v>11</v>
      </c>
      <c r="AC17" s="8">
        <v>892</v>
      </c>
      <c r="AD17" s="8">
        <v>892</v>
      </c>
      <c r="AE17" s="45">
        <f t="shared" si="9"/>
        <v>0</v>
      </c>
    </row>
    <row r="18" spans="1:35" ht="15.75" customHeight="1" x14ac:dyDescent="0.3">
      <c r="B18" s="31" t="s">
        <v>68</v>
      </c>
      <c r="C18" s="38">
        <v>416768</v>
      </c>
      <c r="D18" s="38">
        <v>90218.81</v>
      </c>
      <c r="E18" s="38">
        <v>9212.84</v>
      </c>
      <c r="F18" s="34">
        <f t="shared" si="10"/>
        <v>1.0286745454505417</v>
      </c>
      <c r="G18" s="33">
        <v>168.61</v>
      </c>
      <c r="H18" s="34">
        <f t="shared" si="11"/>
        <v>0.9539923513732762</v>
      </c>
      <c r="I18" s="34">
        <f t="shared" si="4"/>
        <v>0.10211662069140572</v>
      </c>
      <c r="J18" s="32"/>
      <c r="K18" s="38">
        <v>21.5</v>
      </c>
      <c r="L18" s="38">
        <v>2540</v>
      </c>
      <c r="M18" s="38">
        <v>915.1</v>
      </c>
      <c r="N18" s="34">
        <f t="shared" si="12"/>
        <v>0.12751319613308817</v>
      </c>
      <c r="O18" s="33">
        <f t="shared" si="5"/>
        <v>15.064349682699721</v>
      </c>
      <c r="P18" s="33">
        <f t="shared" si="6"/>
        <v>5.4273174782041398</v>
      </c>
      <c r="R18" s="35" t="s">
        <v>10</v>
      </c>
      <c r="S18" s="46">
        <v>75.17</v>
      </c>
      <c r="T18" s="47">
        <v>62.35</v>
      </c>
      <c r="U18" s="48">
        <f t="shared" si="7"/>
        <v>0.20561347233360072</v>
      </c>
      <c r="V18" s="40"/>
      <c r="W18" s="35" t="s">
        <v>10</v>
      </c>
      <c r="X18" s="46">
        <v>23.96</v>
      </c>
      <c r="Y18" s="47">
        <v>20.27</v>
      </c>
      <c r="Z18" s="48">
        <f t="shared" si="8"/>
        <v>0.18204242723236308</v>
      </c>
      <c r="AB18" s="35" t="s">
        <v>10</v>
      </c>
      <c r="AC18" s="46">
        <v>51.21</v>
      </c>
      <c r="AD18" s="47">
        <v>42.08</v>
      </c>
      <c r="AE18" s="48">
        <f t="shared" si="9"/>
        <v>0.21696768060836513</v>
      </c>
    </row>
    <row r="19" spans="1:35" ht="15.75" customHeight="1" x14ac:dyDescent="0.3">
      <c r="B19" s="31" t="s">
        <v>69</v>
      </c>
      <c r="C19" s="38">
        <v>542503</v>
      </c>
      <c r="D19" s="38">
        <v>113093.09</v>
      </c>
      <c r="E19" s="38">
        <v>11173.06</v>
      </c>
      <c r="F19" s="34">
        <f t="shared" si="10"/>
        <v>0.21277043778031524</v>
      </c>
      <c r="G19" s="33">
        <v>172.68</v>
      </c>
      <c r="H19" s="34">
        <f t="shared" si="11"/>
        <v>2.4138544570310172E-2</v>
      </c>
      <c r="I19" s="34">
        <f t="shared" si="4"/>
        <v>9.8795249117342179E-2</v>
      </c>
      <c r="J19" s="32"/>
      <c r="K19" s="38">
        <v>29</v>
      </c>
      <c r="L19" s="49">
        <v>1559.3220338983051</v>
      </c>
      <c r="M19" s="49">
        <v>757.62711864406788</v>
      </c>
      <c r="N19" s="34">
        <f t="shared" si="12"/>
        <v>0.16794069955987953</v>
      </c>
      <c r="O19" s="33">
        <f t="shared" si="5"/>
        <v>9.0301252831729499</v>
      </c>
      <c r="P19" s="33">
        <f t="shared" si="6"/>
        <v>4.3874630451938144</v>
      </c>
      <c r="R19" s="35" t="s">
        <v>70</v>
      </c>
      <c r="S19" s="50">
        <v>2.24E-2</v>
      </c>
      <c r="T19" s="50">
        <v>2.7799999999999998E-2</v>
      </c>
      <c r="U19" s="51">
        <f t="shared" ref="U19:U20" si="16">S19-T19</f>
        <v>-5.3999999999999986E-3</v>
      </c>
      <c r="W19" s="35" t="s">
        <v>70</v>
      </c>
      <c r="X19" s="50">
        <v>2.24E-2</v>
      </c>
      <c r="Y19" s="50">
        <v>2.7799999999999998E-2</v>
      </c>
      <c r="Z19" s="51">
        <f t="shared" ref="Z19:Z20" si="17">X19-Y19</f>
        <v>-5.3999999999999986E-3</v>
      </c>
      <c r="AB19" s="35" t="s">
        <v>70</v>
      </c>
      <c r="AC19" s="50">
        <v>2.4199999999999999E-2</v>
      </c>
      <c r="AD19" s="50">
        <v>3.1399999999999997E-2</v>
      </c>
      <c r="AE19" s="51">
        <f t="shared" ref="AE19:AE20" si="18">AC19-AD19</f>
        <v>-7.1999999999999981E-3</v>
      </c>
    </row>
    <row r="20" spans="1:35" ht="15.75" customHeight="1" x14ac:dyDescent="0.3">
      <c r="B20" s="31" t="s">
        <v>71</v>
      </c>
      <c r="C20" s="38">
        <v>631914</v>
      </c>
      <c r="D20" s="38">
        <v>133851.82999999999</v>
      </c>
      <c r="E20" s="38">
        <v>12013.64</v>
      </c>
      <c r="F20" s="34">
        <f t="shared" si="10"/>
        <v>7.5232747340477912E-2</v>
      </c>
      <c r="G20" s="33">
        <v>184.82</v>
      </c>
      <c r="H20" s="34">
        <f t="shared" si="11"/>
        <v>7.0303451470928868E-2</v>
      </c>
      <c r="I20" s="34">
        <f t="shared" si="4"/>
        <v>8.9753274198791311E-2</v>
      </c>
      <c r="J20" s="32"/>
      <c r="K20" s="38">
        <v>30</v>
      </c>
      <c r="L20" s="38">
        <v>2500</v>
      </c>
      <c r="M20" s="38">
        <v>980</v>
      </c>
      <c r="N20" s="34">
        <f t="shared" si="12"/>
        <v>0.1623200952277892</v>
      </c>
      <c r="O20" s="33">
        <f t="shared" si="5"/>
        <v>13.526674602315767</v>
      </c>
      <c r="P20" s="33">
        <f t="shared" si="6"/>
        <v>5.3024564441077811</v>
      </c>
      <c r="R20" s="35" t="s">
        <v>72</v>
      </c>
      <c r="S20" s="43">
        <f t="shared" ref="S20:T20" si="19">S16/S12</f>
        <v>0.11459969658949096</v>
      </c>
      <c r="T20" s="43">
        <f t="shared" si="19"/>
        <v>0.11947745776102818</v>
      </c>
      <c r="U20" s="51">
        <f t="shared" si="16"/>
        <v>-4.8777611715372232E-3</v>
      </c>
      <c r="V20" s="30"/>
      <c r="W20" s="35" t="s">
        <v>72</v>
      </c>
      <c r="X20" s="43">
        <f t="shared" ref="X20:Y20" si="20">X16/X12</f>
        <v>0.13180203014904737</v>
      </c>
      <c r="Y20" s="43">
        <f t="shared" si="20"/>
        <v>0.13403530821617513</v>
      </c>
      <c r="Z20" s="51">
        <f t="shared" si="17"/>
        <v>-2.233278067127753E-3</v>
      </c>
      <c r="AB20" s="35" t="s">
        <v>72</v>
      </c>
      <c r="AC20" s="43">
        <f t="shared" ref="AC20:AD20" si="21">AC16/AC12</f>
        <v>0.10799469347856444</v>
      </c>
      <c r="AD20" s="43">
        <f t="shared" si="21"/>
        <v>0.11355768516454944</v>
      </c>
      <c r="AE20" s="51">
        <f t="shared" si="18"/>
        <v>-5.5629916859849943E-3</v>
      </c>
    </row>
    <row r="21" spans="1:35" ht="15.75" customHeight="1" x14ac:dyDescent="0.3">
      <c r="B21" s="31" t="s">
        <v>73</v>
      </c>
      <c r="C21" s="38">
        <v>756719</v>
      </c>
      <c r="D21" s="38">
        <v>147843.92000000001</v>
      </c>
      <c r="E21" s="38">
        <v>11179.94</v>
      </c>
      <c r="F21" s="34">
        <f t="shared" si="10"/>
        <v>-6.9396119743891038E-2</v>
      </c>
      <c r="G21" s="33">
        <v>168.28</v>
      </c>
      <c r="H21" s="34">
        <f t="shared" si="11"/>
        <v>-8.9492479168921113E-2</v>
      </c>
      <c r="I21" s="34">
        <f t="shared" si="4"/>
        <v>7.5619883455471146E-2</v>
      </c>
      <c r="J21" s="32"/>
      <c r="K21" s="38">
        <v>30</v>
      </c>
      <c r="L21" s="38">
        <v>3515</v>
      </c>
      <c r="M21" s="38">
        <v>2015</v>
      </c>
      <c r="N21" s="34">
        <f t="shared" si="12"/>
        <v>0.17827430473021155</v>
      </c>
      <c r="O21" s="33">
        <f t="shared" si="5"/>
        <v>20.887806037556455</v>
      </c>
      <c r="P21" s="33">
        <f t="shared" si="6"/>
        <v>11.974090801045875</v>
      </c>
      <c r="R21" s="52"/>
      <c r="S21" s="53"/>
      <c r="T21" s="52"/>
      <c r="U21" s="52"/>
      <c r="V21" s="40"/>
      <c r="W21" s="40"/>
    </row>
    <row r="22" spans="1:35" ht="15.75" customHeight="1" x14ac:dyDescent="0.3">
      <c r="B22" s="31" t="s">
        <v>74</v>
      </c>
      <c r="C22" s="38">
        <v>867579</v>
      </c>
      <c r="D22" s="38">
        <v>177032.82</v>
      </c>
      <c r="E22" s="38">
        <v>15973.3</v>
      </c>
      <c r="F22" s="34">
        <f t="shared" si="10"/>
        <v>0.42874648701155804</v>
      </c>
      <c r="G22" s="33">
        <v>241.55</v>
      </c>
      <c r="H22" s="34">
        <f t="shared" si="11"/>
        <v>0.4354052769194201</v>
      </c>
      <c r="I22" s="34">
        <f t="shared" si="4"/>
        <v>9.0227902374260316E-2</v>
      </c>
      <c r="J22" s="32"/>
      <c r="K22" s="38">
        <v>35</v>
      </c>
      <c r="L22" s="38">
        <v>2959.9</v>
      </c>
      <c r="M22" s="38">
        <v>1576</v>
      </c>
      <c r="N22" s="34">
        <f t="shared" si="12"/>
        <v>0.14489753674187539</v>
      </c>
      <c r="O22" s="33">
        <f t="shared" si="5"/>
        <v>12.253777685779342</v>
      </c>
      <c r="P22" s="33">
        <f t="shared" si="6"/>
        <v>6.5245290830055884</v>
      </c>
      <c r="R22" s="29" t="s">
        <v>75</v>
      </c>
      <c r="S22" s="29" t="s">
        <v>51</v>
      </c>
      <c r="T22" s="29" t="s">
        <v>52</v>
      </c>
      <c r="U22" s="29" t="s">
        <v>76</v>
      </c>
      <c r="V22" s="29" t="s">
        <v>53</v>
      </c>
      <c r="X22" s="28" t="s">
        <v>77</v>
      </c>
      <c r="Y22" s="29" t="s">
        <v>51</v>
      </c>
      <c r="Z22" s="29" t="s">
        <v>52</v>
      </c>
      <c r="AA22" s="28" t="s">
        <v>76</v>
      </c>
      <c r="AB22" s="28" t="s">
        <v>26</v>
      </c>
      <c r="AD22" s="28" t="s">
        <v>78</v>
      </c>
      <c r="AE22" s="29" t="s">
        <v>51</v>
      </c>
      <c r="AF22" s="29" t="s">
        <v>52</v>
      </c>
      <c r="AG22" s="28" t="s">
        <v>76</v>
      </c>
      <c r="AH22" s="28" t="s">
        <v>26</v>
      </c>
      <c r="AI22" s="28" t="s">
        <v>79</v>
      </c>
    </row>
    <row r="23" spans="1:35" ht="15.75" customHeight="1" x14ac:dyDescent="0.3">
      <c r="B23" s="31" t="s">
        <v>80</v>
      </c>
      <c r="C23" s="38">
        <v>1045617</v>
      </c>
      <c r="D23" s="38">
        <v>200559.83</v>
      </c>
      <c r="E23" s="38">
        <v>18322.990000000002</v>
      </c>
      <c r="F23" s="34">
        <f t="shared" si="10"/>
        <v>0.14710109996055931</v>
      </c>
      <c r="G23" s="33">
        <v>266.82</v>
      </c>
      <c r="H23" s="34">
        <f t="shared" si="11"/>
        <v>0.10461602152763394</v>
      </c>
      <c r="I23" s="34">
        <f t="shared" si="4"/>
        <v>9.1359221834202808E-2</v>
      </c>
      <c r="J23" s="32"/>
      <c r="K23" s="38">
        <v>41.5</v>
      </c>
      <c r="L23" s="38">
        <v>2550</v>
      </c>
      <c r="M23" s="38">
        <v>1804.5</v>
      </c>
      <c r="N23" s="34">
        <f t="shared" si="12"/>
        <v>0.15553556704894686</v>
      </c>
      <c r="O23" s="33">
        <f t="shared" si="5"/>
        <v>9.5570047222846863</v>
      </c>
      <c r="P23" s="33">
        <f t="shared" si="6"/>
        <v>6.7629862828873399</v>
      </c>
      <c r="R23" s="35" t="s">
        <v>81</v>
      </c>
      <c r="S23" s="8">
        <v>259736</v>
      </c>
      <c r="T23" s="8">
        <v>189980</v>
      </c>
      <c r="U23" s="54">
        <f t="shared" ref="U23:U26" si="22">S23/$S$28</f>
        <v>0.52341646649147977</v>
      </c>
      <c r="V23" s="39">
        <f t="shared" ref="V23:V26" si="23">(S23/T23)^(1/1)-1</f>
        <v>0.36717549215706913</v>
      </c>
      <c r="X23" s="19" t="s">
        <v>82</v>
      </c>
      <c r="Y23" s="55">
        <v>1352265</v>
      </c>
      <c r="Z23" s="55">
        <v>1179152</v>
      </c>
      <c r="AA23" s="56">
        <f t="shared" ref="AA23:AA27" si="24">Y23/$Y$29</f>
        <v>0.35892575886508254</v>
      </c>
      <c r="AB23" s="56">
        <f t="shared" ref="AB23:AB27" si="25">(Y23/Z23)-1</f>
        <v>0.1468114373719418</v>
      </c>
      <c r="AD23" s="19" t="s">
        <v>83</v>
      </c>
      <c r="AE23" s="55">
        <v>1894</v>
      </c>
      <c r="AF23" s="55">
        <v>1721</v>
      </c>
      <c r="AG23" s="57">
        <f t="shared" ref="AG23:AG27" si="26">AE23/$AE$29</f>
        <v>0.22996600291403593</v>
      </c>
      <c r="AH23" s="57">
        <f t="shared" ref="AH23:AH27" si="27">(AE23/AF23)-1</f>
        <v>0.10052295177222548</v>
      </c>
      <c r="AI23" s="19" t="s">
        <v>84</v>
      </c>
    </row>
    <row r="24" spans="1:35" ht="15.75" customHeight="1" x14ac:dyDescent="0.3">
      <c r="B24" s="31" t="s">
        <v>85</v>
      </c>
      <c r="C24" s="38">
        <v>1209829</v>
      </c>
      <c r="D24" s="38">
        <v>226944.56</v>
      </c>
      <c r="E24" s="58">
        <v>14489.47</v>
      </c>
      <c r="F24" s="34">
        <f t="shared" si="10"/>
        <v>-0.20921912853742763</v>
      </c>
      <c r="G24" s="33">
        <v>204</v>
      </c>
      <c r="H24" s="34">
        <f t="shared" si="11"/>
        <v>-0.23543962221722503</v>
      </c>
      <c r="I24" s="34">
        <f t="shared" si="4"/>
        <v>6.3845857331852329E-2</v>
      </c>
      <c r="J24" s="32"/>
      <c r="K24" s="38">
        <v>15</v>
      </c>
      <c r="L24" s="38">
        <v>2469.25</v>
      </c>
      <c r="M24" s="38">
        <v>1452.9</v>
      </c>
      <c r="N24" s="34">
        <f t="shared" si="12"/>
        <v>7.3529411764705885E-2</v>
      </c>
      <c r="O24" s="33">
        <f t="shared" si="5"/>
        <v>12.104166666666666</v>
      </c>
      <c r="P24" s="33">
        <f t="shared" si="6"/>
        <v>7.1220588235294118</v>
      </c>
      <c r="R24" s="35" t="s">
        <v>86</v>
      </c>
      <c r="S24" s="8">
        <v>76571</v>
      </c>
      <c r="T24" s="8">
        <v>61920</v>
      </c>
      <c r="U24" s="54">
        <f t="shared" si="22"/>
        <v>0.15430484128391558</v>
      </c>
      <c r="V24" s="59">
        <f t="shared" si="23"/>
        <v>0.23661175710594318</v>
      </c>
      <c r="X24" s="19" t="s">
        <v>87</v>
      </c>
      <c r="Y24" s="19">
        <v>1138202</v>
      </c>
      <c r="Z24" s="19">
        <v>979768</v>
      </c>
      <c r="AA24" s="56">
        <f t="shared" si="24"/>
        <v>0.30210795708811122</v>
      </c>
      <c r="AB24" s="56">
        <f t="shared" si="25"/>
        <v>0.16170562827118262</v>
      </c>
      <c r="AD24" s="19" t="s">
        <v>88</v>
      </c>
      <c r="AE24" s="19">
        <v>2408</v>
      </c>
      <c r="AF24" s="19">
        <v>2258</v>
      </c>
      <c r="AG24" s="57">
        <f t="shared" si="26"/>
        <v>0.2923749392909179</v>
      </c>
      <c r="AH24" s="57">
        <f t="shared" si="27"/>
        <v>6.6430469441984163E-2</v>
      </c>
      <c r="AI24" s="19" t="s">
        <v>89</v>
      </c>
    </row>
    <row r="25" spans="1:35" ht="15.75" customHeight="1" x14ac:dyDescent="0.3">
      <c r="A25" s="60" t="s">
        <v>90</v>
      </c>
      <c r="B25" s="31" t="s">
        <v>91</v>
      </c>
      <c r="C25" s="38">
        <v>1300026</v>
      </c>
      <c r="D25" s="38">
        <v>257289.51</v>
      </c>
      <c r="E25" s="38">
        <v>17517.37</v>
      </c>
      <c r="F25" s="34">
        <f t="shared" si="10"/>
        <v>0.20897244688729133</v>
      </c>
      <c r="G25" s="33">
        <v>22.76</v>
      </c>
      <c r="H25" s="34">
        <f t="shared" si="11"/>
        <v>-0.8884313725490196</v>
      </c>
      <c r="I25" s="61">
        <v>3.5999999999999999E-3</v>
      </c>
      <c r="J25" s="33">
        <v>2.12</v>
      </c>
      <c r="K25" s="38">
        <v>3.5</v>
      </c>
      <c r="L25" s="49">
        <v>335.9</v>
      </c>
      <c r="M25" s="49">
        <v>172.26937269372695</v>
      </c>
      <c r="N25" s="34">
        <f t="shared" si="12"/>
        <v>0.15377855887521968</v>
      </c>
      <c r="O25" s="33">
        <f t="shared" si="5"/>
        <v>14.758347978910367</v>
      </c>
      <c r="P25" s="33">
        <f t="shared" si="6"/>
        <v>7.5689531060512714</v>
      </c>
      <c r="R25" s="35" t="s">
        <v>92</v>
      </c>
      <c r="S25" s="8">
        <f>55522+96699</f>
        <v>152221</v>
      </c>
      <c r="T25" s="8">
        <f>49666+78227</f>
        <v>127893</v>
      </c>
      <c r="U25" s="54">
        <f t="shared" si="22"/>
        <v>0.30675369585194023</v>
      </c>
      <c r="V25" s="43">
        <f t="shared" si="23"/>
        <v>0.19022151329627102</v>
      </c>
      <c r="X25" s="19" t="s">
        <v>93</v>
      </c>
      <c r="Y25" s="19">
        <v>539086</v>
      </c>
      <c r="Z25" s="19">
        <v>492440</v>
      </c>
      <c r="AA25" s="56">
        <f t="shared" si="24"/>
        <v>0.14308722894073417</v>
      </c>
      <c r="AB25" s="56">
        <f t="shared" si="25"/>
        <v>9.4724230363089967E-2</v>
      </c>
      <c r="AD25" s="19" t="s">
        <v>94</v>
      </c>
      <c r="AE25" s="19">
        <v>2063</v>
      </c>
      <c r="AF25" s="19">
        <v>1331</v>
      </c>
      <c r="AG25" s="57">
        <f t="shared" si="26"/>
        <v>0.25048567265662941</v>
      </c>
      <c r="AH25" s="57">
        <f t="shared" si="27"/>
        <v>0.54996243425995495</v>
      </c>
      <c r="AI25" s="19" t="s">
        <v>84</v>
      </c>
    </row>
    <row r="26" spans="1:35" ht="15.75" customHeight="1" x14ac:dyDescent="0.3">
      <c r="B26" s="31" t="s">
        <v>95</v>
      </c>
      <c r="C26" s="38">
        <v>1463700</v>
      </c>
      <c r="D26" s="38">
        <v>272871.03000000003</v>
      </c>
      <c r="E26" s="58">
        <v>12743.28</v>
      </c>
      <c r="F26" s="34">
        <f t="shared" si="10"/>
        <v>-0.27253463276736167</v>
      </c>
      <c r="G26" s="33">
        <v>15.95</v>
      </c>
      <c r="H26" s="34">
        <f t="shared" si="11"/>
        <v>-0.29920913884007039</v>
      </c>
      <c r="I26" s="61">
        <v>-2.9700000000000001E-2</v>
      </c>
      <c r="J26" s="33">
        <v>3.8</v>
      </c>
      <c r="K26" s="38">
        <v>2.6</v>
      </c>
      <c r="L26" s="38">
        <v>305</v>
      </c>
      <c r="M26" s="38">
        <v>148.30000000000001</v>
      </c>
      <c r="N26" s="34">
        <f t="shared" si="12"/>
        <v>0.16300940438871475</v>
      </c>
      <c r="O26" s="33">
        <f t="shared" si="5"/>
        <v>19.122257053291538</v>
      </c>
      <c r="P26" s="33">
        <f t="shared" si="6"/>
        <v>9.2978056426332305</v>
      </c>
      <c r="R26" s="42" t="s">
        <v>63</v>
      </c>
      <c r="S26" s="8">
        <v>7704</v>
      </c>
      <c r="T26" s="8">
        <v>18184</v>
      </c>
      <c r="U26" s="54">
        <f t="shared" si="22"/>
        <v>1.5524996372664399E-2</v>
      </c>
      <c r="V26" s="41">
        <f t="shared" si="23"/>
        <v>-0.57633084029916404</v>
      </c>
      <c r="X26" s="19" t="s">
        <v>96</v>
      </c>
      <c r="Y26" s="19">
        <v>433037</v>
      </c>
      <c r="Z26" s="19">
        <v>359270</v>
      </c>
      <c r="AA26" s="56">
        <f t="shared" si="24"/>
        <v>0.11493910871142769</v>
      </c>
      <c r="AB26" s="56">
        <f t="shared" si="25"/>
        <v>0.20532468616917643</v>
      </c>
      <c r="AD26" s="19" t="s">
        <v>97</v>
      </c>
      <c r="AE26" s="19">
        <v>240</v>
      </c>
      <c r="AF26" s="19">
        <v>184</v>
      </c>
      <c r="AG26" s="57">
        <f t="shared" si="26"/>
        <v>2.9140359397765905E-2</v>
      </c>
      <c r="AH26" s="57">
        <f t="shared" si="27"/>
        <v>0.30434782608695654</v>
      </c>
      <c r="AI26" s="19" t="s">
        <v>98</v>
      </c>
    </row>
    <row r="27" spans="1:35" ht="15.75" customHeight="1" thickBot="1" x14ac:dyDescent="0.35">
      <c r="B27" s="31" t="s">
        <v>99</v>
      </c>
      <c r="C27" s="38">
        <v>1571078</v>
      </c>
      <c r="D27" s="38">
        <v>298640.45</v>
      </c>
      <c r="E27" s="58">
        <v>-390.67</v>
      </c>
      <c r="F27" s="34">
        <f t="shared" si="10"/>
        <v>-1.0306569423256806</v>
      </c>
      <c r="G27" s="33">
        <v>0.31</v>
      </c>
      <c r="H27" s="34">
        <f t="shared" si="11"/>
        <v>-0.98056426332288404</v>
      </c>
      <c r="I27" s="61">
        <v>5.9700000000000003E-2</v>
      </c>
      <c r="J27" s="33">
        <v>3.7</v>
      </c>
      <c r="K27" s="38"/>
      <c r="L27" s="38">
        <v>294.25</v>
      </c>
      <c r="M27" s="38">
        <v>166.6</v>
      </c>
      <c r="N27" s="34">
        <f t="shared" si="12"/>
        <v>0</v>
      </c>
      <c r="O27" s="33">
        <f t="shared" si="5"/>
        <v>949.19354838709683</v>
      </c>
      <c r="P27" s="33">
        <f t="shared" si="6"/>
        <v>537.41935483870964</v>
      </c>
      <c r="R27" s="62"/>
      <c r="S27" s="63"/>
      <c r="T27" s="63"/>
      <c r="U27" s="64"/>
      <c r="V27" s="65"/>
      <c r="X27" s="66" t="s">
        <v>100</v>
      </c>
      <c r="Y27" s="67">
        <v>304944</v>
      </c>
      <c r="Z27" s="67">
        <v>258612</v>
      </c>
      <c r="AA27" s="68">
        <f t="shared" si="24"/>
        <v>8.0939946394644344E-2</v>
      </c>
      <c r="AB27" s="68">
        <f t="shared" si="25"/>
        <v>0.17915641965570051</v>
      </c>
      <c r="AD27" s="66" t="s">
        <v>101</v>
      </c>
      <c r="AE27" s="67">
        <v>1631</v>
      </c>
      <c r="AF27" s="67">
        <v>725</v>
      </c>
      <c r="AG27" s="69">
        <f t="shared" si="26"/>
        <v>0.19803302574065079</v>
      </c>
      <c r="AH27" s="69">
        <f t="shared" si="27"/>
        <v>1.2496551724137932</v>
      </c>
      <c r="AI27" s="66" t="s">
        <v>102</v>
      </c>
    </row>
    <row r="28" spans="1:35" ht="15.75" customHeight="1" thickTop="1" thickBot="1" x14ac:dyDescent="0.35">
      <c r="B28" s="31" t="s">
        <v>103</v>
      </c>
      <c r="C28" s="38">
        <v>1934880</v>
      </c>
      <c r="D28" s="38">
        <v>301491.31</v>
      </c>
      <c r="E28" s="58">
        <v>-4187.41</v>
      </c>
      <c r="F28" s="34">
        <f t="shared" si="10"/>
        <v>9.7185348247881844</v>
      </c>
      <c r="G28" s="33">
        <v>-5.34</v>
      </c>
      <c r="H28" s="34">
        <f t="shared" si="11"/>
        <v>-18.225806451612904</v>
      </c>
      <c r="I28" s="61">
        <v>6.08E-2</v>
      </c>
      <c r="J28" s="33">
        <v>5.73</v>
      </c>
      <c r="K28" s="38"/>
      <c r="L28" s="38">
        <v>351.5</v>
      </c>
      <c r="M28" s="38">
        <v>232.5</v>
      </c>
      <c r="N28" s="34">
        <f t="shared" si="12"/>
        <v>0</v>
      </c>
      <c r="O28" s="33">
        <f t="shared" si="5"/>
        <v>-65.823970037453179</v>
      </c>
      <c r="P28" s="33">
        <f t="shared" si="6"/>
        <v>-43.539325842696627</v>
      </c>
      <c r="R28" s="70" t="s">
        <v>104</v>
      </c>
      <c r="S28" s="71">
        <f t="shared" ref="S28:T28" si="28">SUM(S23:S26)</f>
        <v>496232</v>
      </c>
      <c r="T28" s="71">
        <f t="shared" si="28"/>
        <v>397977</v>
      </c>
      <c r="U28" s="54">
        <f>S28/$S$28</f>
        <v>1</v>
      </c>
      <c r="V28" s="72">
        <f>(S28/T28)^(1/1)-1</f>
        <v>0.2468861265852047</v>
      </c>
    </row>
    <row r="29" spans="1:35" ht="15.75" customHeight="1" thickTop="1" x14ac:dyDescent="0.3">
      <c r="B29" s="31" t="s">
        <v>105</v>
      </c>
      <c r="C29" s="38">
        <v>2185877</v>
      </c>
      <c r="D29" s="38">
        <v>330220.88</v>
      </c>
      <c r="E29" s="38">
        <v>3069.07</v>
      </c>
      <c r="F29" s="34">
        <v>1.73</v>
      </c>
      <c r="G29" s="33">
        <v>2.58</v>
      </c>
      <c r="H29" s="34">
        <f t="shared" si="11"/>
        <v>-1.4831460674157304</v>
      </c>
      <c r="I29" s="61">
        <v>8.5999999999999993E-2</v>
      </c>
      <c r="J29" s="33">
        <v>3.01</v>
      </c>
      <c r="K29" s="38"/>
      <c r="L29" s="38">
        <v>325.85000000000002</v>
      </c>
      <c r="M29" s="38">
        <v>232</v>
      </c>
      <c r="N29" s="34">
        <f t="shared" si="12"/>
        <v>0</v>
      </c>
      <c r="O29" s="33">
        <f t="shared" si="5"/>
        <v>126.2984496124031</v>
      </c>
      <c r="P29" s="33">
        <f t="shared" si="6"/>
        <v>89.922480620155042</v>
      </c>
      <c r="X29" s="73" t="s">
        <v>106</v>
      </c>
      <c r="Y29" s="74">
        <f t="shared" ref="Y29:Z29" si="29">SUM(Y23:Y27)</f>
        <v>3767534</v>
      </c>
      <c r="Z29" s="74">
        <f t="shared" si="29"/>
        <v>3269242</v>
      </c>
      <c r="AA29" s="75">
        <f>Y29/$Y$29</f>
        <v>1</v>
      </c>
      <c r="AB29" s="75">
        <f>(Y29/Z29)-1</f>
        <v>0.15241820581039889</v>
      </c>
      <c r="AD29" s="73" t="s">
        <v>107</v>
      </c>
      <c r="AE29" s="74">
        <f t="shared" ref="AE29:AF29" si="30">SUM(AE23:AE27)</f>
        <v>8236</v>
      </c>
      <c r="AF29" s="74">
        <f t="shared" si="30"/>
        <v>6219</v>
      </c>
      <c r="AG29" s="75">
        <f>AE29/$Y$29</f>
        <v>2.1860453017809528E-3</v>
      </c>
      <c r="AH29" s="75">
        <f>(AE29/AF29)-1</f>
        <v>0.32432867020421297</v>
      </c>
    </row>
    <row r="30" spans="1:35" ht="15.75" customHeight="1" x14ac:dyDescent="0.3">
      <c r="B30" s="31" t="s">
        <v>108</v>
      </c>
      <c r="C30" s="38">
        <v>2325290</v>
      </c>
      <c r="D30" s="38">
        <v>362229</v>
      </c>
      <c r="E30" s="38">
        <v>18177</v>
      </c>
      <c r="F30" s="34">
        <f t="shared" ref="F30:F34" si="31">(E30/E29)^(1/1)-1</f>
        <v>4.9226410606470363</v>
      </c>
      <c r="G30" s="33">
        <v>22.15</v>
      </c>
      <c r="H30" s="34">
        <f t="shared" si="11"/>
        <v>7.5852713178294557</v>
      </c>
      <c r="I30" s="34">
        <f t="shared" ref="I30:I32" si="32">E30/D30</f>
        <v>5.018096287155363E-2</v>
      </c>
      <c r="J30" s="33">
        <v>6.15</v>
      </c>
      <c r="K30" s="38">
        <v>2.6</v>
      </c>
      <c r="L30" s="32">
        <v>374</v>
      </c>
      <c r="M30" s="32">
        <v>174</v>
      </c>
      <c r="N30" s="34">
        <f t="shared" si="12"/>
        <v>0.11738148984198647</v>
      </c>
      <c r="O30" s="33">
        <f t="shared" si="5"/>
        <v>16.884875846501131</v>
      </c>
      <c r="P30" s="33">
        <f t="shared" si="6"/>
        <v>7.8555304740406324</v>
      </c>
    </row>
    <row r="31" spans="1:35" ht="15.75" customHeight="1" x14ac:dyDescent="0.3">
      <c r="B31" s="31" t="s">
        <v>109</v>
      </c>
      <c r="C31" s="38">
        <v>2449498</v>
      </c>
      <c r="D31" s="38">
        <v>383971</v>
      </c>
      <c r="E31" s="38">
        <v>24280</v>
      </c>
      <c r="F31" s="34">
        <f t="shared" si="31"/>
        <v>0.33575397480332292</v>
      </c>
      <c r="G31" s="33">
        <v>25.11</v>
      </c>
      <c r="H31" s="34">
        <f t="shared" si="11"/>
        <v>0.13363431151241545</v>
      </c>
      <c r="I31" s="34">
        <f t="shared" si="32"/>
        <v>6.3233942146672537E-2</v>
      </c>
      <c r="J31" s="33">
        <v>4.9800000000000004</v>
      </c>
      <c r="K31" s="38">
        <v>4</v>
      </c>
      <c r="L31" s="32">
        <v>428</v>
      </c>
      <c r="M31" s="32">
        <v>150</v>
      </c>
      <c r="N31" s="34">
        <f t="shared" si="12"/>
        <v>0.15929908403026682</v>
      </c>
      <c r="O31" s="33">
        <f t="shared" si="5"/>
        <v>17.04500199123855</v>
      </c>
      <c r="P31" s="33">
        <f t="shared" si="6"/>
        <v>5.9737156511350058</v>
      </c>
    </row>
    <row r="32" spans="1:35" ht="15.75" customHeight="1" x14ac:dyDescent="0.3">
      <c r="B32" s="31" t="s">
        <v>110</v>
      </c>
      <c r="C32" s="38">
        <v>2733967</v>
      </c>
      <c r="D32" s="38">
        <v>406973</v>
      </c>
      <c r="E32" s="38">
        <v>36356</v>
      </c>
      <c r="F32" s="34">
        <f t="shared" si="31"/>
        <v>0.4973640856672159</v>
      </c>
      <c r="G32" s="33">
        <v>39.54</v>
      </c>
      <c r="H32" s="34">
        <f t="shared" si="11"/>
        <v>0.57467144563918748</v>
      </c>
      <c r="I32" s="34">
        <f t="shared" si="32"/>
        <v>8.9332707575195403E-2</v>
      </c>
      <c r="J32" s="33">
        <v>3.97</v>
      </c>
      <c r="K32" s="38">
        <v>7.1</v>
      </c>
      <c r="L32" s="32">
        <v>549</v>
      </c>
      <c r="M32" s="32">
        <v>322</v>
      </c>
      <c r="N32" s="34">
        <f t="shared" si="12"/>
        <v>0.17956499747091553</v>
      </c>
      <c r="O32" s="33">
        <f t="shared" si="5"/>
        <v>13.884673748103188</v>
      </c>
      <c r="P32" s="33">
        <f t="shared" si="6"/>
        <v>8.1436519979767326</v>
      </c>
    </row>
    <row r="33" spans="2:28" ht="15.75" customHeight="1" x14ac:dyDescent="0.3">
      <c r="B33" s="31" t="s">
        <v>111</v>
      </c>
      <c r="C33" s="38">
        <v>3199269</v>
      </c>
      <c r="D33" s="38">
        <v>473373</v>
      </c>
      <c r="E33" s="38">
        <v>56558</v>
      </c>
      <c r="F33" s="34">
        <f t="shared" si="31"/>
        <v>0.5556716910551216</v>
      </c>
      <c r="G33" s="33">
        <v>62.35</v>
      </c>
      <c r="H33" s="34">
        <f t="shared" si="11"/>
        <v>0.57688416793120889</v>
      </c>
      <c r="I33" s="34">
        <v>0.11799999999999999</v>
      </c>
      <c r="J33" s="33">
        <v>3.91</v>
      </c>
      <c r="K33" s="38">
        <v>11.3</v>
      </c>
      <c r="L33" s="32">
        <v>630</v>
      </c>
      <c r="M33" s="32">
        <v>430</v>
      </c>
      <c r="N33" s="34">
        <f t="shared" si="12"/>
        <v>0.18123496391339214</v>
      </c>
      <c r="O33" s="33">
        <f t="shared" si="5"/>
        <v>10.104250200481154</v>
      </c>
      <c r="P33" s="33">
        <f t="shared" si="6"/>
        <v>6.8965517241379306</v>
      </c>
    </row>
    <row r="34" spans="2:28" ht="15.75" customHeight="1" x14ac:dyDescent="0.3">
      <c r="B34" s="31" t="s">
        <v>112</v>
      </c>
      <c r="C34" s="16">
        <v>3784272</v>
      </c>
      <c r="D34" s="16">
        <v>594574</v>
      </c>
      <c r="E34" s="16">
        <v>68138</v>
      </c>
      <c r="F34" s="34">
        <f t="shared" si="31"/>
        <v>0.20474557091834922</v>
      </c>
      <c r="G34" s="76">
        <v>75.17</v>
      </c>
      <c r="H34" s="34">
        <f t="shared" si="11"/>
        <v>0.20561347233360072</v>
      </c>
      <c r="I34" s="77">
        <v>0.115</v>
      </c>
      <c r="J34" s="76">
        <v>2.2400000000000002</v>
      </c>
      <c r="K34" s="78">
        <v>13.7</v>
      </c>
      <c r="L34" s="16">
        <v>793</v>
      </c>
      <c r="M34" s="16">
        <v>519</v>
      </c>
      <c r="N34" s="34">
        <f t="shared" si="12"/>
        <v>0.18225355860050552</v>
      </c>
      <c r="O34" s="33">
        <f t="shared" si="5"/>
        <v>10.549421311693495</v>
      </c>
      <c r="P34" s="33">
        <f t="shared" si="6"/>
        <v>6.904350139683384</v>
      </c>
    </row>
    <row r="35" spans="2:28" ht="15.75" customHeight="1" x14ac:dyDescent="0.3">
      <c r="R35" s="3" t="s">
        <v>113</v>
      </c>
      <c r="S35" s="3" t="s">
        <v>114</v>
      </c>
      <c r="T35" s="3" t="s">
        <v>115</v>
      </c>
      <c r="U35" s="3" t="s">
        <v>56</v>
      </c>
      <c r="V35" s="3" t="s">
        <v>51</v>
      </c>
      <c r="W35" s="3" t="s">
        <v>116</v>
      </c>
      <c r="Y35" s="79" t="s">
        <v>117</v>
      </c>
      <c r="Z35" s="79" t="s">
        <v>118</v>
      </c>
      <c r="AA35" s="79" t="s">
        <v>119</v>
      </c>
      <c r="AB35" s="79" t="s">
        <v>36</v>
      </c>
    </row>
    <row r="36" spans="2:28" ht="15.75" customHeight="1" x14ac:dyDescent="0.3">
      <c r="B36" s="1" t="s">
        <v>53</v>
      </c>
      <c r="C36" s="1" t="s">
        <v>15</v>
      </c>
      <c r="D36" s="1" t="s">
        <v>40</v>
      </c>
      <c r="E36" s="1" t="s">
        <v>41</v>
      </c>
      <c r="F36" s="1"/>
      <c r="G36" s="1" t="s">
        <v>10</v>
      </c>
      <c r="H36" s="1"/>
      <c r="I36" s="1" t="s">
        <v>42</v>
      </c>
      <c r="J36" s="1" t="s">
        <v>43</v>
      </c>
      <c r="K36" s="1" t="s">
        <v>44</v>
      </c>
      <c r="L36" s="1" t="s">
        <v>45</v>
      </c>
      <c r="M36" s="1" t="s">
        <v>46</v>
      </c>
      <c r="N36" s="1" t="s">
        <v>47</v>
      </c>
      <c r="O36" s="1" t="s">
        <v>48</v>
      </c>
      <c r="P36" s="1" t="s">
        <v>49</v>
      </c>
      <c r="R36" s="35" t="s">
        <v>120</v>
      </c>
      <c r="S36" s="80">
        <v>0.4</v>
      </c>
      <c r="T36" s="80">
        <v>0.32100000000000001</v>
      </c>
      <c r="U36" s="80">
        <v>0.27700000000000002</v>
      </c>
      <c r="V36" s="80">
        <v>0.25600000000000001</v>
      </c>
      <c r="W36" s="80">
        <v>0.2</v>
      </c>
      <c r="Y36" s="81">
        <v>62.35</v>
      </c>
      <c r="Z36" s="82">
        <f>W42</f>
        <v>75.17</v>
      </c>
      <c r="AA36" s="83">
        <v>104</v>
      </c>
      <c r="AB36" s="84"/>
    </row>
    <row r="37" spans="2:28" ht="15.75" customHeight="1" x14ac:dyDescent="0.3">
      <c r="B37" s="31" t="s">
        <v>121</v>
      </c>
      <c r="C37" s="85">
        <f t="shared" ref="C37:E37" si="33">(C34/C14)^(1/20)-1</f>
        <v>0.18016648125021395</v>
      </c>
      <c r="D37" s="85">
        <f t="shared" si="33"/>
        <v>0.14730657033930128</v>
      </c>
      <c r="E37" s="85">
        <f t="shared" si="33"/>
        <v>0.15710075836744153</v>
      </c>
      <c r="F37" s="85"/>
      <c r="G37" s="85">
        <f>((10*G34)/G14)^(1/20)-1</f>
        <v>0.12607144596432729</v>
      </c>
      <c r="H37" s="85"/>
      <c r="I37" s="85">
        <f>MEDIAN(I14:I34)</f>
        <v>8.9753274198791311E-2</v>
      </c>
      <c r="J37" s="86"/>
      <c r="K37" s="87">
        <f>SUM(K13:K24)+(SUM(K25:K34))*10</f>
        <v>710</v>
      </c>
      <c r="L37" s="85">
        <f t="shared" ref="L37:M37" si="34">((10*L34)/L14)^(1/20)-1</f>
        <v>0.12991661786170727</v>
      </c>
      <c r="M37" s="85">
        <f t="shared" si="34"/>
        <v>0.15929563672826808</v>
      </c>
      <c r="N37" s="85">
        <f t="shared" ref="N37:P37" si="35">MEDIAN(N14:N34)</f>
        <v>0.15727766657134687</v>
      </c>
      <c r="O37" s="86">
        <f t="shared" si="35"/>
        <v>13.526674602315767</v>
      </c>
      <c r="P37" s="86">
        <f t="shared" si="35"/>
        <v>6.8965517241379306</v>
      </c>
      <c r="R37" s="35" t="s">
        <v>9</v>
      </c>
      <c r="S37" s="88">
        <v>1.49</v>
      </c>
      <c r="T37" s="88">
        <v>0.55800000000000005</v>
      </c>
      <c r="U37" s="88">
        <v>0.214</v>
      </c>
      <c r="V37" s="88">
        <v>0.20499999999999999</v>
      </c>
      <c r="W37" s="89">
        <v>0.38</v>
      </c>
      <c r="Y37" s="79" t="s">
        <v>34</v>
      </c>
      <c r="Z37" s="79" t="s">
        <v>122</v>
      </c>
      <c r="AA37" s="79" t="s">
        <v>123</v>
      </c>
      <c r="AB37" s="90">
        <f>Z38/21</f>
        <v>0.47638052161133176</v>
      </c>
    </row>
    <row r="38" spans="2:28" ht="15.75" customHeight="1" x14ac:dyDescent="0.3">
      <c r="B38" s="31" t="s">
        <v>124</v>
      </c>
      <c r="C38" s="91">
        <f t="shared" ref="C38:E38" si="36">(C34/C24)^(1/10)-1</f>
        <v>0.12079409816280151</v>
      </c>
      <c r="D38" s="91">
        <f t="shared" si="36"/>
        <v>0.10110469320440907</v>
      </c>
      <c r="E38" s="91">
        <f t="shared" si="36"/>
        <v>0.16743763103070686</v>
      </c>
      <c r="F38" s="91"/>
      <c r="G38" s="91">
        <f>((10*G34)/G24)^(1/10)-1</f>
        <v>0.13930876434047823</v>
      </c>
      <c r="H38" s="91"/>
      <c r="I38" s="91">
        <f t="shared" ref="I38:J38" si="37">MEDIAN(I24:I34)</f>
        <v>6.3233942146672537E-2</v>
      </c>
      <c r="J38" s="92">
        <f t="shared" si="37"/>
        <v>3.855</v>
      </c>
      <c r="K38" s="93">
        <f>(SUM(K24:K34)*10)</f>
        <v>598.00000000000011</v>
      </c>
      <c r="L38" s="91">
        <f t="shared" ref="L38:M38" si="38">((10*L34)/L24)^(1/10)-1</f>
        <v>0.12375286633072435</v>
      </c>
      <c r="M38" s="91">
        <f t="shared" si="38"/>
        <v>0.13577724486914722</v>
      </c>
      <c r="N38" s="91">
        <f t="shared" ref="N38:P38" si="39">MEDIAN(N24:N34)</f>
        <v>0.15377855887521968</v>
      </c>
      <c r="O38" s="92">
        <f t="shared" si="39"/>
        <v>14.758347978910367</v>
      </c>
      <c r="P38" s="92">
        <f t="shared" si="39"/>
        <v>7.5689531060512714</v>
      </c>
      <c r="R38" s="35" t="s">
        <v>125</v>
      </c>
      <c r="S38" s="94">
        <v>0.14199999999999999</v>
      </c>
      <c r="T38" s="94">
        <v>0.127</v>
      </c>
      <c r="U38" s="94">
        <v>0.108</v>
      </c>
      <c r="V38" s="94">
        <v>0.115</v>
      </c>
      <c r="W38" s="95">
        <v>0.13200000000000001</v>
      </c>
      <c r="Y38" s="96">
        <f>523/Y36</f>
        <v>8.3881315156375305</v>
      </c>
      <c r="Z38" s="97">
        <f>C4/Z36</f>
        <v>10.003990953837967</v>
      </c>
      <c r="AA38" s="97">
        <f ca="1">C3/AA36</f>
        <v>7.8557692307692308</v>
      </c>
      <c r="AB38" s="84"/>
    </row>
    <row r="39" spans="2:28" ht="15.75" customHeight="1" thickBot="1" x14ac:dyDescent="0.35">
      <c r="B39" s="31" t="s">
        <v>126</v>
      </c>
      <c r="C39" s="85">
        <f t="shared" ref="C39:E39" si="40">(C34/C33)-1</f>
        <v>0.18285520848668857</v>
      </c>
      <c r="D39" s="85">
        <f t="shared" si="40"/>
        <v>0.25603699408289016</v>
      </c>
      <c r="E39" s="85">
        <f t="shared" si="40"/>
        <v>0.20474557091834922</v>
      </c>
      <c r="F39" s="85"/>
      <c r="G39" s="85">
        <f>(G34/G33)-1</f>
        <v>0.20561347233360072</v>
      </c>
      <c r="H39" s="85"/>
      <c r="I39" s="85">
        <f t="shared" ref="I39:K39" si="41">I34</f>
        <v>0.115</v>
      </c>
      <c r="J39" s="86">
        <f t="shared" si="41"/>
        <v>2.2400000000000002</v>
      </c>
      <c r="K39" s="87">
        <f t="shared" si="41"/>
        <v>13.7</v>
      </c>
      <c r="L39" s="85">
        <f t="shared" ref="L39:M39" si="42">(L34/L33)-1</f>
        <v>0.2587301587301587</v>
      </c>
      <c r="M39" s="85">
        <f t="shared" si="42"/>
        <v>0.20697674418604661</v>
      </c>
      <c r="N39" s="85">
        <f t="shared" ref="N39:P39" si="43">N34</f>
        <v>0.18225355860050552</v>
      </c>
      <c r="O39" s="86">
        <f t="shared" si="43"/>
        <v>10.549421311693495</v>
      </c>
      <c r="P39" s="86">
        <f t="shared" si="43"/>
        <v>6.904350139683384</v>
      </c>
      <c r="R39" s="98" t="s">
        <v>30</v>
      </c>
      <c r="S39" s="99">
        <v>2.7799999999999998E-2</v>
      </c>
      <c r="T39" s="99">
        <v>2.5499999999999998E-2</v>
      </c>
      <c r="U39" s="99">
        <v>2.4199999999999999E-2</v>
      </c>
      <c r="V39" s="99">
        <v>2.24E-2</v>
      </c>
      <c r="W39" s="99">
        <v>2.2233333333333299E-2</v>
      </c>
    </row>
    <row r="40" spans="2:28" ht="15.75" customHeight="1" thickTop="1" x14ac:dyDescent="0.3">
      <c r="B40" s="100"/>
      <c r="O40" s="19" t="s">
        <v>127</v>
      </c>
      <c r="P40" s="19">
        <v>10</v>
      </c>
      <c r="R40" s="101"/>
      <c r="S40" s="102"/>
      <c r="T40" s="101"/>
      <c r="U40" s="101"/>
      <c r="V40" s="103"/>
      <c r="W40" s="103"/>
    </row>
    <row r="41" spans="2:28" ht="15.75" customHeight="1" x14ac:dyDescent="0.3">
      <c r="B41" s="1" t="s">
        <v>128</v>
      </c>
      <c r="C41" s="1" t="s">
        <v>15</v>
      </c>
      <c r="D41" s="1" t="s">
        <v>40</v>
      </c>
      <c r="E41" s="1" t="s">
        <v>41</v>
      </c>
      <c r="F41" s="1" t="s">
        <v>10</v>
      </c>
      <c r="G41" s="1" t="s">
        <v>42</v>
      </c>
      <c r="H41" s="1" t="s">
        <v>129</v>
      </c>
      <c r="I41" s="1" t="s">
        <v>130</v>
      </c>
      <c r="J41" s="1" t="s">
        <v>131</v>
      </c>
      <c r="K41" s="1" t="s">
        <v>132</v>
      </c>
      <c r="L41" s="1" t="s">
        <v>133</v>
      </c>
      <c r="M41" s="19"/>
      <c r="R41" s="28" t="s">
        <v>134</v>
      </c>
      <c r="S41" s="28" t="s">
        <v>135</v>
      </c>
      <c r="T41" s="28" t="s">
        <v>136</v>
      </c>
      <c r="U41" s="28" t="s">
        <v>137</v>
      </c>
      <c r="V41" s="28" t="s">
        <v>138</v>
      </c>
      <c r="W41" s="28" t="s">
        <v>117</v>
      </c>
    </row>
    <row r="42" spans="2:28" ht="15.75" customHeight="1" thickBot="1" x14ac:dyDescent="0.35">
      <c r="B42" s="104" t="s">
        <v>139</v>
      </c>
      <c r="C42" s="77">
        <v>0.12</v>
      </c>
      <c r="D42" s="77">
        <v>0.13</v>
      </c>
      <c r="E42" s="77">
        <v>0.13</v>
      </c>
      <c r="F42" s="77">
        <v>0.13</v>
      </c>
      <c r="G42" s="105">
        <f t="shared" ref="G42:H42" si="44">AVERAGE(I37:I39)</f>
        <v>8.9329072115154617E-2</v>
      </c>
      <c r="H42" s="106">
        <f t="shared" si="44"/>
        <v>3.0475000000000003</v>
      </c>
      <c r="I42" s="77">
        <f t="shared" ref="I42:K42" si="45">AVERAGE(N37:N39)</f>
        <v>0.16443659468235736</v>
      </c>
      <c r="J42" s="106">
        <f t="shared" si="45"/>
        <v>12.944814630973211</v>
      </c>
      <c r="K42" s="106">
        <f t="shared" si="45"/>
        <v>7.1232849899575283</v>
      </c>
      <c r="L42" s="106">
        <f>AVERAGE(J42:K42)</f>
        <v>10.034049810465369</v>
      </c>
      <c r="R42" s="107" t="s">
        <v>10</v>
      </c>
      <c r="S42" s="108">
        <v>20.77</v>
      </c>
      <c r="T42" s="109">
        <v>18.04</v>
      </c>
      <c r="U42" s="110">
        <v>12.4</v>
      </c>
      <c r="V42" s="110">
        <v>23.96</v>
      </c>
      <c r="W42" s="111">
        <f>SUM(S42:V42)</f>
        <v>75.17</v>
      </c>
    </row>
    <row r="43" spans="2:28" ht="15.75" customHeight="1" thickTop="1" x14ac:dyDescent="0.3">
      <c r="B43" s="31" t="s">
        <v>140</v>
      </c>
      <c r="C43" s="77">
        <v>0.14000000000000001</v>
      </c>
      <c r="D43" s="77">
        <v>0.2</v>
      </c>
      <c r="E43" s="77">
        <f>(E46/E34)-1</f>
        <v>0.38220261234553399</v>
      </c>
      <c r="F43" s="77">
        <v>0.38</v>
      </c>
      <c r="G43" s="105">
        <v>0.13200000000000001</v>
      </c>
      <c r="H43" s="16">
        <v>2.2000000000000002</v>
      </c>
      <c r="I43" s="16"/>
      <c r="J43" s="16"/>
      <c r="K43" s="16"/>
      <c r="L43" s="16"/>
    </row>
    <row r="44" spans="2:28" ht="15.75" customHeight="1" x14ac:dyDescent="0.3">
      <c r="B44" s="100"/>
    </row>
    <row r="45" spans="2:28" ht="15.75" customHeight="1" x14ac:dyDescent="0.3">
      <c r="B45" s="3" t="s">
        <v>27</v>
      </c>
      <c r="C45" s="28" t="s">
        <v>15</v>
      </c>
      <c r="D45" s="3" t="s">
        <v>40</v>
      </c>
      <c r="E45" s="3" t="s">
        <v>41</v>
      </c>
      <c r="F45" s="3" t="s">
        <v>10</v>
      </c>
      <c r="G45" s="3" t="s">
        <v>44</v>
      </c>
      <c r="H45" s="3" t="s">
        <v>141</v>
      </c>
    </row>
    <row r="46" spans="2:28" ht="15.75" customHeight="1" x14ac:dyDescent="0.3">
      <c r="B46" s="112" t="s">
        <v>140</v>
      </c>
      <c r="C46" s="113">
        <f t="shared" ref="C46:D46" si="46">FV(C43,1,0,-C34,0)</f>
        <v>4314070.08</v>
      </c>
      <c r="D46" s="113">
        <f t="shared" si="46"/>
        <v>713488.79999999993</v>
      </c>
      <c r="E46" s="113">
        <f>D46*G43</f>
        <v>94180.521599999993</v>
      </c>
      <c r="F46" s="113">
        <f>FV(F43,1,0,-G34,0)</f>
        <v>103.7346</v>
      </c>
      <c r="G46" s="114">
        <f t="shared" ref="G46:G48" si="47">F46*18%</f>
        <v>18.672228</v>
      </c>
      <c r="H46" s="114">
        <f t="shared" ref="H46:H48" si="48">F46*10</f>
        <v>1037.346</v>
      </c>
      <c r="I46" s="19"/>
      <c r="J46" s="19"/>
      <c r="L46" s="19"/>
      <c r="O46" s="19"/>
      <c r="P46" s="19"/>
    </row>
    <row r="47" spans="2:28" ht="15.75" customHeight="1" x14ac:dyDescent="0.3">
      <c r="B47" s="112" t="s">
        <v>142</v>
      </c>
      <c r="C47" s="113">
        <f t="shared" ref="C47:D47" si="49">FV(C42,5,0,-C46,0)</f>
        <v>7602865.5262299608</v>
      </c>
      <c r="D47" s="113">
        <f t="shared" si="49"/>
        <v>1314556.8651565409</v>
      </c>
      <c r="E47" s="113">
        <f>D47*G42</f>
        <v>117428.14500704022</v>
      </c>
      <c r="F47" s="113">
        <f>(E47*F46)/E46</f>
        <v>129.3405626142478</v>
      </c>
      <c r="G47" s="114">
        <f t="shared" si="47"/>
        <v>23.281301270564605</v>
      </c>
      <c r="H47" s="114">
        <f t="shared" si="48"/>
        <v>1293.405626142478</v>
      </c>
      <c r="I47" s="19"/>
      <c r="J47" s="19"/>
      <c r="L47" s="115"/>
      <c r="N47" s="115"/>
      <c r="O47" s="116"/>
      <c r="P47" s="116"/>
    </row>
    <row r="48" spans="2:28" ht="15.75" customHeight="1" thickBot="1" x14ac:dyDescent="0.35">
      <c r="B48" s="117" t="s">
        <v>143</v>
      </c>
      <c r="C48" s="118">
        <f>FV(12%,5,0,-C47,0)</f>
        <v>13398846.828639368</v>
      </c>
      <c r="D48" s="118">
        <f t="shared" ref="D48:F48" si="50">FV(D42,5,0,-D47,0)</f>
        <v>2421985.8135547359</v>
      </c>
      <c r="E48" s="118">
        <f t="shared" si="50"/>
        <v>216353.74540091242</v>
      </c>
      <c r="F48" s="118">
        <f t="shared" si="50"/>
        <v>238.30160267094439</v>
      </c>
      <c r="G48" s="119">
        <f t="shared" si="47"/>
        <v>42.894288480769987</v>
      </c>
      <c r="H48" s="119">
        <f t="shared" si="48"/>
        <v>2383.0160267094438</v>
      </c>
      <c r="I48" s="19"/>
      <c r="J48" s="19"/>
      <c r="L48" s="115"/>
      <c r="N48" s="115"/>
      <c r="O48" s="116"/>
      <c r="P48" s="116"/>
    </row>
    <row r="49" spans="2:16" ht="15.75" customHeight="1" thickTop="1" x14ac:dyDescent="0.3"/>
    <row r="50" spans="2:16" ht="15.75" customHeight="1" x14ac:dyDescent="0.3">
      <c r="H50" s="19"/>
      <c r="I50" s="19"/>
      <c r="J50" s="19"/>
      <c r="L50" s="115"/>
      <c r="N50" s="115"/>
      <c r="O50" s="116"/>
      <c r="P50" s="116"/>
    </row>
    <row r="51" spans="2:16" ht="15.75" customHeight="1" x14ac:dyDescent="0.3">
      <c r="B51" s="19"/>
      <c r="C51" s="120"/>
      <c r="D51" s="19"/>
      <c r="E51" s="120"/>
      <c r="F51" s="19"/>
      <c r="G51" s="120"/>
      <c r="H51" s="19"/>
      <c r="I51" s="19"/>
      <c r="J51" s="19"/>
      <c r="K51" s="120"/>
      <c r="L51" s="115"/>
      <c r="M51" s="115"/>
      <c r="N51" s="115"/>
      <c r="O51" s="116"/>
      <c r="P51" s="116"/>
    </row>
  </sheetData>
  <conditionalFormatting sqref="C11:C34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1:F43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6:G40 L36:L39 M37:M39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3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1:E3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3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:G34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1:G43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H34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41:H43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1:I34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6:I40 N38:N39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5:J34">
    <cfRule type="colorScale" priority="23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J36:J40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42:L42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:K34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1:M34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3:N3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1:P34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36:P3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S36:W37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38:W3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23:U26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38:AA3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A23:AA27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B23:AB27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E23:AF27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G23:AG27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H23:AH27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C18B-F3F3-4FC2-9433-59976A426F9E}">
  <dimension ref="B1:U1000"/>
  <sheetViews>
    <sheetView showGridLines="0" workbookViewId="0">
      <selection activeCell="F31" sqref="F31"/>
    </sheetView>
  </sheetViews>
  <sheetFormatPr defaultColWidth="12.6640625" defaultRowHeight="15.75" customHeight="1" x14ac:dyDescent="0.3"/>
  <cols>
    <col min="1" max="2" width="8.6640625" customWidth="1"/>
    <col min="3" max="3" width="26.44140625" customWidth="1"/>
    <col min="4" max="4" width="12" customWidth="1"/>
    <col min="5" max="5" width="11" customWidth="1"/>
    <col min="6" max="6" width="8.6640625" customWidth="1"/>
    <col min="7" max="7" width="12" customWidth="1"/>
    <col min="8" max="8" width="10.6640625" customWidth="1"/>
    <col min="9" max="17" width="8.6640625" customWidth="1"/>
    <col min="18" max="18" width="8.44140625" customWidth="1"/>
    <col min="19" max="19" width="21.88671875" customWidth="1"/>
    <col min="20" max="20" width="8.44140625" customWidth="1"/>
    <col min="21" max="26" width="8.6640625" customWidth="1"/>
  </cols>
  <sheetData>
    <row r="1" spans="2:17" ht="12.75" customHeight="1" x14ac:dyDescent="0.3"/>
    <row r="2" spans="2:17" ht="12.75" customHeight="1" x14ac:dyDescent="0.3">
      <c r="B2" s="129" t="s">
        <v>103</v>
      </c>
      <c r="C2" s="130"/>
      <c r="D2" s="129" t="s">
        <v>103</v>
      </c>
      <c r="E2" s="129" t="s">
        <v>111</v>
      </c>
      <c r="F2" s="130"/>
      <c r="G2" s="129" t="s">
        <v>111</v>
      </c>
      <c r="H2" s="130"/>
      <c r="I2" s="130"/>
      <c r="J2" s="130"/>
      <c r="K2" s="130"/>
      <c r="L2" s="130"/>
      <c r="M2" s="130"/>
      <c r="N2" s="130"/>
      <c r="O2" s="130"/>
    </row>
    <row r="3" spans="2:17" ht="12.75" customHeight="1" x14ac:dyDescent="0.3">
      <c r="B3" s="131" t="s">
        <v>253</v>
      </c>
      <c r="C3" s="131" t="s">
        <v>254</v>
      </c>
      <c r="D3" s="131" t="s">
        <v>255</v>
      </c>
      <c r="E3" s="131" t="s">
        <v>255</v>
      </c>
      <c r="F3" s="131" t="s">
        <v>26</v>
      </c>
      <c r="G3" s="131" t="s">
        <v>256</v>
      </c>
      <c r="H3" s="132" t="s">
        <v>257</v>
      </c>
      <c r="I3" s="132" t="s">
        <v>258</v>
      </c>
      <c r="J3" s="132" t="s">
        <v>259</v>
      </c>
      <c r="K3" s="132" t="s">
        <v>260</v>
      </c>
      <c r="L3" s="132" t="s">
        <v>261</v>
      </c>
      <c r="M3" s="132" t="s">
        <v>262</v>
      </c>
      <c r="N3" s="132" t="s">
        <v>263</v>
      </c>
      <c r="O3" s="132" t="s">
        <v>264</v>
      </c>
      <c r="P3" s="132" t="s">
        <v>265</v>
      </c>
      <c r="Q3" s="132" t="s">
        <v>266</v>
      </c>
    </row>
    <row r="4" spans="2:17" ht="12.75" customHeight="1" x14ac:dyDescent="0.3">
      <c r="B4" s="130">
        <v>21</v>
      </c>
      <c r="C4" s="133" t="s">
        <v>151</v>
      </c>
      <c r="D4" s="129">
        <v>5697349.7121000001</v>
      </c>
      <c r="E4" s="134">
        <v>8283763.0861280002</v>
      </c>
      <c r="F4" s="135">
        <f t="shared" ref="F4:F7" si="0">(E4/D4)^(1/5)-1</f>
        <v>7.7732447261077642E-2</v>
      </c>
      <c r="G4" s="130">
        <v>12</v>
      </c>
      <c r="H4" s="136">
        <v>971421.1139</v>
      </c>
      <c r="I4" s="136">
        <v>104649.35097</v>
      </c>
      <c r="J4" s="137">
        <f t="shared" ref="J4:J7" si="1">I4/H4</f>
        <v>0.10772810007171905</v>
      </c>
      <c r="K4" s="138">
        <v>8.35</v>
      </c>
      <c r="L4" s="19">
        <v>5.0999999999999996</v>
      </c>
      <c r="M4" s="138">
        <v>1.7</v>
      </c>
      <c r="N4" s="139">
        <v>70.25</v>
      </c>
      <c r="O4" s="130">
        <v>0.8</v>
      </c>
      <c r="P4" s="130">
        <v>10.199999999999999</v>
      </c>
      <c r="Q4" s="130">
        <v>1310743</v>
      </c>
    </row>
    <row r="5" spans="2:17" ht="12.75" customHeight="1" x14ac:dyDescent="0.3">
      <c r="B5" s="130">
        <v>21</v>
      </c>
      <c r="C5" s="133" t="s">
        <v>153</v>
      </c>
      <c r="D5" s="129">
        <v>2662753.0665620002</v>
      </c>
      <c r="E5" s="134">
        <v>5366675.2868760005</v>
      </c>
      <c r="F5" s="135">
        <f t="shared" si="0"/>
        <v>0.15046890519219835</v>
      </c>
      <c r="G5" s="130">
        <v>21</v>
      </c>
      <c r="H5" s="136">
        <v>690556.997859</v>
      </c>
      <c r="I5" s="136">
        <v>124135.607045</v>
      </c>
      <c r="J5" s="137">
        <f t="shared" si="1"/>
        <v>0.17976156556210351</v>
      </c>
      <c r="K5" s="138">
        <v>1.93</v>
      </c>
      <c r="L5" s="19">
        <v>1.9</v>
      </c>
      <c r="M5" s="138">
        <v>0.86</v>
      </c>
      <c r="N5" s="139">
        <v>82.7</v>
      </c>
      <c r="O5" s="130">
        <v>1.2</v>
      </c>
      <c r="P5" s="130">
        <v>13.5</v>
      </c>
      <c r="Q5" s="130">
        <v>3174942</v>
      </c>
    </row>
    <row r="6" spans="2:17" ht="12.75" customHeight="1" x14ac:dyDescent="0.3">
      <c r="B6" s="130">
        <v>45</v>
      </c>
      <c r="C6" s="133" t="s">
        <v>154</v>
      </c>
      <c r="D6" s="140">
        <v>351015.72100000002</v>
      </c>
      <c r="E6" s="134">
        <v>491029.37175599998</v>
      </c>
      <c r="F6" s="135">
        <f t="shared" si="0"/>
        <v>6.9439401054201877E-2</v>
      </c>
      <c r="G6" s="130">
        <v>44</v>
      </c>
      <c r="H6" s="136">
        <v>108268.45200200001</v>
      </c>
      <c r="I6" s="136">
        <v>30145.167127000001</v>
      </c>
      <c r="J6" s="137">
        <f t="shared" si="1"/>
        <v>0.27842983407985866</v>
      </c>
      <c r="K6" s="130">
        <v>0.8</v>
      </c>
      <c r="L6" s="19">
        <v>1.3</v>
      </c>
      <c r="M6" s="130">
        <v>0.6</v>
      </c>
      <c r="N6" s="139">
        <v>74.900000000000006</v>
      </c>
      <c r="O6" s="130">
        <v>0.9</v>
      </c>
      <c r="P6" s="130">
        <v>3.6</v>
      </c>
      <c r="Q6" s="130"/>
    </row>
    <row r="7" spans="2:17" ht="12.75" customHeight="1" x14ac:dyDescent="0.3">
      <c r="B7" s="130">
        <v>6</v>
      </c>
      <c r="C7" s="133" t="s">
        <v>155</v>
      </c>
      <c r="D7" s="129">
        <v>34878.991600000001</v>
      </c>
      <c r="E7" s="134">
        <v>163963.05692900001</v>
      </c>
      <c r="F7" s="135">
        <f t="shared" si="0"/>
        <v>0.3628134693616718</v>
      </c>
      <c r="G7" s="130">
        <v>12</v>
      </c>
      <c r="H7" s="136">
        <v>33805.952891000001</v>
      </c>
      <c r="I7" s="136">
        <v>4162.3202950000004</v>
      </c>
      <c r="J7" s="137">
        <f t="shared" si="1"/>
        <v>0.123123886151664</v>
      </c>
      <c r="K7" s="130">
        <v>1.2</v>
      </c>
      <c r="L7" s="19">
        <v>0.7</v>
      </c>
      <c r="M7" s="130">
        <v>1.2</v>
      </c>
      <c r="N7" s="139">
        <v>95.13</v>
      </c>
      <c r="O7" s="130">
        <v>1.2</v>
      </c>
      <c r="P7" s="130">
        <v>13.8</v>
      </c>
      <c r="Q7" s="130">
        <v>87979</v>
      </c>
    </row>
    <row r="8" spans="2:17" ht="12.75" customHeight="1" x14ac:dyDescent="0.3">
      <c r="B8" s="130"/>
      <c r="C8" s="130"/>
      <c r="D8" s="141"/>
      <c r="E8" s="130"/>
      <c r="F8" s="130"/>
      <c r="G8" s="130"/>
      <c r="H8" s="130"/>
      <c r="I8" s="130"/>
      <c r="J8" s="130"/>
      <c r="K8" s="130"/>
      <c r="M8" s="130"/>
      <c r="N8" s="130"/>
      <c r="O8" s="130"/>
      <c r="P8" s="130"/>
      <c r="Q8" s="130"/>
    </row>
    <row r="9" spans="2:17" ht="12.75" customHeight="1" x14ac:dyDescent="0.3">
      <c r="B9" s="142">
        <f>SUM(B4:B7)</f>
        <v>93</v>
      </c>
      <c r="C9" s="143" t="s">
        <v>267</v>
      </c>
      <c r="D9" s="144">
        <v>8745997.4912620001</v>
      </c>
      <c r="E9" s="145">
        <v>14305430.928289</v>
      </c>
      <c r="F9" s="146">
        <f>(E9/D9)^(1/5)-1</f>
        <v>0.10341356637164489</v>
      </c>
      <c r="G9" s="142">
        <f>SUM(G4:G7)</f>
        <v>89</v>
      </c>
      <c r="H9" s="147">
        <v>1810017.9001519999</v>
      </c>
      <c r="I9" s="147">
        <v>263213.872737</v>
      </c>
      <c r="J9" s="148">
        <f>I9/H9</f>
        <v>0.1454205909869157</v>
      </c>
      <c r="K9" s="149">
        <v>5.5</v>
      </c>
      <c r="L9" s="149">
        <f>AVERAGE(L4:L7)</f>
        <v>2.25</v>
      </c>
      <c r="M9" s="149">
        <v>0.8</v>
      </c>
      <c r="N9" s="149">
        <f t="shared" ref="N9:P9" si="2">AVERAGE(N4:N7)</f>
        <v>80.745000000000005</v>
      </c>
      <c r="O9" s="149">
        <f t="shared" si="2"/>
        <v>1.0249999999999999</v>
      </c>
      <c r="P9" s="149">
        <f t="shared" si="2"/>
        <v>10.275</v>
      </c>
      <c r="Q9" s="130">
        <f>SUM(Q4:Q7)</f>
        <v>4573664</v>
      </c>
    </row>
    <row r="10" spans="2:17" ht="12.75" customHeight="1" x14ac:dyDescent="0.3">
      <c r="C10" s="150"/>
      <c r="D10" s="151"/>
    </row>
    <row r="11" spans="2:17" ht="12.75" customHeight="1" x14ac:dyDescent="0.3"/>
    <row r="12" spans="2:17" ht="12.75" customHeight="1" x14ac:dyDescent="0.3">
      <c r="B12" s="130"/>
      <c r="C12" s="133"/>
      <c r="D12" s="129" t="s">
        <v>103</v>
      </c>
      <c r="E12" s="129" t="s">
        <v>111</v>
      </c>
      <c r="F12" s="130"/>
      <c r="G12" s="130"/>
      <c r="H12" s="130"/>
      <c r="I12" s="130"/>
      <c r="J12" s="129" t="s">
        <v>103</v>
      </c>
      <c r="K12" s="129" t="s">
        <v>108</v>
      </c>
      <c r="L12" s="129" t="s">
        <v>111</v>
      </c>
      <c r="M12" s="130"/>
      <c r="N12" s="130"/>
      <c r="O12" s="130"/>
    </row>
    <row r="13" spans="2:17" ht="12.75" customHeight="1" x14ac:dyDescent="0.3">
      <c r="B13" s="130" t="s">
        <v>268</v>
      </c>
      <c r="C13" s="133" t="s">
        <v>151</v>
      </c>
      <c r="D13" s="131" t="s">
        <v>255</v>
      </c>
      <c r="E13" s="131" t="s">
        <v>255</v>
      </c>
      <c r="F13" s="131" t="s">
        <v>26</v>
      </c>
      <c r="G13" s="132" t="s">
        <v>257</v>
      </c>
      <c r="H13" s="132" t="s">
        <v>258</v>
      </c>
      <c r="I13" s="132" t="s">
        <v>259</v>
      </c>
      <c r="J13" s="132" t="s">
        <v>260</v>
      </c>
      <c r="K13" s="132" t="s">
        <v>261</v>
      </c>
      <c r="L13" s="132" t="s">
        <v>262</v>
      </c>
      <c r="M13" s="132" t="s">
        <v>263</v>
      </c>
      <c r="N13" s="132" t="s">
        <v>264</v>
      </c>
      <c r="O13" s="132" t="s">
        <v>265</v>
      </c>
      <c r="P13" s="132" t="s">
        <v>266</v>
      </c>
    </row>
    <row r="14" spans="2:17" ht="12.75" customHeight="1" x14ac:dyDescent="0.3">
      <c r="B14" s="130">
        <v>1</v>
      </c>
      <c r="C14" s="152" t="s">
        <v>159</v>
      </c>
      <c r="D14" s="153">
        <v>1934880.1891000001</v>
      </c>
      <c r="E14" s="154">
        <v>3199269.2969999998</v>
      </c>
      <c r="F14" s="135">
        <f t="shared" ref="F14:F25" si="3">(E14/D14)^(1/5)-1</f>
        <v>0.10580702354375959</v>
      </c>
      <c r="G14" s="155">
        <v>368718.65779999999</v>
      </c>
      <c r="H14" s="155">
        <v>50232.453600000001</v>
      </c>
      <c r="I14" s="137">
        <f t="shared" ref="I14:I25" si="4">H14/G14</f>
        <v>0.13623518240090535</v>
      </c>
      <c r="J14" s="156">
        <v>5.73</v>
      </c>
      <c r="K14" s="157">
        <v>2.23</v>
      </c>
      <c r="L14" s="158">
        <v>0.67</v>
      </c>
      <c r="M14" s="158">
        <v>72.319845999999998</v>
      </c>
      <c r="N14" s="159">
        <v>0.96</v>
      </c>
      <c r="O14" s="159">
        <v>16.532086</v>
      </c>
      <c r="P14" s="130">
        <v>570416</v>
      </c>
    </row>
    <row r="15" spans="2:17" ht="12.75" customHeight="1" x14ac:dyDescent="0.3">
      <c r="B15" s="130">
        <v>2</v>
      </c>
      <c r="C15" s="152" t="s">
        <v>165</v>
      </c>
      <c r="D15" s="129">
        <v>427431.83130000002</v>
      </c>
      <c r="E15" s="134">
        <v>940998.26980000001</v>
      </c>
      <c r="F15" s="135">
        <f t="shared" si="3"/>
        <v>0.1709662899969524</v>
      </c>
      <c r="G15" s="160">
        <v>99614.376600000003</v>
      </c>
      <c r="H15" s="161">
        <v>14109.6167</v>
      </c>
      <c r="I15" s="137">
        <f t="shared" si="4"/>
        <v>0.14164237313512434</v>
      </c>
      <c r="J15" s="156">
        <v>5.49</v>
      </c>
      <c r="K15" s="162">
        <v>3.13</v>
      </c>
      <c r="L15" s="163">
        <v>0.89</v>
      </c>
      <c r="M15" s="163">
        <v>78.176275000000004</v>
      </c>
      <c r="N15" s="164">
        <v>1.03</v>
      </c>
      <c r="O15" s="164">
        <v>15.325494000000001</v>
      </c>
      <c r="P15" s="130">
        <v>119226</v>
      </c>
    </row>
    <row r="16" spans="2:17" ht="12.75" customHeight="1" x14ac:dyDescent="0.3">
      <c r="B16" s="130">
        <v>3</v>
      </c>
      <c r="C16" s="152" t="s">
        <v>166</v>
      </c>
      <c r="D16" s="129">
        <v>433734.72129999998</v>
      </c>
      <c r="E16" s="134">
        <v>830833.98129999998</v>
      </c>
      <c r="F16" s="135">
        <f t="shared" si="3"/>
        <v>0.13882767431197451</v>
      </c>
      <c r="G16" s="160">
        <v>97286.642600000006</v>
      </c>
      <c r="H16" s="161">
        <v>2507.2049000000002</v>
      </c>
      <c r="I16" s="137">
        <f t="shared" si="4"/>
        <v>2.5771316935136995E-2</v>
      </c>
      <c r="J16" s="165">
        <v>11.24</v>
      </c>
      <c r="K16" s="162">
        <v>5.78</v>
      </c>
      <c r="L16" s="163">
        <v>2.72</v>
      </c>
      <c r="M16" s="163">
        <v>64.849976999999996</v>
      </c>
      <c r="N16" s="164">
        <v>0.18</v>
      </c>
      <c r="O16" s="164">
        <v>2.566983</v>
      </c>
      <c r="P16" s="130">
        <v>106784</v>
      </c>
    </row>
    <row r="17" spans="2:21" ht="12.75" customHeight="1" x14ac:dyDescent="0.3">
      <c r="B17" s="130">
        <v>4</v>
      </c>
      <c r="C17" s="152" t="s">
        <v>171</v>
      </c>
      <c r="D17" s="153">
        <v>381702.98639999999</v>
      </c>
      <c r="E17" s="154">
        <v>830672.55240000004</v>
      </c>
      <c r="F17" s="135">
        <f t="shared" si="3"/>
        <v>0.16826364059229482</v>
      </c>
      <c r="G17" s="155">
        <v>103186.98480000001</v>
      </c>
      <c r="H17" s="155">
        <v>10603.7649</v>
      </c>
      <c r="I17" s="137">
        <f t="shared" si="4"/>
        <v>0.10276261992297307</v>
      </c>
      <c r="J17" s="165">
        <v>7.48</v>
      </c>
      <c r="K17" s="157">
        <v>4.22</v>
      </c>
      <c r="L17" s="158">
        <v>1.73</v>
      </c>
      <c r="M17" s="158">
        <v>70.442626000000004</v>
      </c>
      <c r="N17" s="159">
        <v>0.81</v>
      </c>
      <c r="O17" s="159">
        <v>15.178756999999999</v>
      </c>
      <c r="P17" s="130">
        <v>80520</v>
      </c>
    </row>
    <row r="18" spans="2:21" ht="12.75" customHeight="1" x14ac:dyDescent="0.3">
      <c r="B18" s="130">
        <v>5</v>
      </c>
      <c r="C18" s="152" t="s">
        <v>173</v>
      </c>
      <c r="D18" s="129">
        <v>288760.58250000002</v>
      </c>
      <c r="E18" s="154">
        <v>761845.45770000003</v>
      </c>
      <c r="F18" s="135">
        <f t="shared" si="3"/>
        <v>0.21413168972174557</v>
      </c>
      <c r="G18" s="155">
        <v>95376.491599999994</v>
      </c>
      <c r="H18" s="155">
        <v>8433.2777000000006</v>
      </c>
      <c r="I18" s="137">
        <f t="shared" si="4"/>
        <v>8.8420925938106132E-2</v>
      </c>
      <c r="J18" s="165">
        <v>8.42</v>
      </c>
      <c r="K18" s="162">
        <v>5.49</v>
      </c>
      <c r="L18" s="158">
        <v>1.7</v>
      </c>
      <c r="M18" s="158">
        <v>68.160895999999994</v>
      </c>
      <c r="N18" s="159">
        <v>0.69</v>
      </c>
      <c r="O18" s="159">
        <v>11.326651</v>
      </c>
      <c r="P18" s="130">
        <v>89691</v>
      </c>
    </row>
    <row r="19" spans="2:21" ht="12.75" customHeight="1" x14ac:dyDescent="0.3">
      <c r="B19" s="130">
        <v>6</v>
      </c>
      <c r="C19" s="152" t="s">
        <v>176</v>
      </c>
      <c r="D19" s="153">
        <v>341380.18660000002</v>
      </c>
      <c r="E19" s="154">
        <v>485899.63520000002</v>
      </c>
      <c r="F19" s="135">
        <f t="shared" si="3"/>
        <v>7.3153020593360596E-2</v>
      </c>
      <c r="G19" s="155">
        <v>54747.612699999998</v>
      </c>
      <c r="H19" s="155">
        <v>4022.94</v>
      </c>
      <c r="I19" s="137">
        <f t="shared" si="4"/>
        <v>7.3481560228835327E-2</v>
      </c>
      <c r="J19" s="165">
        <v>8.2799999999999994</v>
      </c>
      <c r="K19" s="157">
        <v>3.88</v>
      </c>
      <c r="L19" s="158">
        <v>1.66</v>
      </c>
      <c r="M19" s="158">
        <v>72.567198000000005</v>
      </c>
      <c r="N19" s="159">
        <v>0.49</v>
      </c>
      <c r="O19" s="159">
        <v>7.0514890000000001</v>
      </c>
      <c r="P19" s="130">
        <v>52060</v>
      </c>
    </row>
    <row r="20" spans="2:21" ht="12.75" customHeight="1" x14ac:dyDescent="0.3">
      <c r="B20" s="130">
        <v>7</v>
      </c>
      <c r="C20" s="152" t="s">
        <v>178</v>
      </c>
      <c r="D20" s="129">
        <v>156568.92850000001</v>
      </c>
      <c r="E20" s="154">
        <v>449296.73369999998</v>
      </c>
      <c r="F20" s="135">
        <f t="shared" si="3"/>
        <v>0.23471162293359438</v>
      </c>
      <c r="G20" s="155">
        <v>52085.275500000003</v>
      </c>
      <c r="H20" s="155">
        <v>5281.7021000000004</v>
      </c>
      <c r="I20" s="137">
        <f t="shared" si="4"/>
        <v>0.10140489897187931</v>
      </c>
      <c r="J20" s="165">
        <v>3.81</v>
      </c>
      <c r="K20" s="162">
        <v>3.13</v>
      </c>
      <c r="L20" s="158">
        <v>0.9</v>
      </c>
      <c r="M20" s="158">
        <v>72.331214000000003</v>
      </c>
      <c r="N20" s="159">
        <v>0.77</v>
      </c>
      <c r="O20" s="159">
        <v>11.521841999999999</v>
      </c>
      <c r="P20" s="130">
        <v>56101</v>
      </c>
    </row>
    <row r="21" spans="2:21" ht="12.75" customHeight="1" x14ac:dyDescent="0.3">
      <c r="B21" s="130">
        <v>8</v>
      </c>
      <c r="C21" s="152" t="s">
        <v>184</v>
      </c>
      <c r="D21" s="129">
        <v>156542.1771</v>
      </c>
      <c r="E21" s="134">
        <v>202984.30650000001</v>
      </c>
      <c r="F21" s="135">
        <f t="shared" si="3"/>
        <v>5.3334280830397818E-2</v>
      </c>
      <c r="G21" s="160">
        <v>29625.600600000002</v>
      </c>
      <c r="H21" s="161">
        <v>1582.2012</v>
      </c>
      <c r="I21" s="137">
        <f t="shared" si="4"/>
        <v>5.340655270968582E-2</v>
      </c>
      <c r="J21" s="156">
        <v>11.1</v>
      </c>
      <c r="K21" s="162">
        <v>7.63</v>
      </c>
      <c r="L21" s="163">
        <v>1.77</v>
      </c>
      <c r="M21" s="163">
        <v>56.494934999999998</v>
      </c>
      <c r="N21" s="164">
        <v>0.44</v>
      </c>
      <c r="O21" s="164">
        <v>5.5873020000000002</v>
      </c>
      <c r="P21" s="130">
        <v>44317</v>
      </c>
    </row>
    <row r="22" spans="2:21" ht="12.75" customHeight="1" x14ac:dyDescent="0.3">
      <c r="B22" s="130">
        <v>9</v>
      </c>
      <c r="C22" s="152" t="s">
        <v>190</v>
      </c>
      <c r="D22" s="153">
        <v>132488.8149</v>
      </c>
      <c r="E22" s="134">
        <v>178052.57372799999</v>
      </c>
      <c r="F22" s="135">
        <f t="shared" si="3"/>
        <v>6.0898433322496004E-2</v>
      </c>
      <c r="G22" s="160">
        <v>23509.0743</v>
      </c>
      <c r="H22" s="161">
        <v>2098.7858700000002</v>
      </c>
      <c r="I22" s="137">
        <f t="shared" si="4"/>
        <v>8.9275564116958875E-2</v>
      </c>
      <c r="J22" s="156">
        <v>15.33</v>
      </c>
      <c r="K22" s="157">
        <v>5.44</v>
      </c>
      <c r="L22" s="163">
        <v>1.83</v>
      </c>
      <c r="M22" s="163">
        <v>68.249896000000007</v>
      </c>
      <c r="N22" s="164">
        <v>0.76</v>
      </c>
      <c r="O22" s="164">
        <v>8.6972260000000006</v>
      </c>
      <c r="P22" s="130">
        <v>82263</v>
      </c>
    </row>
    <row r="23" spans="2:21" ht="12.75" customHeight="1" x14ac:dyDescent="0.3">
      <c r="B23" s="130">
        <v>10</v>
      </c>
      <c r="C23" s="152" t="s">
        <v>192</v>
      </c>
      <c r="D23" s="129">
        <v>85797.277499999997</v>
      </c>
      <c r="E23" s="134">
        <v>171220.67120000001</v>
      </c>
      <c r="F23" s="135">
        <f t="shared" si="3"/>
        <v>0.14819734316729383</v>
      </c>
      <c r="G23" s="160">
        <v>18178.729299999999</v>
      </c>
      <c r="H23" s="161">
        <v>2602.0374000000002</v>
      </c>
      <c r="I23" s="137">
        <f t="shared" si="4"/>
        <v>0.14313637422391234</v>
      </c>
      <c r="J23" s="156">
        <v>11.24</v>
      </c>
      <c r="K23" s="162">
        <v>4.7699999999999996</v>
      </c>
      <c r="L23" s="163">
        <v>0.25</v>
      </c>
      <c r="M23" s="163">
        <v>73.145381</v>
      </c>
      <c r="N23" s="164">
        <v>1.1000000000000001</v>
      </c>
      <c r="O23" s="164">
        <v>17.643841999999999</v>
      </c>
      <c r="P23" s="130">
        <v>32185</v>
      </c>
    </row>
    <row r="24" spans="2:21" ht="12.75" customHeight="1" x14ac:dyDescent="0.3">
      <c r="B24" s="130">
        <v>11</v>
      </c>
      <c r="C24" s="152" t="s">
        <v>191</v>
      </c>
      <c r="D24" s="153">
        <v>107470.0212</v>
      </c>
      <c r="E24" s="134">
        <v>155870.17869999999</v>
      </c>
      <c r="F24" s="135">
        <f t="shared" si="3"/>
        <v>7.719701122109468E-2</v>
      </c>
      <c r="G24" s="160">
        <v>20158.9764</v>
      </c>
      <c r="H24" s="161">
        <v>1862.3376000000001</v>
      </c>
      <c r="I24" s="137">
        <f t="shared" si="4"/>
        <v>9.2382547756740277E-2</v>
      </c>
      <c r="J24" s="156">
        <v>13.1</v>
      </c>
      <c r="K24" s="157">
        <v>5.45</v>
      </c>
      <c r="L24" s="163">
        <v>1.29</v>
      </c>
      <c r="M24" s="163">
        <v>62.513672999999997</v>
      </c>
      <c r="N24" s="164">
        <v>0.62</v>
      </c>
      <c r="O24" s="164">
        <v>7.5462439999999997</v>
      </c>
      <c r="P24" s="130">
        <v>47656</v>
      </c>
    </row>
    <row r="25" spans="2:21" ht="12.75" customHeight="1" x14ac:dyDescent="0.3">
      <c r="B25" s="130">
        <v>12</v>
      </c>
      <c r="C25" s="152" t="s">
        <v>202</v>
      </c>
      <c r="D25" s="153">
        <v>66569.446899999995</v>
      </c>
      <c r="E25" s="154">
        <v>76819.428899999999</v>
      </c>
      <c r="F25" s="135">
        <f t="shared" si="3"/>
        <v>2.9056511625873194E-2</v>
      </c>
      <c r="G25" s="155">
        <v>8932.6916999999994</v>
      </c>
      <c r="H25" s="155">
        <v>1313.029</v>
      </c>
      <c r="I25" s="137">
        <f t="shared" si="4"/>
        <v>0.14699141581254843</v>
      </c>
      <c r="J25" s="156">
        <v>6.93</v>
      </c>
      <c r="K25" s="157">
        <v>8.0299999999999994</v>
      </c>
      <c r="L25" s="158">
        <v>1.84</v>
      </c>
      <c r="M25" s="158">
        <v>70.048862999999997</v>
      </c>
      <c r="N25" s="159">
        <v>0.98</v>
      </c>
      <c r="O25" s="159">
        <v>9.0183359999999997</v>
      </c>
      <c r="P25" s="130">
        <v>29524</v>
      </c>
    </row>
    <row r="26" spans="2:21" ht="12.75" customHeight="1" x14ac:dyDescent="0.3">
      <c r="B26" s="130">
        <v>13</v>
      </c>
      <c r="C26" s="152" t="s">
        <v>269</v>
      </c>
      <c r="D26" s="129">
        <v>152060.74419999999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</row>
    <row r="27" spans="2:21" ht="12.75" customHeight="1" x14ac:dyDescent="0.3">
      <c r="B27" s="130">
        <v>14</v>
      </c>
      <c r="C27" s="152" t="s">
        <v>270</v>
      </c>
      <c r="D27" s="153">
        <v>149064.125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</row>
    <row r="28" spans="2:21" ht="12.75" customHeight="1" x14ac:dyDescent="0.3">
      <c r="B28" s="130">
        <v>15</v>
      </c>
      <c r="C28" s="152" t="s">
        <v>271</v>
      </c>
      <c r="D28" s="153">
        <v>119868.8371</v>
      </c>
      <c r="E28" s="130"/>
      <c r="F28" s="130"/>
      <c r="G28" s="130"/>
      <c r="H28" s="130"/>
      <c r="I28" s="130"/>
      <c r="J28" s="166"/>
      <c r="K28" s="130"/>
      <c r="L28" s="130"/>
      <c r="M28" s="166"/>
      <c r="N28" s="166"/>
      <c r="O28" s="130"/>
    </row>
    <row r="29" spans="2:21" ht="12.75" customHeight="1" x14ac:dyDescent="0.3">
      <c r="B29" s="130">
        <v>16</v>
      </c>
      <c r="C29" s="152" t="s">
        <v>272</v>
      </c>
      <c r="D29" s="129">
        <v>65581.5144</v>
      </c>
      <c r="E29" s="130"/>
      <c r="F29" s="130"/>
      <c r="G29" s="130"/>
      <c r="H29" s="130"/>
      <c r="I29" s="130"/>
      <c r="J29" s="166"/>
      <c r="K29" s="130"/>
      <c r="L29" s="130"/>
      <c r="M29" s="166"/>
      <c r="N29" s="166"/>
      <c r="O29" s="130"/>
      <c r="T29" s="167"/>
      <c r="U29" s="167"/>
    </row>
    <row r="30" spans="2:21" ht="12.75" customHeight="1" x14ac:dyDescent="0.3">
      <c r="B30" s="130">
        <v>17</v>
      </c>
      <c r="C30" s="152" t="s">
        <v>187</v>
      </c>
      <c r="D30" s="153">
        <v>171739.94510000001</v>
      </c>
      <c r="E30" s="130"/>
      <c r="F30" s="130"/>
      <c r="G30" s="130"/>
      <c r="H30" s="130"/>
      <c r="I30" s="130"/>
      <c r="J30" s="166"/>
      <c r="K30" s="130"/>
      <c r="L30" s="130"/>
      <c r="M30" s="166"/>
      <c r="N30" s="166"/>
      <c r="O30" s="130"/>
      <c r="T30" s="167"/>
      <c r="U30" s="167"/>
    </row>
    <row r="31" spans="2:21" ht="12.75" customHeight="1" x14ac:dyDescent="0.3">
      <c r="B31" s="130">
        <v>18</v>
      </c>
      <c r="C31" s="152" t="s">
        <v>273</v>
      </c>
      <c r="D31" s="129">
        <v>136367.87289999999</v>
      </c>
      <c r="E31" s="130"/>
      <c r="F31" s="130"/>
      <c r="G31" s="130"/>
      <c r="H31" s="130"/>
      <c r="I31" s="130"/>
      <c r="J31" s="166"/>
      <c r="K31" s="130"/>
      <c r="L31" s="130"/>
      <c r="M31" s="166"/>
      <c r="N31" s="166"/>
      <c r="O31" s="130"/>
      <c r="T31" s="167"/>
      <c r="U31" s="167"/>
    </row>
    <row r="32" spans="2:21" ht="12.75" customHeight="1" x14ac:dyDescent="0.3">
      <c r="B32" s="130">
        <v>19</v>
      </c>
      <c r="C32" s="152" t="s">
        <v>274</v>
      </c>
      <c r="D32" s="129">
        <v>210683.86799999999</v>
      </c>
      <c r="E32" s="130"/>
      <c r="F32" s="130"/>
      <c r="G32" s="130"/>
      <c r="H32" s="130"/>
      <c r="I32" s="130"/>
      <c r="J32" s="166"/>
      <c r="K32" s="130"/>
      <c r="L32" s="130"/>
      <c r="M32" s="166"/>
      <c r="N32" s="166"/>
      <c r="O32" s="130"/>
    </row>
    <row r="33" spans="2:16" ht="12.75" customHeight="1" x14ac:dyDescent="0.3">
      <c r="B33" s="130">
        <v>20</v>
      </c>
      <c r="C33" s="152" t="s">
        <v>275</v>
      </c>
      <c r="D33" s="153">
        <v>62490.199800000002</v>
      </c>
      <c r="E33" s="130"/>
      <c r="F33" s="130"/>
      <c r="G33" s="130"/>
      <c r="H33" s="130"/>
      <c r="I33" s="130"/>
      <c r="J33" s="166"/>
      <c r="K33" s="130"/>
      <c r="L33" s="130"/>
      <c r="M33" s="166"/>
      <c r="N33" s="166"/>
      <c r="O33" s="130"/>
    </row>
    <row r="34" spans="2:16" ht="12.75" customHeight="1" x14ac:dyDescent="0.3">
      <c r="B34" s="130">
        <v>21</v>
      </c>
      <c r="C34" s="152" t="s">
        <v>276</v>
      </c>
      <c r="D34" s="129">
        <v>116165.4423</v>
      </c>
      <c r="E34" s="130"/>
      <c r="F34" s="130"/>
      <c r="G34" s="130"/>
      <c r="H34" s="130"/>
      <c r="I34" s="130"/>
      <c r="J34" s="166"/>
      <c r="K34" s="130"/>
      <c r="L34" s="130"/>
      <c r="M34" s="166"/>
      <c r="N34" s="166"/>
      <c r="O34" s="130"/>
    </row>
    <row r="35" spans="2:16" ht="12.75" customHeight="1" x14ac:dyDescent="0.3">
      <c r="J35" s="168"/>
      <c r="M35" s="168"/>
      <c r="N35" s="168"/>
    </row>
    <row r="36" spans="2:16" ht="12.75" customHeight="1" x14ac:dyDescent="0.3">
      <c r="B36" s="19">
        <v>21</v>
      </c>
      <c r="C36" s="169" t="s">
        <v>151</v>
      </c>
      <c r="D36" s="170">
        <v>5697349.7121000001</v>
      </c>
      <c r="E36" s="171">
        <v>8283763.0861280002</v>
      </c>
      <c r="F36" s="172">
        <f>(E36/D36)^(1/5)-1</f>
        <v>7.7732447261077642E-2</v>
      </c>
      <c r="G36" s="173">
        <v>971421.1139</v>
      </c>
      <c r="H36" s="174">
        <v>104649.35097</v>
      </c>
      <c r="I36" s="167">
        <f>H36/G36</f>
        <v>0.10772810007171905</v>
      </c>
      <c r="J36" s="168">
        <f t="shared" ref="J36:O36" si="5">MEDIAN(J14:J32)</f>
        <v>8.35</v>
      </c>
      <c r="K36" s="168">
        <f t="shared" si="5"/>
        <v>5.1050000000000004</v>
      </c>
      <c r="L36" s="168">
        <f t="shared" si="5"/>
        <v>1.68</v>
      </c>
      <c r="M36" s="168">
        <f t="shared" si="5"/>
        <v>70.245744500000001</v>
      </c>
      <c r="N36" s="168">
        <f t="shared" si="5"/>
        <v>0.76500000000000001</v>
      </c>
      <c r="O36" s="168">
        <f t="shared" si="5"/>
        <v>10.1724935</v>
      </c>
      <c r="P36" s="19">
        <f>SUM(P14:P25)</f>
        <v>1310743</v>
      </c>
    </row>
    <row r="37" spans="2:16" ht="12.75" customHeight="1" x14ac:dyDescent="0.3"/>
    <row r="38" spans="2:16" ht="12.75" customHeight="1" x14ac:dyDescent="0.3"/>
    <row r="39" spans="2:16" ht="12.75" customHeight="1" x14ac:dyDescent="0.3"/>
    <row r="40" spans="2:16" ht="12.75" customHeight="1" x14ac:dyDescent="0.3"/>
    <row r="41" spans="2:16" ht="12.75" customHeight="1" x14ac:dyDescent="0.3"/>
    <row r="42" spans="2:16" ht="12.75" customHeight="1" x14ac:dyDescent="0.3">
      <c r="C42" s="175"/>
      <c r="D42" s="176" t="s">
        <v>103</v>
      </c>
      <c r="E42" s="177" t="s">
        <v>111</v>
      </c>
      <c r="F42" s="178">
        <v>21</v>
      </c>
      <c r="J42" s="177" t="s">
        <v>103</v>
      </c>
      <c r="K42" s="177" t="s">
        <v>108</v>
      </c>
      <c r="L42" s="177" t="s">
        <v>111</v>
      </c>
    </row>
    <row r="43" spans="2:16" ht="12.75" customHeight="1" x14ac:dyDescent="0.3">
      <c r="B43" s="130" t="s">
        <v>268</v>
      </c>
      <c r="C43" s="133" t="s">
        <v>153</v>
      </c>
      <c r="D43" s="131" t="s">
        <v>255</v>
      </c>
      <c r="E43" s="131" t="s">
        <v>255</v>
      </c>
      <c r="F43" s="131" t="s">
        <v>26</v>
      </c>
      <c r="G43" s="132" t="s">
        <v>257</v>
      </c>
      <c r="H43" s="132" t="s">
        <v>258</v>
      </c>
      <c r="I43" s="132" t="s">
        <v>259</v>
      </c>
      <c r="J43" s="132" t="s">
        <v>260</v>
      </c>
      <c r="K43" s="132" t="s">
        <v>261</v>
      </c>
      <c r="L43" s="132" t="s">
        <v>262</v>
      </c>
      <c r="M43" s="132" t="s">
        <v>263</v>
      </c>
      <c r="N43" s="132" t="s">
        <v>264</v>
      </c>
      <c r="O43" s="132" t="s">
        <v>265</v>
      </c>
      <c r="P43" s="132" t="s">
        <v>266</v>
      </c>
    </row>
    <row r="44" spans="2:16" ht="12.75" customHeight="1" x14ac:dyDescent="0.3">
      <c r="B44" s="130">
        <v>8</v>
      </c>
      <c r="C44" s="152" t="s">
        <v>161</v>
      </c>
      <c r="D44" s="140">
        <v>658333.09080000001</v>
      </c>
      <c r="E44" s="154">
        <v>1600585.9003000001</v>
      </c>
      <c r="F44" s="135">
        <f t="shared" ref="F44:F50" si="6">(E44/D44)^(1/5)-1</f>
        <v>0.19444638480567944</v>
      </c>
      <c r="G44" s="155">
        <v>192800.36180000001</v>
      </c>
      <c r="H44" s="155">
        <v>44108.701399999998</v>
      </c>
      <c r="I44" s="137">
        <f t="shared" ref="I44:I64" si="7">H44/G44</f>
        <v>0.22877914225988757</v>
      </c>
      <c r="J44" s="156">
        <v>0.4</v>
      </c>
      <c r="K44" s="179">
        <v>0.36</v>
      </c>
      <c r="L44" s="159">
        <v>0.27</v>
      </c>
      <c r="M44" s="159">
        <v>84.984094999999996</v>
      </c>
      <c r="N44" s="158">
        <v>2.0699999999999998</v>
      </c>
      <c r="O44" s="159">
        <v>16.955366000000001</v>
      </c>
      <c r="P44" s="19">
        <v>1289773</v>
      </c>
    </row>
    <row r="45" spans="2:16" ht="12.75" customHeight="1" x14ac:dyDescent="0.3">
      <c r="B45" s="130">
        <v>9</v>
      </c>
      <c r="C45" s="152" t="s">
        <v>163</v>
      </c>
      <c r="D45" s="180">
        <v>512395.2856</v>
      </c>
      <c r="E45" s="134">
        <v>1019638.3053</v>
      </c>
      <c r="F45" s="135">
        <f t="shared" si="6"/>
        <v>0.14754097947745071</v>
      </c>
      <c r="G45" s="160">
        <v>129062.7859</v>
      </c>
      <c r="H45" s="161">
        <v>31896.496200000001</v>
      </c>
      <c r="I45" s="137">
        <f t="shared" si="7"/>
        <v>0.2471393746661717</v>
      </c>
      <c r="J45" s="165">
        <v>5.43</v>
      </c>
      <c r="K45" s="181">
        <v>1.54</v>
      </c>
      <c r="L45" s="164">
        <v>0.51</v>
      </c>
      <c r="M45" s="164">
        <v>86.348506</v>
      </c>
      <c r="N45" s="163">
        <v>2.16</v>
      </c>
      <c r="O45" s="164">
        <v>17.184346000000001</v>
      </c>
      <c r="P45" s="19">
        <v>689003</v>
      </c>
    </row>
    <row r="46" spans="2:16" ht="12.75" customHeight="1" x14ac:dyDescent="0.3">
      <c r="B46" s="130">
        <v>1</v>
      </c>
      <c r="C46" s="152" t="s">
        <v>168</v>
      </c>
      <c r="D46" s="180">
        <v>439650.30450000003</v>
      </c>
      <c r="E46" s="134">
        <v>845302.84100000001</v>
      </c>
      <c r="F46" s="135">
        <f t="shared" si="6"/>
        <v>0.13967491708537372</v>
      </c>
      <c r="G46" s="160">
        <v>101664.6373</v>
      </c>
      <c r="H46" s="161">
        <v>9579.6785</v>
      </c>
      <c r="I46" s="137">
        <f t="shared" si="7"/>
        <v>9.4228226789729572E-2</v>
      </c>
      <c r="J46" s="165">
        <v>3.64</v>
      </c>
      <c r="K46" s="181">
        <v>1.62</v>
      </c>
      <c r="L46" s="164">
        <v>0.41</v>
      </c>
      <c r="M46" s="164">
        <v>89.266288000000003</v>
      </c>
      <c r="N46" s="163">
        <v>0.8</v>
      </c>
      <c r="O46" s="164">
        <v>7.9634650000000002</v>
      </c>
      <c r="P46" s="19">
        <v>336838</v>
      </c>
    </row>
    <row r="47" spans="2:16" ht="12.75" customHeight="1" x14ac:dyDescent="0.3">
      <c r="B47" s="130">
        <v>15</v>
      </c>
      <c r="C47" s="152" t="s">
        <v>170</v>
      </c>
      <c r="D47" s="180">
        <v>169717.92490000001</v>
      </c>
      <c r="E47" s="154">
        <v>319861.20740000001</v>
      </c>
      <c r="F47" s="135">
        <f t="shared" si="6"/>
        <v>0.13513305851752633</v>
      </c>
      <c r="G47" s="155">
        <v>41333.9018</v>
      </c>
      <c r="H47" s="155">
        <v>10939.295099999999</v>
      </c>
      <c r="I47" s="137">
        <f t="shared" si="7"/>
        <v>0.26465672543887447</v>
      </c>
      <c r="J47" s="165">
        <v>0.98</v>
      </c>
      <c r="K47" s="179">
        <v>0.71</v>
      </c>
      <c r="L47" s="159">
        <v>0.64</v>
      </c>
      <c r="M47" s="159">
        <v>88.092725000000002</v>
      </c>
      <c r="N47" s="158">
        <v>2.4700000000000002</v>
      </c>
      <c r="O47" s="159">
        <v>14.032256</v>
      </c>
      <c r="P47" s="19">
        <v>371162</v>
      </c>
    </row>
    <row r="48" spans="2:16" ht="12.75" customHeight="1" x14ac:dyDescent="0.3">
      <c r="B48" s="130">
        <v>11</v>
      </c>
      <c r="C48" s="152" t="s">
        <v>177</v>
      </c>
      <c r="D48" s="180">
        <v>144953.65760000001</v>
      </c>
      <c r="E48" s="154">
        <v>289923.68280000001</v>
      </c>
      <c r="F48" s="135">
        <f t="shared" si="6"/>
        <v>0.14871132535661347</v>
      </c>
      <c r="G48" s="155">
        <v>44534.2834</v>
      </c>
      <c r="H48" s="155">
        <v>7389.7114000000001</v>
      </c>
      <c r="I48" s="137">
        <f t="shared" si="7"/>
        <v>0.16593309324474276</v>
      </c>
      <c r="J48" s="165">
        <v>0.51</v>
      </c>
      <c r="K48" s="179">
        <v>0.91</v>
      </c>
      <c r="L48" s="159">
        <v>0.59</v>
      </c>
      <c r="M48" s="159">
        <v>86.174441000000002</v>
      </c>
      <c r="N48" s="158">
        <v>1.8</v>
      </c>
      <c r="O48" s="159">
        <v>14.444471</v>
      </c>
      <c r="P48" s="19">
        <v>122562</v>
      </c>
    </row>
    <row r="49" spans="2:16" ht="12.75" customHeight="1" x14ac:dyDescent="0.3">
      <c r="B49" s="130">
        <v>21</v>
      </c>
      <c r="C49" s="152" t="s">
        <v>183</v>
      </c>
      <c r="D49" s="180">
        <v>203533.8628</v>
      </c>
      <c r="E49" s="134">
        <v>203269.4436</v>
      </c>
      <c r="F49" s="135">
        <f t="shared" si="6"/>
        <v>-2.5996334045019776E-4</v>
      </c>
      <c r="G49" s="160">
        <v>26624.0802</v>
      </c>
      <c r="H49" s="161">
        <v>717.40869999999995</v>
      </c>
      <c r="I49" s="137">
        <f t="shared" si="7"/>
        <v>2.694585858406481E-2</v>
      </c>
      <c r="J49" s="165">
        <v>0.64</v>
      </c>
      <c r="K49" s="179">
        <v>5.03</v>
      </c>
      <c r="L49" s="164">
        <v>0.83</v>
      </c>
      <c r="M49" s="164">
        <v>93.456416000000004</v>
      </c>
      <c r="N49" s="163">
        <v>0.2</v>
      </c>
      <c r="O49" s="164">
        <v>1.9511780000000001</v>
      </c>
      <c r="P49" s="19">
        <v>66753</v>
      </c>
    </row>
    <row r="50" spans="2:16" ht="12.75" customHeight="1" x14ac:dyDescent="0.3">
      <c r="B50" s="130">
        <v>7</v>
      </c>
      <c r="C50" s="152" t="s">
        <v>189</v>
      </c>
      <c r="D50" s="180">
        <v>91957.473199999993</v>
      </c>
      <c r="E50" s="134">
        <v>174446.88459999999</v>
      </c>
      <c r="F50" s="135">
        <f t="shared" si="6"/>
        <v>0.13661985368917207</v>
      </c>
      <c r="G50" s="160">
        <v>19133.634399999999</v>
      </c>
      <c r="H50" s="161">
        <v>3010.5943000000002</v>
      </c>
      <c r="I50" s="137">
        <f t="shared" si="7"/>
        <v>0.15734565828225505</v>
      </c>
      <c r="J50" s="165">
        <v>1.69</v>
      </c>
      <c r="K50" s="181">
        <v>1.31</v>
      </c>
      <c r="L50" s="164">
        <v>0.69</v>
      </c>
      <c r="M50" s="164">
        <v>81.751779999999997</v>
      </c>
      <c r="N50" s="163">
        <v>1.28</v>
      </c>
      <c r="O50" s="164">
        <v>14.940886000000001</v>
      </c>
      <c r="P50" s="19">
        <v>36999</v>
      </c>
    </row>
    <row r="51" spans="2:16" ht="12.75" customHeight="1" x14ac:dyDescent="0.3">
      <c r="B51" s="130"/>
      <c r="C51" s="152" t="s">
        <v>187</v>
      </c>
      <c r="D51" s="130"/>
      <c r="E51" s="154">
        <v>162567.72928699999</v>
      </c>
      <c r="F51" s="135"/>
      <c r="G51" s="155">
        <v>24941.767618999998</v>
      </c>
      <c r="H51" s="155">
        <v>3645.0926829999999</v>
      </c>
      <c r="I51" s="137">
        <f t="shared" si="7"/>
        <v>0.14614412012335734</v>
      </c>
      <c r="J51" s="156">
        <v>16.690000000000001</v>
      </c>
      <c r="K51" s="179">
        <v>4.1900000000000004</v>
      </c>
      <c r="L51" s="159">
        <v>0.92</v>
      </c>
      <c r="M51" s="159">
        <v>63.627555000000001</v>
      </c>
      <c r="N51" s="158">
        <v>1.2</v>
      </c>
      <c r="O51" s="159">
        <v>8.3814060000000001</v>
      </c>
      <c r="P51" s="182">
        <v>72417</v>
      </c>
    </row>
    <row r="52" spans="2:16" ht="12.75" customHeight="1" x14ac:dyDescent="0.3">
      <c r="B52" s="130">
        <v>10</v>
      </c>
      <c r="C52" s="152" t="s">
        <v>277</v>
      </c>
      <c r="D52" s="140">
        <v>52164.888099999996</v>
      </c>
      <c r="E52" s="134">
        <v>151794.53140899999</v>
      </c>
      <c r="F52" s="135">
        <f t="shared" ref="F52:F64" si="8">(E52/D52)^(1/5)-1</f>
        <v>0.23815657758833808</v>
      </c>
      <c r="G52" s="160">
        <v>27194.512273</v>
      </c>
      <c r="H52" s="161">
        <v>2437.1349460000001</v>
      </c>
      <c r="I52" s="137">
        <f t="shared" si="7"/>
        <v>8.9618630462429849E-2</v>
      </c>
      <c r="J52" s="156">
        <v>1.69</v>
      </c>
      <c r="K52" s="181">
        <v>0.94</v>
      </c>
      <c r="L52" s="164">
        <v>0.86</v>
      </c>
      <c r="M52" s="164">
        <v>104.948392</v>
      </c>
      <c r="N52" s="163">
        <v>1.1299999999999999</v>
      </c>
      <c r="O52" s="164">
        <v>10.431903999999999</v>
      </c>
      <c r="P52" s="182">
        <v>60880</v>
      </c>
    </row>
    <row r="53" spans="2:16" ht="12.75" customHeight="1" x14ac:dyDescent="0.3">
      <c r="B53" s="130">
        <v>2</v>
      </c>
      <c r="C53" s="152" t="s">
        <v>197</v>
      </c>
      <c r="D53" s="140">
        <v>29713.036061999999</v>
      </c>
      <c r="E53" s="154">
        <v>104756.7691</v>
      </c>
      <c r="F53" s="135">
        <f t="shared" si="8"/>
        <v>0.28661026815482415</v>
      </c>
      <c r="G53" s="155">
        <v>18373.2503</v>
      </c>
      <c r="H53" s="155">
        <v>2194.6379999999999</v>
      </c>
      <c r="I53" s="137">
        <f t="shared" si="7"/>
        <v>0.11944745563064582</v>
      </c>
      <c r="J53" s="156">
        <v>0.57999999999999996</v>
      </c>
      <c r="K53" s="179">
        <v>0.57999999999999996</v>
      </c>
      <c r="L53" s="159">
        <v>1.17</v>
      </c>
      <c r="M53" s="159">
        <v>96.934797000000003</v>
      </c>
      <c r="N53" s="158">
        <v>1.5</v>
      </c>
      <c r="O53" s="159">
        <v>11.874043</v>
      </c>
      <c r="P53" s="182">
        <v>39040</v>
      </c>
    </row>
    <row r="54" spans="2:16" ht="12.75" customHeight="1" x14ac:dyDescent="0.3">
      <c r="B54" s="130">
        <v>12</v>
      </c>
      <c r="C54" s="152" t="s">
        <v>201</v>
      </c>
      <c r="D54" s="140">
        <v>56912.744500000001</v>
      </c>
      <c r="E54" s="134">
        <v>82285.451300000001</v>
      </c>
      <c r="F54" s="135">
        <f t="shared" si="8"/>
        <v>7.6521493569847054E-2</v>
      </c>
      <c r="G54" s="160">
        <v>10111.9169</v>
      </c>
      <c r="H54" s="161">
        <v>1197.3800000000001</v>
      </c>
      <c r="I54" s="137">
        <f t="shared" si="7"/>
        <v>0.11841276108588275</v>
      </c>
      <c r="J54" s="156">
        <v>4.9000000000000004</v>
      </c>
      <c r="K54" s="181">
        <v>3.48</v>
      </c>
      <c r="L54" s="164">
        <v>1.62</v>
      </c>
      <c r="M54" s="164">
        <v>67.426233999999994</v>
      </c>
      <c r="N54" s="163">
        <v>0.89</v>
      </c>
      <c r="O54" s="164">
        <v>13.336152</v>
      </c>
      <c r="P54" s="182">
        <v>13699</v>
      </c>
    </row>
    <row r="55" spans="2:16" ht="12.75" customHeight="1" x14ac:dyDescent="0.3">
      <c r="B55" s="130">
        <v>18</v>
      </c>
      <c r="C55" s="152" t="s">
        <v>204</v>
      </c>
      <c r="D55" s="140">
        <v>40267.8393</v>
      </c>
      <c r="E55" s="154">
        <v>70209.351699999999</v>
      </c>
      <c r="F55" s="135">
        <f t="shared" si="8"/>
        <v>0.1176024038168515</v>
      </c>
      <c r="G55" s="155">
        <v>11619.280500000001</v>
      </c>
      <c r="H55" s="155">
        <v>882.72329999999999</v>
      </c>
      <c r="I55" s="137">
        <f t="shared" si="7"/>
        <v>7.5970564614564556E-2</v>
      </c>
      <c r="J55" s="156">
        <v>0.78</v>
      </c>
      <c r="K55" s="181">
        <v>2.0499999999999998</v>
      </c>
      <c r="L55" s="159">
        <v>1.1000000000000001</v>
      </c>
      <c r="M55" s="159">
        <v>82.709661999999994</v>
      </c>
      <c r="N55" s="158">
        <v>0.83</v>
      </c>
      <c r="O55" s="159">
        <v>6.7396750000000001</v>
      </c>
      <c r="P55" s="182">
        <v>16934</v>
      </c>
    </row>
    <row r="56" spans="2:16" ht="12.75" customHeight="1" x14ac:dyDescent="0.3">
      <c r="B56" s="130">
        <v>19</v>
      </c>
      <c r="C56" s="152" t="s">
        <v>206</v>
      </c>
      <c r="D56" s="180">
        <v>54562.886700000003</v>
      </c>
      <c r="E56" s="134">
        <v>69804.444399999993</v>
      </c>
      <c r="F56" s="135">
        <f t="shared" si="8"/>
        <v>5.0502637539710848E-2</v>
      </c>
      <c r="G56" s="160">
        <v>8045.8068999999996</v>
      </c>
      <c r="H56" s="161">
        <v>775.08789999999999</v>
      </c>
      <c r="I56" s="137">
        <f t="shared" si="7"/>
        <v>9.6334390028674444E-2</v>
      </c>
      <c r="J56" s="165">
        <v>2.6</v>
      </c>
      <c r="K56" s="179">
        <v>3.34</v>
      </c>
      <c r="L56" s="164">
        <v>1.86</v>
      </c>
      <c r="M56" s="164">
        <v>76.163027</v>
      </c>
      <c r="N56" s="163">
        <v>0.73</v>
      </c>
      <c r="O56" s="164">
        <v>12.372590000000001</v>
      </c>
      <c r="P56" s="182">
        <v>5661</v>
      </c>
    </row>
    <row r="57" spans="2:16" ht="12.75" customHeight="1" x14ac:dyDescent="0.3">
      <c r="B57" s="130">
        <v>14</v>
      </c>
      <c r="C57" s="152" t="s">
        <v>210</v>
      </c>
      <c r="D57" s="140">
        <v>44800.145199999999</v>
      </c>
      <c r="E57" s="134">
        <v>63134.140879999999</v>
      </c>
      <c r="F57" s="135">
        <f t="shared" si="8"/>
        <v>7.1018495326550468E-2</v>
      </c>
      <c r="G57" s="160">
        <v>7675.4867670000003</v>
      </c>
      <c r="H57" s="161">
        <v>1106.0918160000001</v>
      </c>
      <c r="I57" s="137">
        <f t="shared" si="7"/>
        <v>0.14410705790745845</v>
      </c>
      <c r="J57" s="156">
        <v>4.16</v>
      </c>
      <c r="K57" s="181">
        <v>3.92</v>
      </c>
      <c r="L57" s="164">
        <v>0.74</v>
      </c>
      <c r="M57" s="164">
        <v>82.380129999999994</v>
      </c>
      <c r="N57" s="163">
        <v>1.27</v>
      </c>
      <c r="O57" s="164">
        <v>13.67212</v>
      </c>
      <c r="P57" s="182">
        <v>13528</v>
      </c>
    </row>
    <row r="58" spans="2:16" ht="12.75" customHeight="1" x14ac:dyDescent="0.3">
      <c r="B58" s="130">
        <v>13</v>
      </c>
      <c r="C58" s="152" t="s">
        <v>203</v>
      </c>
      <c r="D58" s="180">
        <v>47251.750699999997</v>
      </c>
      <c r="E58" s="154">
        <v>59951.622100000001</v>
      </c>
      <c r="F58" s="135">
        <f t="shared" si="8"/>
        <v>4.8761188031093416E-2</v>
      </c>
      <c r="G58" s="155">
        <v>8212.8065000000006</v>
      </c>
      <c r="H58" s="155">
        <v>1180.2428</v>
      </c>
      <c r="I58" s="137">
        <f t="shared" si="7"/>
        <v>0.1437076107905379</v>
      </c>
      <c r="J58" s="165">
        <v>2.96</v>
      </c>
      <c r="K58" s="179">
        <v>3.08</v>
      </c>
      <c r="L58" s="159">
        <v>1.7</v>
      </c>
      <c r="M58" s="159">
        <v>68.619647999999998</v>
      </c>
      <c r="N58" s="158">
        <v>1.21</v>
      </c>
      <c r="O58" s="159">
        <v>15.419855999999999</v>
      </c>
      <c r="P58" s="182">
        <v>8119</v>
      </c>
    </row>
    <row r="59" spans="2:16" ht="12.75" customHeight="1" x14ac:dyDescent="0.3">
      <c r="B59" s="130">
        <v>3</v>
      </c>
      <c r="C59" s="152" t="s">
        <v>208</v>
      </c>
      <c r="D59" s="140">
        <v>27852.785800000001</v>
      </c>
      <c r="E59" s="134">
        <v>43053.345699999998</v>
      </c>
      <c r="F59" s="135">
        <f t="shared" si="8"/>
        <v>9.1007292292769604E-2</v>
      </c>
      <c r="G59" s="160">
        <v>5524.6963999999998</v>
      </c>
      <c r="H59" s="161">
        <v>937.47950000000003</v>
      </c>
      <c r="I59" s="137">
        <f t="shared" si="7"/>
        <v>0.16968887195321722</v>
      </c>
      <c r="J59" s="165">
        <v>4.46</v>
      </c>
      <c r="K59" s="179">
        <v>2.29</v>
      </c>
      <c r="L59" s="164">
        <v>2.36</v>
      </c>
      <c r="M59" s="164">
        <v>82.166231999999994</v>
      </c>
      <c r="N59" s="163">
        <v>1.46</v>
      </c>
      <c r="O59" s="164">
        <v>13.351635999999999</v>
      </c>
      <c r="P59" s="182">
        <v>11221</v>
      </c>
    </row>
    <row r="60" spans="2:16" ht="12.75" customHeight="1" x14ac:dyDescent="0.3">
      <c r="B60" s="130">
        <v>20</v>
      </c>
      <c r="C60" s="152" t="s">
        <v>181</v>
      </c>
      <c r="D60" s="140">
        <v>23768.718499999999</v>
      </c>
      <c r="E60" s="154">
        <v>37289.689299999998</v>
      </c>
      <c r="F60" s="135">
        <f t="shared" si="8"/>
        <v>9.4250111459251107E-2</v>
      </c>
      <c r="G60" s="155">
        <v>4710.152</v>
      </c>
      <c r="H60" s="155">
        <v>1029.259</v>
      </c>
      <c r="I60" s="137">
        <f t="shared" si="7"/>
        <v>0.21851927496182713</v>
      </c>
      <c r="J60" s="156">
        <v>2.16</v>
      </c>
      <c r="K60" s="181">
        <v>1.8</v>
      </c>
      <c r="L60" s="159">
        <v>0.62</v>
      </c>
      <c r="M60" s="159">
        <v>78.066637</v>
      </c>
      <c r="N60" s="158">
        <v>1.97</v>
      </c>
      <c r="O60" s="159">
        <v>16.784974999999999</v>
      </c>
      <c r="P60" s="182">
        <v>7961</v>
      </c>
    </row>
    <row r="61" spans="2:16" ht="12.75" customHeight="1" x14ac:dyDescent="0.3">
      <c r="B61" s="130">
        <v>5</v>
      </c>
      <c r="C61" s="152" t="s">
        <v>209</v>
      </c>
      <c r="D61" s="180">
        <v>20336.688399999999</v>
      </c>
      <c r="E61" s="134">
        <v>34380.741600000001</v>
      </c>
      <c r="F61" s="135">
        <f t="shared" si="8"/>
        <v>0.11072616157499571</v>
      </c>
      <c r="G61" s="160">
        <v>4609.6614</v>
      </c>
      <c r="H61" s="161">
        <v>465.55889999999999</v>
      </c>
      <c r="I61" s="137">
        <f t="shared" si="7"/>
        <v>0.10099633348340943</v>
      </c>
      <c r="J61" s="165">
        <v>0.72</v>
      </c>
      <c r="K61" s="181">
        <v>1.1599999999999999</v>
      </c>
      <c r="L61" s="164">
        <v>1.04</v>
      </c>
      <c r="M61" s="164">
        <v>83.369670999999997</v>
      </c>
      <c r="N61" s="163">
        <v>0.97</v>
      </c>
      <c r="O61" s="164">
        <v>10.808178</v>
      </c>
      <c r="P61" s="182">
        <v>4560</v>
      </c>
    </row>
    <row r="62" spans="2:16" ht="12.75" customHeight="1" x14ac:dyDescent="0.3">
      <c r="B62" s="130">
        <v>4</v>
      </c>
      <c r="C62" s="152" t="s">
        <v>278</v>
      </c>
      <c r="D62" s="180">
        <v>9337.3564000000006</v>
      </c>
      <c r="E62" s="154">
        <v>20650.6453</v>
      </c>
      <c r="F62" s="135">
        <f t="shared" si="8"/>
        <v>0.1720386628192172</v>
      </c>
      <c r="G62" s="155">
        <v>2635.6631000000002</v>
      </c>
      <c r="H62" s="155">
        <v>547.3614</v>
      </c>
      <c r="I62" s="137">
        <f t="shared" si="7"/>
        <v>0.20767502493015894</v>
      </c>
      <c r="J62" s="156">
        <v>1.7</v>
      </c>
      <c r="K62" s="181">
        <v>1.91</v>
      </c>
      <c r="L62" s="159">
        <v>0.35</v>
      </c>
      <c r="M62" s="159">
        <v>84.268358000000006</v>
      </c>
      <c r="N62" s="158">
        <v>2.06</v>
      </c>
      <c r="O62" s="159">
        <v>18.697151999999999</v>
      </c>
      <c r="P62" s="182">
        <v>7031</v>
      </c>
    </row>
    <row r="63" spans="2:16" ht="12.75" customHeight="1" x14ac:dyDescent="0.3">
      <c r="B63" s="130">
        <v>6</v>
      </c>
      <c r="C63" s="152" t="s">
        <v>279</v>
      </c>
      <c r="D63" s="140">
        <v>6110.4934000000003</v>
      </c>
      <c r="E63" s="154">
        <v>9451.5216</v>
      </c>
      <c r="F63" s="135">
        <f t="shared" si="8"/>
        <v>9.1151591315840719E-2</v>
      </c>
      <c r="G63" s="155">
        <v>1145.7541000000001</v>
      </c>
      <c r="H63" s="155">
        <v>49.362499999999997</v>
      </c>
      <c r="I63" s="137">
        <f t="shared" si="7"/>
        <v>4.3082979148841793E-2</v>
      </c>
      <c r="J63" s="156">
        <v>3.19</v>
      </c>
      <c r="K63" s="179">
        <v>1.55</v>
      </c>
      <c r="L63" s="159">
        <v>1.1599999999999999</v>
      </c>
      <c r="M63" s="159">
        <v>70.789169000000001</v>
      </c>
      <c r="N63" s="158">
        <v>0.34</v>
      </c>
      <c r="O63" s="159">
        <v>5.3045070000000001</v>
      </c>
      <c r="P63" s="182">
        <v>801</v>
      </c>
    </row>
    <row r="64" spans="2:16" ht="12.75" customHeight="1" x14ac:dyDescent="0.3">
      <c r="B64" s="130">
        <v>17</v>
      </c>
      <c r="C64" s="152" t="s">
        <v>231</v>
      </c>
      <c r="D64" s="180">
        <v>3363.9324000000001</v>
      </c>
      <c r="E64" s="134">
        <v>4317.0382</v>
      </c>
      <c r="F64" s="135">
        <f t="shared" si="8"/>
        <v>5.115733786048593E-2</v>
      </c>
      <c r="G64" s="160">
        <v>602.55830000000003</v>
      </c>
      <c r="H64" s="161">
        <v>46.308700000000002</v>
      </c>
      <c r="I64" s="137">
        <f t="shared" si="7"/>
        <v>7.6853476252837283E-2</v>
      </c>
      <c r="J64" s="165">
        <v>1.1599999999999999</v>
      </c>
      <c r="K64" s="179">
        <v>4.8899999999999997</v>
      </c>
      <c r="L64" s="164">
        <v>1.84</v>
      </c>
      <c r="M64" s="164">
        <v>56.198064000000002</v>
      </c>
      <c r="N64" s="163">
        <v>0.54</v>
      </c>
      <c r="O64" s="164">
        <v>6.6723889999999999</v>
      </c>
    </row>
    <row r="65" spans="2:16" ht="12.75" customHeight="1" x14ac:dyDescent="0.3">
      <c r="B65" s="130">
        <v>16</v>
      </c>
      <c r="C65" s="152" t="s">
        <v>280</v>
      </c>
      <c r="D65" s="140">
        <v>25768.201700000001</v>
      </c>
      <c r="E65" s="130"/>
      <c r="F65" s="135"/>
      <c r="G65" s="130"/>
      <c r="H65" s="130"/>
      <c r="I65" s="130"/>
      <c r="J65" s="156">
        <v>5.66</v>
      </c>
      <c r="K65" s="181">
        <v>10.039999999999999</v>
      </c>
      <c r="L65" s="166"/>
      <c r="M65" s="166"/>
      <c r="N65" s="130"/>
      <c r="O65" s="166"/>
    </row>
    <row r="66" spans="2:16" ht="12.75" customHeight="1" x14ac:dyDescent="0.3">
      <c r="D66" s="183"/>
      <c r="J66" s="168"/>
      <c r="L66" s="168"/>
      <c r="O66" s="168"/>
    </row>
    <row r="67" spans="2:16" ht="12.75" customHeight="1" x14ac:dyDescent="0.3">
      <c r="B67" s="19">
        <v>21</v>
      </c>
      <c r="C67" s="169" t="s">
        <v>153</v>
      </c>
      <c r="D67" s="184">
        <v>2662753.0665620002</v>
      </c>
      <c r="E67" s="171">
        <v>5366675.2868760005</v>
      </c>
      <c r="F67" s="172">
        <f>(E67/D67)^(1/5)-1</f>
        <v>0.15046890519219835</v>
      </c>
      <c r="G67" s="173">
        <v>690556.997859</v>
      </c>
      <c r="H67" s="174">
        <v>124135.607045</v>
      </c>
      <c r="I67" s="167">
        <f>H67/G67</f>
        <v>0.17976156556210351</v>
      </c>
      <c r="J67" s="168">
        <f t="shared" ref="J67:O67" si="9">MEDIAN(J44:J65)</f>
        <v>1.9300000000000002</v>
      </c>
      <c r="K67" s="168">
        <f t="shared" si="9"/>
        <v>1.855</v>
      </c>
      <c r="L67" s="168">
        <f t="shared" si="9"/>
        <v>0.86</v>
      </c>
      <c r="M67" s="168">
        <f t="shared" si="9"/>
        <v>82.709661999999994</v>
      </c>
      <c r="N67" s="168">
        <f t="shared" si="9"/>
        <v>1.21</v>
      </c>
      <c r="O67" s="168">
        <f t="shared" si="9"/>
        <v>13.336152</v>
      </c>
      <c r="P67" s="19">
        <f>SUM(P44:P65)</f>
        <v>3174942</v>
      </c>
    </row>
    <row r="68" spans="2:16" ht="12.75" customHeight="1" x14ac:dyDescent="0.3"/>
    <row r="69" spans="2:16" ht="12.75" customHeight="1" x14ac:dyDescent="0.3"/>
    <row r="70" spans="2:16" ht="12.75" customHeight="1" x14ac:dyDescent="0.3"/>
    <row r="71" spans="2:16" ht="12.75" customHeight="1" x14ac:dyDescent="0.3">
      <c r="D71" s="176" t="s">
        <v>103</v>
      </c>
      <c r="E71" s="177" t="s">
        <v>111</v>
      </c>
      <c r="F71" s="178">
        <v>44</v>
      </c>
      <c r="J71" s="177" t="s">
        <v>103</v>
      </c>
      <c r="K71" s="177" t="s">
        <v>108</v>
      </c>
      <c r="L71" s="177" t="s">
        <v>111</v>
      </c>
    </row>
    <row r="72" spans="2:16" ht="12.75" customHeight="1" x14ac:dyDescent="0.3">
      <c r="B72" s="130" t="s">
        <v>268</v>
      </c>
      <c r="C72" s="133" t="s">
        <v>154</v>
      </c>
      <c r="D72" s="131" t="s">
        <v>255</v>
      </c>
      <c r="E72" s="131" t="s">
        <v>255</v>
      </c>
      <c r="F72" s="131" t="s">
        <v>26</v>
      </c>
      <c r="G72" s="132" t="s">
        <v>257</v>
      </c>
      <c r="H72" s="132" t="s">
        <v>258</v>
      </c>
      <c r="I72" s="132" t="s">
        <v>259</v>
      </c>
      <c r="J72" s="132" t="s">
        <v>260</v>
      </c>
      <c r="K72" s="132" t="s">
        <v>261</v>
      </c>
      <c r="L72" s="132" t="s">
        <v>262</v>
      </c>
      <c r="M72" s="132" t="s">
        <v>263</v>
      </c>
      <c r="N72" s="132" t="s">
        <v>264</v>
      </c>
      <c r="O72" s="132" t="s">
        <v>265</v>
      </c>
    </row>
    <row r="73" spans="2:16" ht="12.75" customHeight="1" x14ac:dyDescent="0.3">
      <c r="B73" s="130">
        <v>1</v>
      </c>
      <c r="C73" s="152" t="s">
        <v>244</v>
      </c>
      <c r="D73" s="180">
        <v>439650.30450000003</v>
      </c>
      <c r="E73" s="154">
        <v>54.288699999999999</v>
      </c>
      <c r="F73" s="135">
        <f t="shared" ref="F73:F117" si="10">(E73/D73)^(1/5)-1</f>
        <v>-0.83468189715374264</v>
      </c>
      <c r="G73" s="155">
        <v>35.980600000000003</v>
      </c>
      <c r="H73" s="155">
        <v>8.9902999999999995</v>
      </c>
      <c r="I73" s="137">
        <f t="shared" ref="I73:I117" si="11">H73/G73</f>
        <v>0.2498652051383245</v>
      </c>
      <c r="J73" s="185" t="s">
        <v>281</v>
      </c>
      <c r="K73" s="179"/>
      <c r="L73" s="186" t="s">
        <v>281</v>
      </c>
      <c r="M73" s="158">
        <v>41.052011999999998</v>
      </c>
      <c r="N73" s="158">
        <v>2.71</v>
      </c>
      <c r="O73" s="158">
        <v>7.5041169999999999</v>
      </c>
    </row>
    <row r="74" spans="2:16" ht="12.75" customHeight="1" x14ac:dyDescent="0.3">
      <c r="B74" s="130">
        <v>2</v>
      </c>
      <c r="C74" s="152" t="s">
        <v>245</v>
      </c>
      <c r="D74" s="180">
        <v>2030.4009000000001</v>
      </c>
      <c r="E74" s="134">
        <v>3970.7782999999999</v>
      </c>
      <c r="F74" s="135">
        <f t="shared" si="10"/>
        <v>0.14355950635655579</v>
      </c>
      <c r="G74" s="160">
        <v>1862.0379</v>
      </c>
      <c r="H74" s="161">
        <v>70.792299999999997</v>
      </c>
      <c r="I74" s="137">
        <f t="shared" si="11"/>
        <v>3.801872131603766E-2</v>
      </c>
      <c r="J74" s="187" t="s">
        <v>281</v>
      </c>
      <c r="L74" s="163">
        <v>1.04</v>
      </c>
      <c r="M74" s="163">
        <v>123.538</v>
      </c>
      <c r="N74" s="163">
        <v>0.77</v>
      </c>
      <c r="O74" s="163">
        <v>3.1145809999999998</v>
      </c>
    </row>
    <row r="75" spans="2:16" ht="12.75" customHeight="1" x14ac:dyDescent="0.3">
      <c r="B75" s="130">
        <v>3</v>
      </c>
      <c r="C75" s="152" t="s">
        <v>215</v>
      </c>
      <c r="D75" s="140">
        <v>5098.1045000000004</v>
      </c>
      <c r="E75" s="154">
        <v>3169.6552999999999</v>
      </c>
      <c r="F75" s="135">
        <f t="shared" si="10"/>
        <v>-9.0671798336189324E-2</v>
      </c>
      <c r="G75" s="155">
        <v>620.04520000000002</v>
      </c>
      <c r="H75" s="155">
        <v>128.66040000000001</v>
      </c>
      <c r="I75" s="137">
        <f t="shared" si="11"/>
        <v>0.20750164665414716</v>
      </c>
      <c r="J75" s="157">
        <v>0.76</v>
      </c>
      <c r="K75" s="181">
        <v>0.92</v>
      </c>
      <c r="L75" s="186" t="s">
        <v>281</v>
      </c>
      <c r="M75" s="158">
        <v>52.284601000000002</v>
      </c>
      <c r="N75" s="158">
        <v>0.77</v>
      </c>
      <c r="O75" s="158">
        <v>4.560873</v>
      </c>
    </row>
    <row r="76" spans="2:16" ht="12.75" customHeight="1" x14ac:dyDescent="0.3">
      <c r="B76" s="130">
        <v>4</v>
      </c>
      <c r="C76" s="152" t="s">
        <v>172</v>
      </c>
      <c r="D76" s="180">
        <v>1953.3445999999999</v>
      </c>
      <c r="E76" s="134">
        <v>20716.124800000001</v>
      </c>
      <c r="F76" s="135">
        <f t="shared" si="10"/>
        <v>0.60363649229575511</v>
      </c>
      <c r="G76" s="160">
        <v>4007.5203000000001</v>
      </c>
      <c r="H76" s="161">
        <v>1159.6319000000001</v>
      </c>
      <c r="I76" s="137">
        <f t="shared" si="11"/>
        <v>0.28936394907344576</v>
      </c>
      <c r="J76" s="187" t="s">
        <v>281</v>
      </c>
      <c r="L76" s="188" t="s">
        <v>281</v>
      </c>
      <c r="M76" s="163">
        <v>39.34281</v>
      </c>
      <c r="N76" s="163">
        <v>1.49</v>
      </c>
      <c r="O76" s="163">
        <v>7.2966470000000001</v>
      </c>
    </row>
    <row r="77" spans="2:16" ht="12.75" customHeight="1" x14ac:dyDescent="0.3">
      <c r="B77" s="130">
        <v>5</v>
      </c>
      <c r="C77" s="152" t="s">
        <v>205</v>
      </c>
      <c r="D77" s="140">
        <v>15346.2402</v>
      </c>
      <c r="E77" s="154">
        <v>1728.8619000000001</v>
      </c>
      <c r="F77" s="135">
        <f t="shared" si="10"/>
        <v>-0.35382275194077162</v>
      </c>
      <c r="G77" s="155">
        <v>165.06460000000001</v>
      </c>
      <c r="H77" s="155">
        <v>17.163599999999999</v>
      </c>
      <c r="I77" s="137">
        <f t="shared" si="11"/>
        <v>0.10398110800256383</v>
      </c>
      <c r="J77" s="185" t="s">
        <v>281</v>
      </c>
      <c r="L77" s="158">
        <v>0.71</v>
      </c>
      <c r="M77" s="158">
        <v>77.240844999999993</v>
      </c>
      <c r="N77" s="158">
        <v>0.64</v>
      </c>
      <c r="O77" s="158">
        <v>3.7608700000000002</v>
      </c>
    </row>
    <row r="78" spans="2:16" ht="12.75" customHeight="1" x14ac:dyDescent="0.3">
      <c r="B78" s="130">
        <v>6</v>
      </c>
      <c r="C78" s="152" t="s">
        <v>174</v>
      </c>
      <c r="D78" s="180">
        <v>1620.1814999999999</v>
      </c>
      <c r="E78" s="134">
        <v>393.911542</v>
      </c>
      <c r="F78" s="135">
        <f t="shared" si="10"/>
        <v>-0.2463546784877626</v>
      </c>
      <c r="G78" s="160">
        <v>46.282164000000002</v>
      </c>
      <c r="H78" s="161">
        <v>11.855947</v>
      </c>
      <c r="I78" s="137">
        <f t="shared" si="11"/>
        <v>0.25616665201739486</v>
      </c>
      <c r="J78" s="162">
        <v>0.78</v>
      </c>
      <c r="K78" s="179">
        <v>0.35</v>
      </c>
      <c r="L78" s="163">
        <v>4.0999999999999996</v>
      </c>
      <c r="M78" s="163">
        <v>129.78909100000001</v>
      </c>
      <c r="N78" s="163">
        <v>2.09</v>
      </c>
      <c r="O78" s="163">
        <v>4.4187269999999996</v>
      </c>
    </row>
    <row r="79" spans="2:16" ht="12.75" customHeight="1" x14ac:dyDescent="0.3">
      <c r="B79" s="130">
        <v>7</v>
      </c>
      <c r="C79" s="152" t="s">
        <v>238</v>
      </c>
      <c r="D79" s="140">
        <v>345.85210000000001</v>
      </c>
      <c r="E79" s="154">
        <v>100</v>
      </c>
      <c r="F79" s="135">
        <f t="shared" si="10"/>
        <v>-0.21977130862995509</v>
      </c>
      <c r="G79" s="155">
        <v>55.258699999999997</v>
      </c>
      <c r="H79" s="155">
        <v>7.7828999999999997</v>
      </c>
      <c r="I79" s="137">
        <f t="shared" si="11"/>
        <v>0.14084479005115938</v>
      </c>
      <c r="J79" s="185" t="s">
        <v>281</v>
      </c>
      <c r="K79" s="181">
        <v>4.68</v>
      </c>
      <c r="L79" s="186" t="s">
        <v>281</v>
      </c>
      <c r="M79" s="158">
        <v>99.522391999999996</v>
      </c>
      <c r="N79" s="158">
        <v>1.68</v>
      </c>
      <c r="O79" s="158">
        <v>2.8290549999999999</v>
      </c>
    </row>
    <row r="80" spans="2:16" ht="12.75" customHeight="1" x14ac:dyDescent="0.3">
      <c r="B80" s="130">
        <v>8</v>
      </c>
      <c r="C80" s="152" t="s">
        <v>224</v>
      </c>
      <c r="D80" s="180">
        <v>3912.4935</v>
      </c>
      <c r="E80" s="134">
        <v>168.80269999999999</v>
      </c>
      <c r="F80" s="135">
        <f t="shared" si="10"/>
        <v>-0.46668333830995123</v>
      </c>
      <c r="G80" s="160">
        <v>154.1884</v>
      </c>
      <c r="H80" s="161">
        <v>-21.626799999999999</v>
      </c>
      <c r="I80" s="137">
        <f t="shared" si="11"/>
        <v>-0.14026217277045483</v>
      </c>
      <c r="J80" s="187" t="s">
        <v>281</v>
      </c>
      <c r="L80" s="188" t="s">
        <v>281</v>
      </c>
      <c r="M80" s="163">
        <v>374.95962800000001</v>
      </c>
      <c r="N80" s="163">
        <v>-0.65</v>
      </c>
      <c r="O80" s="163">
        <v>-1.107086</v>
      </c>
    </row>
    <row r="81" spans="2:15" ht="12.75" customHeight="1" x14ac:dyDescent="0.3">
      <c r="B81" s="130">
        <v>9</v>
      </c>
      <c r="C81" s="152" t="s">
        <v>179</v>
      </c>
      <c r="D81" s="140">
        <v>11607.730799999999</v>
      </c>
      <c r="E81" s="154">
        <v>9467.1054000000004</v>
      </c>
      <c r="F81" s="135">
        <f t="shared" si="10"/>
        <v>-3.9949723735687392E-2</v>
      </c>
      <c r="G81" s="155">
        <v>2676.6788000000001</v>
      </c>
      <c r="H81" s="155">
        <v>669.10889999999995</v>
      </c>
      <c r="I81" s="137">
        <f t="shared" si="11"/>
        <v>0.24997728528353866</v>
      </c>
      <c r="J81" s="185" t="s">
        <v>281</v>
      </c>
      <c r="L81" s="186" t="s">
        <v>281</v>
      </c>
      <c r="M81" s="158">
        <v>74.777883000000003</v>
      </c>
      <c r="N81" s="158">
        <v>1.47</v>
      </c>
      <c r="O81" s="158">
        <v>5.8855909999999998</v>
      </c>
    </row>
    <row r="82" spans="2:15" ht="12.75" customHeight="1" x14ac:dyDescent="0.3">
      <c r="B82" s="130">
        <v>10</v>
      </c>
      <c r="C82" s="152" t="s">
        <v>160</v>
      </c>
      <c r="D82" s="180">
        <v>19236.1469</v>
      </c>
      <c r="E82" s="134">
        <v>11597.8755</v>
      </c>
      <c r="F82" s="135">
        <f t="shared" si="10"/>
        <v>-9.6242173089126637E-2</v>
      </c>
      <c r="G82" s="160">
        <v>2931.1057999999998</v>
      </c>
      <c r="H82" s="161">
        <v>473.39760000000001</v>
      </c>
      <c r="I82" s="137">
        <f t="shared" si="11"/>
        <v>0.16150819257360141</v>
      </c>
      <c r="J82" s="187" t="s">
        <v>281</v>
      </c>
      <c r="L82" s="188" t="s">
        <v>281</v>
      </c>
      <c r="M82" s="163">
        <v>61.335008999999999</v>
      </c>
      <c r="N82" s="163">
        <v>0.95</v>
      </c>
      <c r="O82" s="163">
        <v>4.1593109999999998</v>
      </c>
    </row>
    <row r="83" spans="2:15" ht="12.75" customHeight="1" x14ac:dyDescent="0.3">
      <c r="B83" s="130">
        <v>11</v>
      </c>
      <c r="C83" s="152" t="s">
        <v>175</v>
      </c>
      <c r="D83" s="140">
        <v>55712.93</v>
      </c>
      <c r="E83" s="154">
        <v>49965.421477999997</v>
      </c>
      <c r="F83" s="135">
        <f t="shared" si="10"/>
        <v>-2.1540822161781326E-2</v>
      </c>
      <c r="G83" s="155">
        <v>28719.240376000002</v>
      </c>
      <c r="H83" s="155">
        <v>13613.739621999999</v>
      </c>
      <c r="I83" s="137">
        <f t="shared" si="11"/>
        <v>0.47402854127634531</v>
      </c>
      <c r="J83" s="157">
        <v>0.55000000000000004</v>
      </c>
      <c r="K83" s="179">
        <v>0.56000000000000005</v>
      </c>
      <c r="L83" s="186" t="s">
        <v>281</v>
      </c>
      <c r="M83" s="158">
        <v>33.901848999999999</v>
      </c>
      <c r="N83" s="158">
        <v>1.92</v>
      </c>
      <c r="O83" s="158">
        <v>38.468912000000003</v>
      </c>
    </row>
    <row r="84" spans="2:15" ht="12.75" customHeight="1" x14ac:dyDescent="0.3">
      <c r="B84" s="130">
        <v>12</v>
      </c>
      <c r="C84" s="152" t="s">
        <v>229</v>
      </c>
      <c r="D84" s="180">
        <v>3181.9458</v>
      </c>
      <c r="E84" s="134">
        <v>225.92840000000001</v>
      </c>
      <c r="F84" s="135">
        <f t="shared" si="10"/>
        <v>-0.41080967087917541</v>
      </c>
      <c r="G84" s="160">
        <v>169.17920000000001</v>
      </c>
      <c r="H84" s="161">
        <v>41.135100000000001</v>
      </c>
      <c r="I84" s="137">
        <f t="shared" si="11"/>
        <v>0.24314513840944985</v>
      </c>
      <c r="J84" s="187" t="s">
        <v>281</v>
      </c>
      <c r="K84" s="181">
        <v>3.14</v>
      </c>
      <c r="L84" s="163">
        <v>16.79</v>
      </c>
      <c r="M84" s="163">
        <v>151.018427</v>
      </c>
      <c r="N84" s="163">
        <v>0.87</v>
      </c>
      <c r="O84" s="163">
        <v>4.5109919999999999</v>
      </c>
    </row>
    <row r="85" spans="2:15" ht="12.75" customHeight="1" x14ac:dyDescent="0.3">
      <c r="B85" s="130">
        <v>13</v>
      </c>
      <c r="C85" s="152" t="s">
        <v>162</v>
      </c>
      <c r="D85" s="140">
        <v>3887.7440999999999</v>
      </c>
      <c r="E85" s="154">
        <v>5090.0784590000003</v>
      </c>
      <c r="F85" s="135">
        <f t="shared" si="10"/>
        <v>5.5371497895209343E-2</v>
      </c>
      <c r="G85" s="155">
        <v>746.78951199999995</v>
      </c>
      <c r="H85" s="155">
        <v>80.735100000000003</v>
      </c>
      <c r="I85" s="137">
        <f t="shared" si="11"/>
        <v>0.10810957934288719</v>
      </c>
      <c r="J85" s="157">
        <v>1.47</v>
      </c>
      <c r="L85" s="186" t="s">
        <v>281</v>
      </c>
      <c r="M85" s="158">
        <v>60.505226</v>
      </c>
      <c r="N85" s="158">
        <v>0.36</v>
      </c>
      <c r="O85" s="158">
        <v>2.2776890000000001</v>
      </c>
    </row>
    <row r="86" spans="2:15" ht="12.75" customHeight="1" x14ac:dyDescent="0.3">
      <c r="B86" s="130">
        <v>14</v>
      </c>
      <c r="C86" s="152" t="s">
        <v>217</v>
      </c>
      <c r="D86" s="180">
        <v>1323.4232999999999</v>
      </c>
      <c r="E86" s="134">
        <v>656.98270000000002</v>
      </c>
      <c r="F86" s="135">
        <f t="shared" si="10"/>
        <v>-0.13069729417377851</v>
      </c>
      <c r="G86" s="160">
        <v>1324.9844000000001</v>
      </c>
      <c r="H86" s="161">
        <v>260.74650000000003</v>
      </c>
      <c r="I86" s="137">
        <f t="shared" si="11"/>
        <v>0.19679212826958567</v>
      </c>
      <c r="J86" s="187" t="s">
        <v>281</v>
      </c>
      <c r="L86" s="188" t="s">
        <v>281</v>
      </c>
      <c r="M86" s="163">
        <v>38.737372999999998</v>
      </c>
      <c r="N86" s="163">
        <v>1.1599999999999999</v>
      </c>
      <c r="O86" s="163">
        <v>5.3575160000000004</v>
      </c>
    </row>
    <row r="87" spans="2:15" ht="12.75" customHeight="1" x14ac:dyDescent="0.3">
      <c r="B87" s="130">
        <v>15</v>
      </c>
      <c r="C87" s="152" t="s">
        <v>167</v>
      </c>
      <c r="D87" s="140">
        <v>473.59249999999997</v>
      </c>
      <c r="E87" s="154">
        <v>1776.7638999999999</v>
      </c>
      <c r="F87" s="135">
        <f t="shared" si="10"/>
        <v>0.30270170368430782</v>
      </c>
      <c r="G87" s="155">
        <v>178.0479</v>
      </c>
      <c r="H87" s="155">
        <v>10.206</v>
      </c>
      <c r="I87" s="137">
        <f t="shared" si="11"/>
        <v>5.7321653330367837E-2</v>
      </c>
      <c r="J87" s="157">
        <v>0.04</v>
      </c>
      <c r="L87" s="186" t="s">
        <v>281</v>
      </c>
      <c r="M87" s="158">
        <v>80.631990999999999</v>
      </c>
      <c r="N87" s="158">
        <v>0.37</v>
      </c>
      <c r="O87" s="158">
        <v>1.8424430000000001</v>
      </c>
    </row>
    <row r="88" spans="2:15" ht="12.75" customHeight="1" x14ac:dyDescent="0.3">
      <c r="B88" s="130">
        <v>16</v>
      </c>
      <c r="C88" s="152" t="s">
        <v>211</v>
      </c>
      <c r="D88" s="180">
        <v>17867.0566</v>
      </c>
      <c r="E88" s="134">
        <v>47159.5386</v>
      </c>
      <c r="F88" s="135">
        <f t="shared" si="10"/>
        <v>0.21423656485714959</v>
      </c>
      <c r="G88" s="160">
        <v>6704.7964000000002</v>
      </c>
      <c r="H88" s="161">
        <v>228.1413</v>
      </c>
      <c r="I88" s="137">
        <f t="shared" si="11"/>
        <v>3.4026581329151172E-2</v>
      </c>
      <c r="J88" s="162">
        <v>1.0900000000000001</v>
      </c>
      <c r="K88" s="181">
        <v>0.47</v>
      </c>
      <c r="L88" s="163">
        <v>1.17</v>
      </c>
      <c r="M88" s="163">
        <v>76.838239000000002</v>
      </c>
      <c r="N88" s="163">
        <v>0.22</v>
      </c>
      <c r="O88" s="163">
        <v>2.2437429999999998</v>
      </c>
    </row>
    <row r="89" spans="2:15" ht="12.75" customHeight="1" x14ac:dyDescent="0.3">
      <c r="B89" s="130">
        <v>17</v>
      </c>
      <c r="C89" s="152" t="s">
        <v>196</v>
      </c>
      <c r="D89" s="140">
        <v>39247.456299999998</v>
      </c>
      <c r="E89" s="154">
        <v>57196.085599999999</v>
      </c>
      <c r="F89" s="135">
        <f t="shared" si="10"/>
        <v>7.8228876268004122E-2</v>
      </c>
      <c r="G89" s="155">
        <v>8993.9545999999991</v>
      </c>
      <c r="H89" s="155">
        <v>1466.9006999999999</v>
      </c>
      <c r="I89" s="137">
        <f t="shared" si="11"/>
        <v>0.16309852175593592</v>
      </c>
      <c r="J89" s="157">
        <v>0.78</v>
      </c>
      <c r="K89" s="179">
        <v>1.31</v>
      </c>
      <c r="L89" s="158">
        <v>0.91</v>
      </c>
      <c r="M89" s="158">
        <v>81.627437</v>
      </c>
      <c r="N89" s="158">
        <v>1.07</v>
      </c>
      <c r="O89" s="158">
        <v>6.7979830000000003</v>
      </c>
    </row>
    <row r="90" spans="2:15" ht="12.75" customHeight="1" x14ac:dyDescent="0.3">
      <c r="B90" s="130">
        <v>18</v>
      </c>
      <c r="C90" s="152" t="s">
        <v>200</v>
      </c>
      <c r="D90" s="180">
        <v>651.20860000000005</v>
      </c>
      <c r="E90" s="134">
        <v>606.58370000000002</v>
      </c>
      <c r="F90" s="135">
        <f t="shared" si="10"/>
        <v>-1.4097150779372569E-2</v>
      </c>
      <c r="G90" s="160">
        <v>117.4258</v>
      </c>
      <c r="H90" s="161">
        <v>35.360900000000001</v>
      </c>
      <c r="I90" s="137">
        <f t="shared" si="11"/>
        <v>0.30113399270007102</v>
      </c>
      <c r="J90" s="187" t="s">
        <v>281</v>
      </c>
      <c r="L90" s="188" t="s">
        <v>281</v>
      </c>
      <c r="M90" s="163">
        <v>77.034003999999996</v>
      </c>
      <c r="N90" s="163">
        <v>2.86</v>
      </c>
      <c r="O90" s="163">
        <v>10.696731</v>
      </c>
    </row>
    <row r="91" spans="2:15" ht="12.75" customHeight="1" x14ac:dyDescent="0.3">
      <c r="B91" s="130">
        <v>19</v>
      </c>
      <c r="C91" s="152" t="s">
        <v>236</v>
      </c>
      <c r="D91" s="140">
        <v>578.27250000000004</v>
      </c>
      <c r="E91" s="154">
        <v>3417.2048</v>
      </c>
      <c r="F91" s="135">
        <f t="shared" si="10"/>
        <v>0.42661798119823602</v>
      </c>
      <c r="G91" s="155">
        <v>333.4742</v>
      </c>
      <c r="H91" s="155">
        <v>41.700400000000002</v>
      </c>
      <c r="I91" s="137">
        <f t="shared" si="11"/>
        <v>0.12504835456536068</v>
      </c>
      <c r="J91" s="185" t="s">
        <v>281</v>
      </c>
      <c r="L91" s="186" t="s">
        <v>281</v>
      </c>
      <c r="M91" s="158">
        <v>103.27889500000001</v>
      </c>
      <c r="N91" s="158">
        <v>0.8</v>
      </c>
      <c r="O91" s="158">
        <v>1.8619779999999999</v>
      </c>
    </row>
    <row r="92" spans="2:15" ht="12.75" customHeight="1" x14ac:dyDescent="0.3">
      <c r="B92" s="130">
        <v>20</v>
      </c>
      <c r="C92" s="152" t="s">
        <v>222</v>
      </c>
      <c r="D92" s="180" t="s">
        <v>281</v>
      </c>
      <c r="E92" s="134">
        <v>1100.2899</v>
      </c>
      <c r="F92" s="135" t="e">
        <f t="shared" si="10"/>
        <v>#VALUE!</v>
      </c>
      <c r="G92" s="160">
        <v>521.22370000000001</v>
      </c>
      <c r="H92" s="161">
        <v>-29.748100000000001</v>
      </c>
      <c r="I92" s="137">
        <f t="shared" si="11"/>
        <v>-5.7073575127147905E-2</v>
      </c>
      <c r="J92" s="187" t="s">
        <v>281</v>
      </c>
      <c r="L92" s="188" t="s">
        <v>281</v>
      </c>
      <c r="M92" s="163">
        <v>155.22569999999999</v>
      </c>
      <c r="N92" s="163">
        <v>-0.31</v>
      </c>
      <c r="O92" s="163">
        <v>-1.2161040000000001</v>
      </c>
    </row>
    <row r="93" spans="2:15" ht="12.75" customHeight="1" x14ac:dyDescent="0.3">
      <c r="B93" s="130">
        <v>21</v>
      </c>
      <c r="C93" s="152" t="s">
        <v>249</v>
      </c>
      <c r="D93" s="140">
        <v>216.00800000000001</v>
      </c>
      <c r="E93" s="189" t="s">
        <v>281</v>
      </c>
      <c r="F93" s="135" t="e">
        <f t="shared" si="10"/>
        <v>#VALUE!</v>
      </c>
      <c r="G93" s="155">
        <v>43.790100000000002</v>
      </c>
      <c r="H93" s="155">
        <v>17.225899999999999</v>
      </c>
      <c r="I93" s="137">
        <f t="shared" si="11"/>
        <v>0.39337430149737035</v>
      </c>
      <c r="J93" s="185" t="s">
        <v>281</v>
      </c>
      <c r="L93" s="186" t="s">
        <v>281</v>
      </c>
      <c r="M93" s="186" t="s">
        <v>281</v>
      </c>
      <c r="N93" s="158">
        <v>4.9000000000000004</v>
      </c>
      <c r="O93" s="158">
        <v>5.2433769999999997</v>
      </c>
    </row>
    <row r="94" spans="2:15" ht="12.75" customHeight="1" x14ac:dyDescent="0.3">
      <c r="B94" s="130">
        <v>22</v>
      </c>
      <c r="C94" s="152" t="s">
        <v>169</v>
      </c>
      <c r="D94" s="180">
        <v>51450.429100000001</v>
      </c>
      <c r="E94" s="130"/>
      <c r="F94" s="135">
        <f t="shared" si="10"/>
        <v>-1</v>
      </c>
      <c r="G94" s="130"/>
      <c r="H94" s="130"/>
      <c r="I94" s="137" t="e">
        <f t="shared" si="11"/>
        <v>#DIV/0!</v>
      </c>
      <c r="J94" s="162">
        <v>0.28000000000000003</v>
      </c>
      <c r="K94" s="181">
        <v>0.16</v>
      </c>
      <c r="L94" s="130"/>
      <c r="M94" s="130"/>
      <c r="N94" s="130"/>
      <c r="O94" s="130"/>
    </row>
    <row r="95" spans="2:15" ht="12.75" customHeight="1" x14ac:dyDescent="0.3">
      <c r="B95" s="130">
        <v>23</v>
      </c>
      <c r="C95" s="152" t="s">
        <v>228</v>
      </c>
      <c r="D95" s="140">
        <v>879.5521</v>
      </c>
      <c r="E95" s="134">
        <v>830.35580000000004</v>
      </c>
      <c r="F95" s="135">
        <f t="shared" si="10"/>
        <v>-1.1445697264620192E-2</v>
      </c>
      <c r="G95" s="160">
        <v>230.57640000000001</v>
      </c>
      <c r="H95" s="161">
        <v>14.8104</v>
      </c>
      <c r="I95" s="137">
        <f t="shared" si="11"/>
        <v>6.4232072319630282E-2</v>
      </c>
      <c r="J95" s="185" t="s">
        <v>281</v>
      </c>
      <c r="K95" s="179">
        <v>5.76</v>
      </c>
      <c r="L95" s="188" t="s">
        <v>281</v>
      </c>
      <c r="M95" s="163">
        <v>33.365147999999998</v>
      </c>
      <c r="N95" s="163">
        <v>0.36</v>
      </c>
      <c r="O95" s="163">
        <v>1.890028</v>
      </c>
    </row>
    <row r="96" spans="2:15" ht="12.75" customHeight="1" x14ac:dyDescent="0.3">
      <c r="B96" s="130">
        <v>24</v>
      </c>
      <c r="C96" s="152" t="s">
        <v>242</v>
      </c>
      <c r="D96" s="180">
        <v>161.70679999999999</v>
      </c>
      <c r="E96" s="154">
        <v>441.79199999999997</v>
      </c>
      <c r="F96" s="135">
        <f t="shared" si="10"/>
        <v>0.22263806529844743</v>
      </c>
      <c r="G96" s="155">
        <v>53.394399999999997</v>
      </c>
      <c r="H96" s="155">
        <v>16.527699999999999</v>
      </c>
      <c r="I96" s="137">
        <f t="shared" si="11"/>
        <v>0.30953995175524024</v>
      </c>
      <c r="J96" s="187" t="s">
        <v>281</v>
      </c>
      <c r="L96" s="186" t="s">
        <v>281</v>
      </c>
      <c r="M96" s="158">
        <v>75.041708999999997</v>
      </c>
      <c r="N96" s="158">
        <v>1.99</v>
      </c>
      <c r="O96" s="158">
        <v>3.481808</v>
      </c>
    </row>
    <row r="97" spans="2:15" ht="12.75" customHeight="1" x14ac:dyDescent="0.3">
      <c r="B97" s="130">
        <v>25</v>
      </c>
      <c r="C97" s="152" t="s">
        <v>194</v>
      </c>
      <c r="D97" s="140">
        <v>12511.429700000001</v>
      </c>
      <c r="E97" s="134">
        <v>16097.4341</v>
      </c>
      <c r="F97" s="135">
        <f t="shared" si="10"/>
        <v>5.1695324442047941E-2</v>
      </c>
      <c r="G97" s="160">
        <v>5704.8765999999996</v>
      </c>
      <c r="H97" s="161">
        <v>1932.3507</v>
      </c>
      <c r="I97" s="137">
        <f t="shared" si="11"/>
        <v>0.33871910568582675</v>
      </c>
      <c r="J97" s="185" t="s">
        <v>281</v>
      </c>
      <c r="L97" s="188" t="s">
        <v>281</v>
      </c>
      <c r="M97" s="163">
        <v>28.953873000000002</v>
      </c>
      <c r="N97" s="163">
        <v>2.0699999999999998</v>
      </c>
      <c r="O97" s="163">
        <v>10.522463999999999</v>
      </c>
    </row>
    <row r="98" spans="2:15" ht="12.75" customHeight="1" x14ac:dyDescent="0.3">
      <c r="B98" s="130">
        <v>26</v>
      </c>
      <c r="C98" s="152" t="s">
        <v>230</v>
      </c>
      <c r="D98" s="180" t="s">
        <v>281</v>
      </c>
      <c r="E98" s="189" t="s">
        <v>281</v>
      </c>
      <c r="F98" s="135" t="e">
        <f t="shared" si="10"/>
        <v>#VALUE!</v>
      </c>
      <c r="G98" s="155">
        <v>20.462112000000001</v>
      </c>
      <c r="H98" s="155">
        <v>5.75183</v>
      </c>
      <c r="I98" s="137">
        <f t="shared" si="11"/>
        <v>0.28109659452553087</v>
      </c>
      <c r="J98" s="187" t="s">
        <v>281</v>
      </c>
      <c r="L98" s="186" t="s">
        <v>281</v>
      </c>
      <c r="M98" s="186" t="s">
        <v>281</v>
      </c>
      <c r="N98" s="158">
        <v>0.15</v>
      </c>
      <c r="O98" s="158">
        <v>1.9034660000000001</v>
      </c>
    </row>
    <row r="99" spans="2:15" ht="12.75" customHeight="1" x14ac:dyDescent="0.3">
      <c r="B99" s="130">
        <v>27</v>
      </c>
      <c r="C99" s="152" t="s">
        <v>198</v>
      </c>
      <c r="D99" s="140">
        <v>270.5052</v>
      </c>
      <c r="E99" s="134">
        <v>2220.4187000000002</v>
      </c>
      <c r="F99" s="135">
        <f t="shared" si="10"/>
        <v>0.52353295113437515</v>
      </c>
      <c r="G99" s="160">
        <v>191.1585</v>
      </c>
      <c r="H99" s="161">
        <v>25.1632</v>
      </c>
      <c r="I99" s="137">
        <f t="shared" si="11"/>
        <v>0.13163526602269843</v>
      </c>
      <c r="J99" s="185" t="s">
        <v>281</v>
      </c>
      <c r="K99" s="179">
        <v>2.35</v>
      </c>
      <c r="L99" s="188" t="s">
        <v>281</v>
      </c>
      <c r="M99" s="163">
        <v>92.840138999999994</v>
      </c>
      <c r="N99" s="163">
        <v>0.86</v>
      </c>
      <c r="O99" s="163">
        <v>2.2361900000000001</v>
      </c>
    </row>
    <row r="100" spans="2:15" ht="12.75" customHeight="1" x14ac:dyDescent="0.3">
      <c r="B100" s="130">
        <v>28</v>
      </c>
      <c r="C100" s="152" t="s">
        <v>251</v>
      </c>
      <c r="D100" s="180">
        <v>2.5718000000000001</v>
      </c>
      <c r="E100" s="154">
        <v>1026.2030999999999</v>
      </c>
      <c r="F100" s="135">
        <f t="shared" si="10"/>
        <v>2.3128305774551503</v>
      </c>
      <c r="G100" s="155">
        <v>135.696</v>
      </c>
      <c r="H100" s="155">
        <v>0.82189999999999996</v>
      </c>
      <c r="I100" s="137">
        <f t="shared" si="11"/>
        <v>6.0569213536139609E-3</v>
      </c>
      <c r="J100" s="187" t="s">
        <v>281</v>
      </c>
      <c r="L100" s="186" t="s">
        <v>281</v>
      </c>
      <c r="M100" s="158">
        <v>55.091952999999997</v>
      </c>
      <c r="N100" s="158">
        <v>0.03</v>
      </c>
      <c r="O100" s="158">
        <v>0.225109</v>
      </c>
    </row>
    <row r="101" spans="2:15" ht="12.75" customHeight="1" x14ac:dyDescent="0.3">
      <c r="B101" s="130">
        <v>29</v>
      </c>
      <c r="C101" s="152" t="s">
        <v>240</v>
      </c>
      <c r="D101" s="140">
        <v>425.09440000000001</v>
      </c>
      <c r="E101" s="190" t="s">
        <v>281</v>
      </c>
      <c r="F101" s="135" t="e">
        <f t="shared" si="10"/>
        <v>#VALUE!</v>
      </c>
      <c r="G101" s="160">
        <v>2.2496999999999998</v>
      </c>
      <c r="H101" s="161">
        <v>-1.7841</v>
      </c>
      <c r="I101" s="137">
        <f t="shared" si="11"/>
        <v>-0.79303907187625022</v>
      </c>
      <c r="J101" s="185" t="s">
        <v>281</v>
      </c>
      <c r="L101" s="188" t="s">
        <v>281</v>
      </c>
      <c r="M101" s="188" t="s">
        <v>281</v>
      </c>
      <c r="N101" s="163">
        <v>-2.86</v>
      </c>
      <c r="O101" s="163">
        <v>-2.8760940000000002</v>
      </c>
    </row>
    <row r="102" spans="2:15" ht="12.75" customHeight="1" x14ac:dyDescent="0.3">
      <c r="B102" s="130">
        <v>30</v>
      </c>
      <c r="C102" s="152" t="s">
        <v>164</v>
      </c>
      <c r="D102" s="180">
        <v>8890.2777999999998</v>
      </c>
      <c r="E102" s="154">
        <v>1022.1883</v>
      </c>
      <c r="F102" s="135">
        <f t="shared" si="10"/>
        <v>-0.35118166404839313</v>
      </c>
      <c r="G102" s="155">
        <v>104.9477</v>
      </c>
      <c r="H102" s="155">
        <v>34.150500000000001</v>
      </c>
      <c r="I102" s="137">
        <f t="shared" si="11"/>
        <v>0.32540493979382112</v>
      </c>
      <c r="J102" s="187" t="s">
        <v>281</v>
      </c>
      <c r="L102" s="186" t="s">
        <v>281</v>
      </c>
      <c r="M102" s="158">
        <v>801.17654100000004</v>
      </c>
      <c r="N102" s="158">
        <v>2.35</v>
      </c>
      <c r="O102" s="158">
        <v>2.7924509999999998</v>
      </c>
    </row>
    <row r="103" spans="2:15" ht="12.75" customHeight="1" x14ac:dyDescent="0.3">
      <c r="B103" s="130">
        <v>31</v>
      </c>
      <c r="C103" s="152" t="s">
        <v>214</v>
      </c>
      <c r="D103" s="140">
        <v>8765.7708999999995</v>
      </c>
      <c r="E103" s="134">
        <v>13201.9457</v>
      </c>
      <c r="F103" s="135">
        <f t="shared" si="10"/>
        <v>8.5349386898762036E-2</v>
      </c>
      <c r="G103" s="160">
        <v>1777.73</v>
      </c>
      <c r="H103" s="161">
        <v>282.97649999999999</v>
      </c>
      <c r="I103" s="137">
        <f t="shared" si="11"/>
        <v>0.15917855917377779</v>
      </c>
      <c r="J103" s="157">
        <v>0.6</v>
      </c>
      <c r="L103" s="188" t="s">
        <v>281</v>
      </c>
      <c r="M103" s="163">
        <v>71.355690999999993</v>
      </c>
      <c r="N103" s="163">
        <v>1.07</v>
      </c>
      <c r="O103" s="163">
        <v>4.9010610000000003</v>
      </c>
    </row>
    <row r="104" spans="2:15" ht="12.75" customHeight="1" x14ac:dyDescent="0.3">
      <c r="B104" s="130">
        <v>32</v>
      </c>
      <c r="C104" s="152" t="s">
        <v>282</v>
      </c>
      <c r="D104" s="180">
        <v>175</v>
      </c>
      <c r="E104" s="154">
        <v>17368.262500000001</v>
      </c>
      <c r="F104" s="135">
        <f t="shared" si="10"/>
        <v>1.5080931677456326</v>
      </c>
      <c r="G104" s="155">
        <v>2383.0432000000001</v>
      </c>
      <c r="H104" s="155">
        <v>508.423</v>
      </c>
      <c r="I104" s="137">
        <f t="shared" si="11"/>
        <v>0.21335030770738861</v>
      </c>
      <c r="J104" s="187" t="s">
        <v>281</v>
      </c>
      <c r="L104" s="186" t="s">
        <v>281</v>
      </c>
      <c r="M104" s="158">
        <v>91.992710000000002</v>
      </c>
      <c r="N104" s="158">
        <v>1.55</v>
      </c>
      <c r="O104" s="158">
        <v>6.1790900000000004</v>
      </c>
    </row>
    <row r="105" spans="2:15" ht="12.75" customHeight="1" x14ac:dyDescent="0.3">
      <c r="B105" s="130">
        <v>33</v>
      </c>
      <c r="C105" s="152" t="s">
        <v>250</v>
      </c>
      <c r="D105" s="140">
        <v>94.657700000000006</v>
      </c>
      <c r="E105" s="190" t="s">
        <v>281</v>
      </c>
      <c r="F105" s="135" t="e">
        <f t="shared" si="10"/>
        <v>#VALUE!</v>
      </c>
      <c r="G105" s="160">
        <v>191.12379999999999</v>
      </c>
      <c r="H105" s="161">
        <v>-82.048400000000001</v>
      </c>
      <c r="I105" s="137">
        <f t="shared" si="11"/>
        <v>-0.42929452009639829</v>
      </c>
      <c r="J105" s="185" t="s">
        <v>281</v>
      </c>
      <c r="L105" s="188" t="s">
        <v>281</v>
      </c>
      <c r="M105" s="188" t="s">
        <v>281</v>
      </c>
      <c r="N105" s="163">
        <v>-1.69</v>
      </c>
      <c r="O105" s="163">
        <v>-3.280332</v>
      </c>
    </row>
    <row r="106" spans="2:15" ht="12.75" customHeight="1" x14ac:dyDescent="0.3">
      <c r="B106" s="130">
        <v>34</v>
      </c>
      <c r="C106" s="152" t="s">
        <v>219</v>
      </c>
      <c r="D106" s="180">
        <v>90</v>
      </c>
      <c r="E106" s="154">
        <v>158.01102900000001</v>
      </c>
      <c r="F106" s="135">
        <f t="shared" si="10"/>
        <v>0.11915175058486849</v>
      </c>
      <c r="G106" s="155">
        <v>21.261320000000001</v>
      </c>
      <c r="H106" s="155">
        <v>1.5035540000000001</v>
      </c>
      <c r="I106" s="137">
        <f t="shared" si="11"/>
        <v>7.0717810559269137E-2</v>
      </c>
      <c r="J106" s="187" t="s">
        <v>281</v>
      </c>
      <c r="L106" s="186" t="s">
        <v>281</v>
      </c>
      <c r="M106" s="158">
        <v>455.50744900000001</v>
      </c>
      <c r="N106" s="158">
        <v>0.61</v>
      </c>
      <c r="O106" s="158">
        <v>0.69922899999999999</v>
      </c>
    </row>
    <row r="107" spans="2:15" ht="12.75" customHeight="1" x14ac:dyDescent="0.3">
      <c r="B107" s="130">
        <v>35</v>
      </c>
      <c r="C107" s="152" t="s">
        <v>226</v>
      </c>
      <c r="D107" s="140">
        <v>123.96</v>
      </c>
      <c r="E107" s="134">
        <v>608.42359999999996</v>
      </c>
      <c r="F107" s="135">
        <f t="shared" si="10"/>
        <v>0.37462708496075625</v>
      </c>
      <c r="G107" s="160">
        <v>100.8509</v>
      </c>
      <c r="H107" s="161">
        <v>8.5199999999999998E-2</v>
      </c>
      <c r="I107" s="137">
        <f t="shared" si="11"/>
        <v>8.4481149895538862E-4</v>
      </c>
      <c r="J107" s="185" t="s">
        <v>281</v>
      </c>
      <c r="L107" s="188" t="s">
        <v>281</v>
      </c>
      <c r="M107" s="163">
        <v>75.816488000000007</v>
      </c>
      <c r="N107" s="163">
        <v>0.01</v>
      </c>
      <c r="O107" s="163">
        <v>2.8166E-2</v>
      </c>
    </row>
    <row r="108" spans="2:15" ht="12.75" customHeight="1" x14ac:dyDescent="0.3">
      <c r="B108" s="130">
        <v>36</v>
      </c>
      <c r="C108" s="152" t="s">
        <v>186</v>
      </c>
      <c r="D108" s="180">
        <v>1016.4759</v>
      </c>
      <c r="E108" s="154">
        <v>23.769051000000001</v>
      </c>
      <c r="F108" s="135">
        <f t="shared" si="10"/>
        <v>-0.52817282425818268</v>
      </c>
      <c r="G108" s="155">
        <v>712.064123</v>
      </c>
      <c r="H108" s="155">
        <v>366.95218799999998</v>
      </c>
      <c r="I108" s="137">
        <f t="shared" si="11"/>
        <v>0.51533587516527635</v>
      </c>
      <c r="J108" s="162">
        <v>1.05</v>
      </c>
      <c r="K108" s="181">
        <v>2.9</v>
      </c>
      <c r="L108" s="186" t="s">
        <v>281</v>
      </c>
      <c r="M108" s="158">
        <v>6.276516</v>
      </c>
      <c r="N108" s="158">
        <v>8.4700000000000006</v>
      </c>
      <c r="O108" s="158">
        <v>32.118597000000001</v>
      </c>
    </row>
    <row r="109" spans="2:15" ht="12.75" customHeight="1" x14ac:dyDescent="0.3">
      <c r="B109" s="130">
        <v>37</v>
      </c>
      <c r="C109" s="152" t="s">
        <v>188</v>
      </c>
      <c r="D109" s="140">
        <v>6044.4826000000003</v>
      </c>
      <c r="E109" s="134">
        <v>4835.9323999999997</v>
      </c>
      <c r="F109" s="135">
        <f t="shared" si="10"/>
        <v>-4.363380199409217E-2</v>
      </c>
      <c r="G109" s="160">
        <v>867.01769999999999</v>
      </c>
      <c r="H109" s="161">
        <v>20.8154</v>
      </c>
      <c r="I109" s="137">
        <f t="shared" si="11"/>
        <v>2.4008045049137984E-2</v>
      </c>
      <c r="J109" s="185" t="s">
        <v>281</v>
      </c>
      <c r="L109" s="163">
        <v>0.34</v>
      </c>
      <c r="M109" s="163">
        <v>66.077893000000003</v>
      </c>
      <c r="N109" s="163">
        <v>0.22</v>
      </c>
      <c r="O109" s="163">
        <v>2.861453</v>
      </c>
    </row>
    <row r="110" spans="2:15" ht="12.75" customHeight="1" x14ac:dyDescent="0.3">
      <c r="B110" s="130">
        <v>38</v>
      </c>
      <c r="C110" s="152" t="s">
        <v>212</v>
      </c>
      <c r="D110" s="180">
        <v>2720.0756999999999</v>
      </c>
      <c r="E110" s="154">
        <v>7046.7362000000003</v>
      </c>
      <c r="F110" s="135">
        <f t="shared" si="10"/>
        <v>0.20971037287204286</v>
      </c>
      <c r="G110" s="155">
        <v>824.98919999999998</v>
      </c>
      <c r="H110" s="155">
        <v>67.8399</v>
      </c>
      <c r="I110" s="137">
        <f t="shared" si="11"/>
        <v>8.2231258300108662E-2</v>
      </c>
      <c r="J110" s="162">
        <v>1.93</v>
      </c>
      <c r="L110" s="158">
        <v>0.16</v>
      </c>
      <c r="M110" s="158">
        <v>81.690838999999997</v>
      </c>
      <c r="N110" s="158">
        <v>0.52</v>
      </c>
      <c r="O110" s="158">
        <v>4.3083900000000002</v>
      </c>
    </row>
    <row r="111" spans="2:15" ht="12.75" customHeight="1" x14ac:dyDescent="0.3">
      <c r="B111" s="130">
        <v>39</v>
      </c>
      <c r="C111" s="152" t="s">
        <v>235</v>
      </c>
      <c r="D111" s="140">
        <v>31.317799999999998</v>
      </c>
      <c r="E111" s="134">
        <v>1276.3175000000001</v>
      </c>
      <c r="F111" s="135">
        <f t="shared" si="10"/>
        <v>1.0991017734112511</v>
      </c>
      <c r="G111" s="160">
        <v>421.70830000000001</v>
      </c>
      <c r="H111" s="161">
        <v>49.984099999999998</v>
      </c>
      <c r="I111" s="137">
        <f t="shared" si="11"/>
        <v>0.11852766473887281</v>
      </c>
      <c r="J111" s="157">
        <v>0.42</v>
      </c>
      <c r="K111" s="179">
        <v>4.53</v>
      </c>
      <c r="L111" s="188" t="s">
        <v>281</v>
      </c>
      <c r="M111" s="163">
        <v>66.141070999999997</v>
      </c>
      <c r="N111" s="163">
        <v>0.44</v>
      </c>
      <c r="O111" s="163">
        <v>1.580249</v>
      </c>
    </row>
    <row r="112" spans="2:15" ht="12.75" customHeight="1" x14ac:dyDescent="0.3">
      <c r="B112" s="130">
        <v>40</v>
      </c>
      <c r="C112" s="152" t="s">
        <v>180</v>
      </c>
      <c r="D112" s="180">
        <v>64165.796600000001</v>
      </c>
      <c r="E112" s="154">
        <v>37.728000000000002</v>
      </c>
      <c r="F112" s="135">
        <f t="shared" si="10"/>
        <v>-0.77412298562718496</v>
      </c>
      <c r="G112" s="155">
        <v>19.601800000000001</v>
      </c>
      <c r="H112" s="155">
        <v>4.4863999999999997</v>
      </c>
      <c r="I112" s="137">
        <f t="shared" si="11"/>
        <v>0.22887693987286881</v>
      </c>
      <c r="J112" s="162">
        <v>0.57999999999999996</v>
      </c>
      <c r="K112" s="181">
        <v>0.8</v>
      </c>
      <c r="L112" s="158">
        <v>0.02</v>
      </c>
      <c r="M112" s="158">
        <v>38.486924000000002</v>
      </c>
      <c r="N112" s="158">
        <v>2.5099999999999998</v>
      </c>
      <c r="O112" s="158">
        <v>10.583641</v>
      </c>
    </row>
    <row r="113" spans="2:16" ht="12.75" customHeight="1" x14ac:dyDescent="0.3">
      <c r="B113" s="130">
        <v>41</v>
      </c>
      <c r="C113" s="152" t="s">
        <v>216</v>
      </c>
      <c r="D113" s="140">
        <v>6131.4408999999996</v>
      </c>
      <c r="E113" s="134">
        <v>85879.628282000005</v>
      </c>
      <c r="F113" s="135">
        <f t="shared" si="10"/>
        <v>0.69537401286237999</v>
      </c>
      <c r="G113" s="160">
        <v>14337.203421</v>
      </c>
      <c r="H113" s="161">
        <v>4621.3742060000004</v>
      </c>
      <c r="I113" s="137">
        <f t="shared" si="11"/>
        <v>0.32233442396659989</v>
      </c>
      <c r="J113" s="185" t="s">
        <v>281</v>
      </c>
      <c r="L113" s="163">
        <v>0.44</v>
      </c>
      <c r="M113" s="163">
        <v>64.774355</v>
      </c>
      <c r="N113" s="163">
        <v>2.35</v>
      </c>
      <c r="O113" s="163">
        <v>13.094950000000001</v>
      </c>
    </row>
    <row r="114" spans="2:16" ht="12.75" customHeight="1" x14ac:dyDescent="0.3">
      <c r="B114" s="130">
        <v>42</v>
      </c>
      <c r="C114" s="152" t="s">
        <v>283</v>
      </c>
      <c r="D114" s="180" t="s">
        <v>281</v>
      </c>
      <c r="E114" s="154">
        <v>14271.869715000001</v>
      </c>
      <c r="F114" s="135" t="e">
        <f t="shared" si="10"/>
        <v>#VALUE!</v>
      </c>
      <c r="G114" s="155">
        <v>2002.615274</v>
      </c>
      <c r="H114" s="155">
        <v>479.96168</v>
      </c>
      <c r="I114" s="137">
        <f t="shared" si="11"/>
        <v>0.23966744198516485</v>
      </c>
      <c r="J114" s="187" t="s">
        <v>281</v>
      </c>
      <c r="L114" s="186" t="s">
        <v>281</v>
      </c>
      <c r="M114" s="158">
        <v>72.000117000000003</v>
      </c>
      <c r="N114" s="158">
        <v>1.59</v>
      </c>
      <c r="O114" s="158">
        <v>4.8742010000000002</v>
      </c>
    </row>
    <row r="115" spans="2:16" ht="12.75" customHeight="1" x14ac:dyDescent="0.3">
      <c r="B115" s="130">
        <v>43</v>
      </c>
      <c r="C115" s="152" t="s">
        <v>241</v>
      </c>
      <c r="D115" s="140">
        <v>221.78450000000001</v>
      </c>
      <c r="E115" s="134">
        <v>103574.254</v>
      </c>
      <c r="F115" s="135">
        <f t="shared" si="10"/>
        <v>2.4187246594789689</v>
      </c>
      <c r="G115" s="160">
        <v>17333.7683</v>
      </c>
      <c r="H115" s="161">
        <v>3452.9326000000001</v>
      </c>
      <c r="I115" s="137">
        <f t="shared" si="11"/>
        <v>0.19920265116270189</v>
      </c>
      <c r="J115" s="185" t="s">
        <v>281</v>
      </c>
      <c r="L115" s="163">
        <v>0.08</v>
      </c>
      <c r="M115" s="163">
        <v>55.136335000000003</v>
      </c>
      <c r="N115" s="163">
        <v>1.25</v>
      </c>
      <c r="O115" s="163">
        <v>10.084391999999999</v>
      </c>
    </row>
    <row r="116" spans="2:16" ht="12.75" customHeight="1" x14ac:dyDescent="0.3">
      <c r="B116" s="130">
        <v>44</v>
      </c>
      <c r="C116" s="152" t="s">
        <v>284</v>
      </c>
      <c r="D116" s="180">
        <v>854.88099999999997</v>
      </c>
      <c r="E116" s="154">
        <v>597.88900000000001</v>
      </c>
      <c r="F116" s="135">
        <f t="shared" si="10"/>
        <v>-6.901436548841311E-2</v>
      </c>
      <c r="G116" s="155">
        <v>77.605099999999993</v>
      </c>
      <c r="H116" s="155">
        <v>23.672499999999999</v>
      </c>
      <c r="I116" s="137">
        <f t="shared" si="11"/>
        <v>0.30503794209401186</v>
      </c>
      <c r="J116" s="187" t="s">
        <v>281</v>
      </c>
      <c r="L116" s="186" t="s">
        <v>281</v>
      </c>
      <c r="M116" s="158">
        <v>86.582342999999995</v>
      </c>
      <c r="N116" s="158">
        <v>1.69</v>
      </c>
      <c r="O116" s="158">
        <v>2.6949040000000002</v>
      </c>
    </row>
    <row r="117" spans="2:16" ht="12.75" customHeight="1" x14ac:dyDescent="0.3">
      <c r="B117" s="130">
        <v>45</v>
      </c>
      <c r="C117" s="152" t="s">
        <v>237</v>
      </c>
      <c r="D117" s="140">
        <v>1647.7872</v>
      </c>
      <c r="E117" s="134">
        <v>1947.9311</v>
      </c>
      <c r="F117" s="135">
        <f t="shared" si="10"/>
        <v>3.4033224529094186E-2</v>
      </c>
      <c r="G117" s="160">
        <v>347.43950000000001</v>
      </c>
      <c r="H117" s="161">
        <v>26.515699999999999</v>
      </c>
      <c r="I117" s="137">
        <f t="shared" si="11"/>
        <v>7.6317459586489153E-2</v>
      </c>
      <c r="J117" s="185" t="s">
        <v>281</v>
      </c>
      <c r="L117" s="163">
        <v>0.33</v>
      </c>
      <c r="M117" s="163">
        <v>69.550803000000002</v>
      </c>
      <c r="N117" s="163">
        <v>0.49</v>
      </c>
      <c r="O117" s="163">
        <v>2.8892859999999998</v>
      </c>
    </row>
    <row r="118" spans="2:16" ht="12.75" customHeight="1" x14ac:dyDescent="0.3"/>
    <row r="119" spans="2:16" ht="12.75" customHeight="1" x14ac:dyDescent="0.3"/>
    <row r="120" spans="2:16" ht="12.75" customHeight="1" x14ac:dyDescent="0.3">
      <c r="B120" s="19">
        <v>45</v>
      </c>
      <c r="C120" s="169" t="s">
        <v>154</v>
      </c>
      <c r="D120" s="184">
        <v>351015.72100000002</v>
      </c>
      <c r="E120" s="171">
        <v>491029.37175599998</v>
      </c>
      <c r="F120" s="172">
        <f>(E120/D120)^(1/5)-1</f>
        <v>6.9439401054201877E-2</v>
      </c>
      <c r="G120" s="173">
        <v>108268.45200200001</v>
      </c>
      <c r="H120" s="174">
        <v>30145.167127000001</v>
      </c>
      <c r="I120" s="167">
        <f>H120/G120</f>
        <v>0.27842983407985866</v>
      </c>
      <c r="J120" s="168">
        <f t="shared" ref="J120:O120" si="12">MEDIAN(J73:J117)</f>
        <v>0.76</v>
      </c>
      <c r="K120" s="168">
        <f t="shared" si="12"/>
        <v>1.31</v>
      </c>
      <c r="L120" s="168">
        <f t="shared" si="12"/>
        <v>0.57499999999999996</v>
      </c>
      <c r="M120" s="168">
        <f t="shared" si="12"/>
        <v>74.909796</v>
      </c>
      <c r="N120" s="168">
        <f t="shared" si="12"/>
        <v>0.90999999999999992</v>
      </c>
      <c r="O120" s="168">
        <f t="shared" si="12"/>
        <v>3.6213389999999999</v>
      </c>
      <c r="P120" s="19">
        <f>SUM(P98:P109)</f>
        <v>0</v>
      </c>
    </row>
    <row r="121" spans="2:16" ht="12.75" customHeight="1" x14ac:dyDescent="0.3"/>
    <row r="122" spans="2:16" ht="12.75" customHeight="1" x14ac:dyDescent="0.3"/>
    <row r="123" spans="2:16" ht="12.75" customHeight="1" x14ac:dyDescent="0.3">
      <c r="D123" s="176" t="s">
        <v>103</v>
      </c>
      <c r="E123" s="177" t="s">
        <v>111</v>
      </c>
      <c r="F123" s="178">
        <v>12</v>
      </c>
      <c r="J123" s="177" t="s">
        <v>103</v>
      </c>
      <c r="K123" s="177" t="s">
        <v>108</v>
      </c>
      <c r="L123" s="177" t="s">
        <v>111</v>
      </c>
    </row>
    <row r="124" spans="2:16" ht="12.75" customHeight="1" x14ac:dyDescent="0.3">
      <c r="B124" s="130" t="s">
        <v>268</v>
      </c>
      <c r="C124" s="133" t="s">
        <v>155</v>
      </c>
      <c r="D124" s="131" t="s">
        <v>255</v>
      </c>
      <c r="E124" s="131" t="s">
        <v>255</v>
      </c>
      <c r="F124" s="131" t="s">
        <v>26</v>
      </c>
      <c r="G124" s="132" t="s">
        <v>257</v>
      </c>
      <c r="H124" s="132" t="s">
        <v>258</v>
      </c>
      <c r="I124" s="132" t="s">
        <v>259</v>
      </c>
      <c r="J124" s="132" t="s">
        <v>260</v>
      </c>
      <c r="K124" s="132" t="s">
        <v>261</v>
      </c>
      <c r="L124" s="132" t="s">
        <v>262</v>
      </c>
      <c r="M124" s="132" t="s">
        <v>263</v>
      </c>
      <c r="N124" s="132" t="s">
        <v>264</v>
      </c>
      <c r="O124" s="132" t="s">
        <v>265</v>
      </c>
      <c r="P124" s="132" t="s">
        <v>266</v>
      </c>
    </row>
    <row r="125" spans="2:16" ht="12.75" customHeight="1" x14ac:dyDescent="0.3">
      <c r="B125" s="130">
        <v>1</v>
      </c>
      <c r="C125" s="152" t="s">
        <v>185</v>
      </c>
      <c r="D125" s="154">
        <v>13312.1307</v>
      </c>
      <c r="E125" s="154">
        <v>58421.544071999997</v>
      </c>
      <c r="F125" s="135">
        <f t="shared" ref="F125:F127" si="13">(E125/D125)^(1/5)-1</f>
        <v>0.3442037159490845</v>
      </c>
      <c r="G125" s="155">
        <v>9239.8724810000003</v>
      </c>
      <c r="H125" s="155">
        <v>1427.925262</v>
      </c>
      <c r="I125" s="137">
        <f t="shared" ref="I125:I136" si="14">H125/G125</f>
        <v>0.15453949877947454</v>
      </c>
      <c r="J125" s="165">
        <v>1.27</v>
      </c>
      <c r="K125" s="181">
        <v>0.81</v>
      </c>
      <c r="L125" s="159">
        <v>0.42</v>
      </c>
      <c r="M125" s="159">
        <v>84.223391000000007</v>
      </c>
      <c r="N125" s="159">
        <v>1.79</v>
      </c>
      <c r="O125" s="159">
        <v>15.444245</v>
      </c>
      <c r="P125" s="130">
        <v>51127</v>
      </c>
    </row>
    <row r="126" spans="2:16" ht="12.75" customHeight="1" x14ac:dyDescent="0.3">
      <c r="B126" s="130">
        <v>2</v>
      </c>
      <c r="C126" s="152" t="s">
        <v>193</v>
      </c>
      <c r="D126" s="134">
        <v>1847.2910999999999</v>
      </c>
      <c r="E126" s="134">
        <v>5428.6882999999998</v>
      </c>
      <c r="F126" s="135">
        <f t="shared" si="13"/>
        <v>0.24060039100584496</v>
      </c>
      <c r="G126" s="160">
        <v>725.48230000000001</v>
      </c>
      <c r="H126" s="161">
        <v>93.596199999999996</v>
      </c>
      <c r="I126" s="137">
        <f t="shared" si="14"/>
        <v>0.12901238252125516</v>
      </c>
      <c r="J126" s="156">
        <v>0.84</v>
      </c>
      <c r="K126" s="179">
        <v>1.25</v>
      </c>
      <c r="L126" s="164">
        <v>1.36</v>
      </c>
      <c r="M126" s="164">
        <v>82.746559000000005</v>
      </c>
      <c r="N126" s="164">
        <v>1.22</v>
      </c>
      <c r="O126" s="164">
        <v>16.618759000000001</v>
      </c>
      <c r="P126" s="130"/>
    </row>
    <row r="127" spans="2:16" ht="12.75" customHeight="1" x14ac:dyDescent="0.3">
      <c r="B127" s="130">
        <v>3</v>
      </c>
      <c r="C127" s="152" t="s">
        <v>207</v>
      </c>
      <c r="D127" s="154">
        <v>7706.6926000000003</v>
      </c>
      <c r="E127" s="154">
        <v>25798.5566</v>
      </c>
      <c r="F127" s="135">
        <f t="shared" si="13"/>
        <v>0.27334320289979597</v>
      </c>
      <c r="G127" s="155">
        <v>4831.4638000000004</v>
      </c>
      <c r="H127" s="155">
        <v>573.59050000000002</v>
      </c>
      <c r="I127" s="137">
        <f t="shared" si="14"/>
        <v>0.11871981737708559</v>
      </c>
      <c r="J127" s="165">
        <v>1.46</v>
      </c>
      <c r="K127" s="181">
        <v>1.67</v>
      </c>
      <c r="L127" s="159">
        <v>1.21</v>
      </c>
      <c r="M127" s="159">
        <v>101.646933</v>
      </c>
      <c r="N127" s="159">
        <v>1.82</v>
      </c>
      <c r="O127" s="159">
        <v>12.198710999999999</v>
      </c>
      <c r="P127" s="130">
        <v>12467</v>
      </c>
    </row>
    <row r="128" spans="2:16" ht="12.75" customHeight="1" x14ac:dyDescent="0.3">
      <c r="B128" s="130"/>
      <c r="C128" s="152" t="s">
        <v>223</v>
      </c>
      <c r="D128" s="191"/>
      <c r="E128" s="154">
        <v>18000</v>
      </c>
      <c r="F128" s="135"/>
      <c r="G128" s="160">
        <v>3141.5722000000001</v>
      </c>
      <c r="H128" s="161">
        <v>302.3331</v>
      </c>
      <c r="I128" s="137">
        <f t="shared" si="14"/>
        <v>9.6236241204324377E-2</v>
      </c>
      <c r="J128" s="166"/>
      <c r="K128" s="179">
        <v>0.64</v>
      </c>
      <c r="L128" s="164">
        <v>1.1299999999999999</v>
      </c>
      <c r="M128" s="164">
        <v>94.945369999999997</v>
      </c>
      <c r="N128" s="164">
        <v>1.63</v>
      </c>
      <c r="O128" s="164">
        <v>19.339389000000001</v>
      </c>
      <c r="P128" s="130">
        <v>3577</v>
      </c>
    </row>
    <row r="129" spans="2:17" ht="12.75" customHeight="1" x14ac:dyDescent="0.3">
      <c r="B129" s="130"/>
      <c r="C129" s="152" t="s">
        <v>225</v>
      </c>
      <c r="D129" s="134"/>
      <c r="E129" s="134">
        <v>8702.4142859999993</v>
      </c>
      <c r="F129" s="135"/>
      <c r="G129" s="155">
        <v>1970.797615</v>
      </c>
      <c r="H129" s="155">
        <v>103.64195599999999</v>
      </c>
      <c r="I129" s="137">
        <f t="shared" si="14"/>
        <v>5.2588837743240316E-2</v>
      </c>
      <c r="J129" s="166"/>
      <c r="K129" s="181">
        <v>0.41</v>
      </c>
      <c r="L129" s="159">
        <v>3.55</v>
      </c>
      <c r="M129" s="159">
        <v>108.33075599999999</v>
      </c>
      <c r="N129" s="159">
        <v>0.95</v>
      </c>
      <c r="O129" s="159">
        <v>8.2400280000000006</v>
      </c>
      <c r="P129" s="130">
        <v>2212</v>
      </c>
    </row>
    <row r="130" spans="2:17" ht="12.75" customHeight="1" x14ac:dyDescent="0.3">
      <c r="B130" s="130"/>
      <c r="C130" s="152" t="s">
        <v>213</v>
      </c>
      <c r="D130" s="154"/>
      <c r="E130" s="154">
        <v>17759.555400000001</v>
      </c>
      <c r="F130" s="135"/>
      <c r="G130" s="160">
        <v>3699.875</v>
      </c>
      <c r="H130" s="161">
        <v>255.97130000000001</v>
      </c>
      <c r="I130" s="137">
        <f t="shared" si="14"/>
        <v>6.9183769721950075E-2</v>
      </c>
      <c r="J130" s="166"/>
      <c r="K130" s="179">
        <v>1.41</v>
      </c>
      <c r="L130" s="164">
        <v>2.64</v>
      </c>
      <c r="M130" s="164">
        <v>108.727429</v>
      </c>
      <c r="N130" s="164">
        <v>1.1299999999999999</v>
      </c>
      <c r="O130" s="164">
        <v>17.076398000000001</v>
      </c>
      <c r="P130" s="130"/>
    </row>
    <row r="131" spans="2:17" ht="12.75" customHeight="1" x14ac:dyDescent="0.3">
      <c r="B131" s="130"/>
      <c r="C131" s="152" t="s">
        <v>233</v>
      </c>
      <c r="D131" s="134"/>
      <c r="E131" s="134">
        <v>1603.2594999999999</v>
      </c>
      <c r="F131" s="135"/>
      <c r="G131" s="155">
        <v>335.27820000000003</v>
      </c>
      <c r="H131" s="155">
        <v>-213.00579999999999</v>
      </c>
      <c r="I131" s="137">
        <f t="shared" si="14"/>
        <v>-0.63531061667594246</v>
      </c>
      <c r="J131" s="166"/>
      <c r="K131" s="181">
        <v>1.2</v>
      </c>
      <c r="L131" s="159">
        <v>1.71</v>
      </c>
      <c r="M131" s="159">
        <v>78.605408999999995</v>
      </c>
      <c r="N131" s="159">
        <v>-7.68</v>
      </c>
      <c r="O131" s="159">
        <v>-113.150732</v>
      </c>
      <c r="P131" s="130"/>
    </row>
    <row r="132" spans="2:17" ht="12.75" customHeight="1" x14ac:dyDescent="0.3">
      <c r="B132" s="130"/>
      <c r="C132" s="152" t="s">
        <v>199</v>
      </c>
      <c r="D132" s="154"/>
      <c r="E132" s="154">
        <v>1407.3710000000001</v>
      </c>
      <c r="F132" s="135"/>
      <c r="G132" s="160">
        <v>218.7243</v>
      </c>
      <c r="H132" s="161">
        <v>1.5299</v>
      </c>
      <c r="I132" s="137">
        <f t="shared" si="14"/>
        <v>6.9946503429202883E-3</v>
      </c>
      <c r="J132" s="166"/>
      <c r="L132" s="164">
        <v>1.1399999999999999</v>
      </c>
      <c r="M132" s="164">
        <v>74.296666999999999</v>
      </c>
      <c r="N132" s="164">
        <v>7.0000000000000007E-2</v>
      </c>
      <c r="O132" s="164">
        <v>1.151006</v>
      </c>
      <c r="P132" s="130"/>
    </row>
    <row r="133" spans="2:17" ht="12.75" customHeight="1" x14ac:dyDescent="0.3">
      <c r="B133" s="130">
        <v>4</v>
      </c>
      <c r="C133" s="152" t="s">
        <v>227</v>
      </c>
      <c r="D133" s="134">
        <v>1574.9472000000001</v>
      </c>
      <c r="E133" s="134">
        <v>6015.0510709999999</v>
      </c>
      <c r="F133" s="135">
        <f t="shared" ref="F133:F134" si="15">(E133/D133)^(1/5)-1</f>
        <v>0.3073584073279465</v>
      </c>
      <c r="G133" s="155">
        <v>1281.104495</v>
      </c>
      <c r="H133" s="155">
        <v>77.690877</v>
      </c>
      <c r="I133" s="137">
        <f t="shared" si="14"/>
        <v>6.0643669039659405E-2</v>
      </c>
      <c r="J133" s="156">
        <v>2.25</v>
      </c>
      <c r="K133" s="179">
        <v>0.56999999999999995</v>
      </c>
      <c r="L133" s="159">
        <v>1.55</v>
      </c>
      <c r="M133" s="159">
        <v>116.419145</v>
      </c>
      <c r="N133" s="159">
        <v>0.91</v>
      </c>
      <c r="O133" s="159">
        <v>5.0287879999999996</v>
      </c>
      <c r="P133" s="130">
        <v>1698</v>
      </c>
    </row>
    <row r="134" spans="2:17" ht="12.75" customHeight="1" x14ac:dyDescent="0.3">
      <c r="B134" s="130">
        <v>5</v>
      </c>
      <c r="C134" s="152" t="s">
        <v>218</v>
      </c>
      <c r="D134" s="154">
        <v>7336.2114000000001</v>
      </c>
      <c r="E134" s="154">
        <v>21289.661100000001</v>
      </c>
      <c r="F134" s="135">
        <f t="shared" si="15"/>
        <v>0.23748340074935115</v>
      </c>
      <c r="G134" s="160">
        <v>4754.1855999999998</v>
      </c>
      <c r="H134" s="161">
        <v>1099.9217000000001</v>
      </c>
      <c r="I134" s="137">
        <f t="shared" si="14"/>
        <v>0.23135859483483356</v>
      </c>
      <c r="J134" s="165">
        <v>0.69</v>
      </c>
      <c r="K134" s="181">
        <v>0.2</v>
      </c>
      <c r="L134" s="164">
        <v>0.09</v>
      </c>
      <c r="M134" s="164">
        <v>83.365674999999996</v>
      </c>
      <c r="N134" s="164">
        <v>4.04</v>
      </c>
      <c r="O134" s="164">
        <v>31.373712000000001</v>
      </c>
      <c r="P134" s="130">
        <v>11097</v>
      </c>
    </row>
    <row r="135" spans="2:17" ht="12.75" customHeight="1" x14ac:dyDescent="0.3">
      <c r="B135" s="130"/>
      <c r="C135" s="152" t="s">
        <v>285</v>
      </c>
      <c r="D135" s="134"/>
      <c r="E135" s="134">
        <v>4468.1900999999998</v>
      </c>
      <c r="F135" s="130"/>
      <c r="G135" s="155">
        <v>803.31089999999995</v>
      </c>
      <c r="H135" s="155">
        <v>34.623399999999997</v>
      </c>
      <c r="I135" s="137">
        <f t="shared" si="14"/>
        <v>4.3100871655046634E-2</v>
      </c>
      <c r="J135" s="166"/>
      <c r="L135" s="159">
        <v>0.34</v>
      </c>
      <c r="M135" s="159">
        <v>166.43624700000001</v>
      </c>
      <c r="N135" s="159">
        <v>0.43</v>
      </c>
      <c r="O135" s="159">
        <v>1.985031</v>
      </c>
      <c r="P135" s="130"/>
    </row>
    <row r="136" spans="2:17" ht="12.75" customHeight="1" x14ac:dyDescent="0.3">
      <c r="B136" s="130">
        <v>6</v>
      </c>
      <c r="C136" s="152" t="s">
        <v>220</v>
      </c>
      <c r="D136" s="134">
        <v>3101.7186000000002</v>
      </c>
      <c r="E136" s="154">
        <v>13068.7655</v>
      </c>
      <c r="F136" s="135">
        <f>(E136/D136)^(1/5)-1</f>
        <v>0.33329556400121407</v>
      </c>
      <c r="G136" s="160">
        <v>2804.2860000000001</v>
      </c>
      <c r="H136" s="161">
        <v>404.50189999999998</v>
      </c>
      <c r="I136" s="137">
        <f t="shared" si="14"/>
        <v>0.14424416767761919</v>
      </c>
      <c r="J136" s="156">
        <v>1.0900000000000001</v>
      </c>
      <c r="K136" s="179">
        <v>0.18</v>
      </c>
      <c r="L136" s="164">
        <v>0.39</v>
      </c>
      <c r="M136" s="164">
        <v>95.321897000000007</v>
      </c>
      <c r="N136" s="164">
        <v>2.4500000000000002</v>
      </c>
      <c r="O136" s="164">
        <v>22.644569000000001</v>
      </c>
      <c r="P136" s="130">
        <v>5801</v>
      </c>
    </row>
    <row r="137" spans="2:17" ht="12.75" customHeight="1" x14ac:dyDescent="0.3">
      <c r="O137" s="168"/>
    </row>
    <row r="138" spans="2:17" ht="12.75" customHeight="1" x14ac:dyDescent="0.3">
      <c r="E138" s="56">
        <f>E130/E139</f>
        <v>0.10831437113111596</v>
      </c>
      <c r="F138" s="19">
        <f>E125/E139</f>
        <v>0.35630919041292297</v>
      </c>
      <c r="O138" s="168"/>
    </row>
    <row r="139" spans="2:17" ht="12.75" customHeight="1" x14ac:dyDescent="0.3">
      <c r="B139" s="19">
        <v>6</v>
      </c>
      <c r="C139" s="169" t="s">
        <v>155</v>
      </c>
      <c r="D139" s="170">
        <v>34878.991600000001</v>
      </c>
      <c r="E139" s="171">
        <v>163963.05692900001</v>
      </c>
      <c r="F139" s="172">
        <f>(E139/D139)^(1/5)-1</f>
        <v>0.3628134693616718</v>
      </c>
      <c r="G139" s="173">
        <v>33805.952891000001</v>
      </c>
      <c r="H139" s="174">
        <v>4162.3202950000004</v>
      </c>
      <c r="I139" s="167">
        <f>H139/G139</f>
        <v>0.123123886151664</v>
      </c>
      <c r="J139" s="168">
        <f t="shared" ref="J139:O139" si="16">MEDIAN(J125:J136)</f>
        <v>1.1800000000000002</v>
      </c>
      <c r="K139" s="168">
        <f t="shared" si="16"/>
        <v>0.72500000000000009</v>
      </c>
      <c r="L139" s="168">
        <f t="shared" si="16"/>
        <v>1.1749999999999998</v>
      </c>
      <c r="M139" s="168">
        <f t="shared" si="16"/>
        <v>95.133633500000002</v>
      </c>
      <c r="N139" s="168">
        <f t="shared" si="16"/>
        <v>1.1749999999999998</v>
      </c>
      <c r="O139" s="168">
        <f t="shared" si="16"/>
        <v>13.821477999999999</v>
      </c>
      <c r="P139" s="19">
        <f>SUM(P125:P136)</f>
        <v>87979</v>
      </c>
    </row>
    <row r="140" spans="2:17" ht="12.75" customHeight="1" x14ac:dyDescent="0.3"/>
    <row r="141" spans="2:17" ht="12.75" customHeight="1" x14ac:dyDescent="0.3"/>
    <row r="142" spans="2:17" ht="12.75" customHeight="1" x14ac:dyDescent="0.3"/>
    <row r="143" spans="2:17" ht="12.75" customHeight="1" x14ac:dyDescent="0.3">
      <c r="C143" s="192" t="s">
        <v>286</v>
      </c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</row>
    <row r="144" spans="2:17" ht="12.75" customHeight="1" x14ac:dyDescent="0.3">
      <c r="C144" s="193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93"/>
    </row>
    <row r="145" spans="3:17" ht="12.75" customHeight="1" x14ac:dyDescent="0.3"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</row>
    <row r="146" spans="3:17" ht="12.75" customHeight="1" x14ac:dyDescent="0.3"/>
    <row r="147" spans="3:17" ht="12.75" customHeight="1" x14ac:dyDescent="0.3"/>
    <row r="148" spans="3:17" ht="12.75" customHeight="1" x14ac:dyDescent="0.3"/>
    <row r="149" spans="3:17" ht="12.75" customHeight="1" x14ac:dyDescent="0.3"/>
    <row r="150" spans="3:17" ht="12.75" customHeight="1" x14ac:dyDescent="0.3"/>
    <row r="151" spans="3:17" ht="12.75" customHeight="1" x14ac:dyDescent="0.3"/>
    <row r="152" spans="3:17" ht="12.75" customHeight="1" x14ac:dyDescent="0.3"/>
    <row r="153" spans="3:17" ht="12.75" customHeight="1" x14ac:dyDescent="0.3"/>
    <row r="154" spans="3:17" ht="12.75" customHeight="1" x14ac:dyDescent="0.3"/>
    <row r="155" spans="3:17" ht="12.75" customHeight="1" x14ac:dyDescent="0.3"/>
    <row r="156" spans="3:17" ht="12.75" customHeight="1" x14ac:dyDescent="0.3"/>
    <row r="157" spans="3:17" ht="12.75" customHeight="1" x14ac:dyDescent="0.3"/>
    <row r="158" spans="3:17" ht="12.75" customHeight="1" x14ac:dyDescent="0.3"/>
    <row r="159" spans="3:17" ht="12.75" customHeight="1" x14ac:dyDescent="0.3"/>
    <row r="160" spans="3:17" ht="12.75" customHeight="1" x14ac:dyDescent="0.3"/>
    <row r="161" spans="3:5" ht="12.75" customHeight="1" x14ac:dyDescent="0.3"/>
    <row r="162" spans="3:5" ht="12.75" customHeight="1" x14ac:dyDescent="0.3"/>
    <row r="163" spans="3:5" ht="12.75" customHeight="1" x14ac:dyDescent="0.3"/>
    <row r="164" spans="3:5" ht="12.75" customHeight="1" x14ac:dyDescent="0.3">
      <c r="C164" s="194" t="s">
        <v>155</v>
      </c>
      <c r="D164" s="132" t="s">
        <v>261</v>
      </c>
      <c r="E164" s="132" t="s">
        <v>262</v>
      </c>
    </row>
    <row r="165" spans="3:5" ht="12.75" customHeight="1" x14ac:dyDescent="0.3">
      <c r="C165" s="195" t="s">
        <v>185</v>
      </c>
      <c r="D165" s="181">
        <v>0.81</v>
      </c>
      <c r="E165" s="159">
        <v>0.42</v>
      </c>
    </row>
    <row r="166" spans="3:5" ht="12.75" customHeight="1" x14ac:dyDescent="0.3">
      <c r="C166" s="195" t="s">
        <v>207</v>
      </c>
      <c r="D166" s="179">
        <v>1.25</v>
      </c>
      <c r="E166" s="164">
        <v>1.36</v>
      </c>
    </row>
    <row r="167" spans="3:5" ht="12.75" customHeight="1" x14ac:dyDescent="0.3">
      <c r="C167" s="195" t="s">
        <v>218</v>
      </c>
      <c r="D167" s="181">
        <v>1.67</v>
      </c>
      <c r="E167" s="159">
        <v>1.21</v>
      </c>
    </row>
    <row r="168" spans="3:5" ht="12.75" customHeight="1" x14ac:dyDescent="0.3">
      <c r="C168" s="196" t="s">
        <v>223</v>
      </c>
      <c r="D168" s="179">
        <v>0.64</v>
      </c>
      <c r="E168" s="164">
        <v>1.1299999999999999</v>
      </c>
    </row>
    <row r="169" spans="3:5" ht="12.75" customHeight="1" x14ac:dyDescent="0.3">
      <c r="C169" s="196" t="s">
        <v>213</v>
      </c>
      <c r="D169" s="181">
        <v>0.41</v>
      </c>
      <c r="E169" s="159">
        <v>3.55</v>
      </c>
    </row>
    <row r="170" spans="3:5" ht="12.75" customHeight="1" x14ac:dyDescent="0.3">
      <c r="C170" s="196" t="s">
        <v>220</v>
      </c>
      <c r="D170" s="179">
        <v>1.41</v>
      </c>
      <c r="E170" s="164">
        <v>2.64</v>
      </c>
    </row>
    <row r="171" spans="3:5" ht="12.75" customHeight="1" x14ac:dyDescent="0.3">
      <c r="C171" s="196" t="s">
        <v>225</v>
      </c>
      <c r="D171" s="181">
        <v>1.2</v>
      </c>
      <c r="E171" s="159">
        <v>1.71</v>
      </c>
    </row>
    <row r="172" spans="3:5" ht="12.75" customHeight="1" x14ac:dyDescent="0.3">
      <c r="C172" s="196" t="s">
        <v>227</v>
      </c>
      <c r="E172" s="164">
        <v>1.1399999999999999</v>
      </c>
    </row>
    <row r="173" spans="3:5" ht="12.75" customHeight="1" x14ac:dyDescent="0.3">
      <c r="C173" s="195" t="s">
        <v>193</v>
      </c>
      <c r="D173" s="179">
        <v>0.56999999999999995</v>
      </c>
      <c r="E173" s="159">
        <v>1.55</v>
      </c>
    </row>
    <row r="174" spans="3:5" ht="12.75" customHeight="1" x14ac:dyDescent="0.3">
      <c r="C174" s="195" t="s">
        <v>285</v>
      </c>
      <c r="D174" s="181">
        <v>0.2</v>
      </c>
      <c r="E174" s="164">
        <v>0.09</v>
      </c>
    </row>
    <row r="175" spans="3:5" ht="12.75" customHeight="1" x14ac:dyDescent="0.3">
      <c r="C175" s="195" t="s">
        <v>233</v>
      </c>
      <c r="E175" s="159">
        <v>0.34</v>
      </c>
    </row>
    <row r="176" spans="3:5" ht="12.75" customHeight="1" x14ac:dyDescent="0.3">
      <c r="C176" s="195" t="s">
        <v>199</v>
      </c>
      <c r="D176" s="179">
        <v>0.18</v>
      </c>
      <c r="E176" s="164">
        <v>0.39</v>
      </c>
    </row>
    <row r="177" spans="3:5" ht="12.75" customHeight="1" x14ac:dyDescent="0.3"/>
    <row r="178" spans="3:5" ht="12.75" customHeight="1" x14ac:dyDescent="0.3"/>
    <row r="179" spans="3:5" ht="12.75" customHeight="1" x14ac:dyDescent="0.3">
      <c r="C179" s="19" t="s">
        <v>287</v>
      </c>
      <c r="D179" s="168">
        <f t="shared" ref="D179:E179" si="17">MEDIAN(D165:D176)</f>
        <v>0.72500000000000009</v>
      </c>
      <c r="E179" s="168">
        <f t="shared" si="17"/>
        <v>1.1749999999999998</v>
      </c>
    </row>
    <row r="180" spans="3:5" ht="12.75" customHeight="1" x14ac:dyDescent="0.3"/>
    <row r="181" spans="3:5" ht="12.75" customHeight="1" x14ac:dyDescent="0.3"/>
    <row r="182" spans="3:5" ht="12.75" customHeight="1" x14ac:dyDescent="0.3"/>
    <row r="183" spans="3:5" ht="12.75" customHeight="1" x14ac:dyDescent="0.3"/>
    <row r="184" spans="3:5" ht="12.75" customHeight="1" x14ac:dyDescent="0.3"/>
    <row r="185" spans="3:5" ht="12.75" customHeight="1" x14ac:dyDescent="0.3"/>
    <row r="186" spans="3:5" ht="12.75" customHeight="1" x14ac:dyDescent="0.3"/>
    <row r="187" spans="3:5" ht="12.75" customHeight="1" x14ac:dyDescent="0.3"/>
    <row r="188" spans="3:5" ht="12.75" customHeight="1" x14ac:dyDescent="0.3"/>
    <row r="189" spans="3:5" ht="12.75" customHeight="1" x14ac:dyDescent="0.3"/>
    <row r="190" spans="3:5" ht="12.75" customHeight="1" x14ac:dyDescent="0.3"/>
    <row r="191" spans="3:5" ht="12.75" customHeight="1" x14ac:dyDescent="0.3"/>
    <row r="192" spans="3:5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autoFilter ref="C164:C179" xr:uid="{00000000-0009-0000-0000-000004000000}"/>
  <mergeCells count="1">
    <mergeCell ref="C143:Q145"/>
  </mergeCells>
  <conditionalFormatting sqref="B4:B7 G4:G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D34">
    <cfRule type="colorScale" priority="2">
      <colorScale>
        <cfvo type="min"/>
        <cfvo type="max"/>
        <color rgb="FFFCFCFF"/>
        <color rgb="FF63BE7B"/>
      </colorScale>
    </cfRule>
  </conditionalFormatting>
  <conditionalFormatting sqref="K139 D17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E7">
    <cfRule type="colorScale" priority="3">
      <colorScale>
        <cfvo type="min"/>
        <cfvo type="max"/>
        <color rgb="FFFCFCFF"/>
        <color rgb="FF63BE7B"/>
      </colorScale>
    </cfRule>
  </conditionalFormatting>
  <conditionalFormatting sqref="D4:E9">
    <cfRule type="colorScale" priority="4">
      <colorScale>
        <cfvo type="min"/>
        <cfvo type="max"/>
        <color rgb="FFFCFCFF"/>
        <color rgb="FF63BE7B"/>
      </colorScale>
    </cfRule>
  </conditionalFormatting>
  <conditionalFormatting sqref="D125:E136">
    <cfRule type="colorScale" priority="5">
      <colorScale>
        <cfvo type="min"/>
        <cfvo type="max"/>
        <color rgb="FFFCFCFF"/>
        <color rgb="FF63BE7B"/>
      </colorScale>
    </cfRule>
  </conditionalFormatting>
  <conditionalFormatting sqref="E14:E34">
    <cfRule type="colorScale" priority="6">
      <colorScale>
        <cfvo type="min"/>
        <cfvo type="max"/>
        <color rgb="FFFCFCFF"/>
        <color rgb="FF63BE7B"/>
      </colorScale>
    </cfRule>
  </conditionalFormatting>
  <conditionalFormatting sqref="F4:F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F20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4:F25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7:F29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1:F32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4:F65">
    <cfRule type="colorScale" priority="9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25:F13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7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4:G25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6:G32">
    <cfRule type="colorScale" priority="16">
      <colorScale>
        <cfvo type="min"/>
        <cfvo type="max"/>
        <color rgb="FFFCFCFF"/>
        <color rgb="FF63BE7B"/>
      </colorScale>
    </cfRule>
  </conditionalFormatting>
  <conditionalFormatting sqref="G125:G136">
    <cfRule type="colorScale" priority="17">
      <colorScale>
        <cfvo type="min"/>
        <cfvo type="max"/>
        <color rgb="FFFCFCFF"/>
        <color rgb="FF63BE7B"/>
      </colorScale>
    </cfRule>
  </conditionalFormatting>
  <conditionalFormatting sqref="H4:H7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4:H25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6:H32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25:H136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:I7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4:I25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6:I32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6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4:I59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1:I65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7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3:I117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0">
    <cfRule type="colorScale" priority="8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5:I136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39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:J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6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7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"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4:J25 J26:K35 J36:O36 L14:L2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J25 L14:L25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J25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65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66 L44:L66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7 L73:L11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9 L73:L11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5:J136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5:J139 L125:L139 E165:E179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L25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L65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7:O67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0:O12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7 M4:M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9 M4:M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K2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K32 L16:L2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K65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:K11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5:K136 D165:D176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L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L25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L35 M14:M25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max"/>
        <color rgb="FFFCFCFF"/>
        <color rgb="FFF8696B"/>
      </colorScale>
    </cfRule>
  </conditionalFormatting>
  <conditionalFormatting sqref="L44:L6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3:L117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5:L136 E165:E17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6:M35 N14:N2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4:M6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:M117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5:M13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6:N35 O16:O2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4:N6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3:N119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N13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N138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9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P9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O6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O119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5:O13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:P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9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:P25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44:P65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25:P136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:Q7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C143" r:id="rId1" xr:uid="{587F97C0-A27F-430F-9CCE-F2EC7F99335B}"/>
  </hyperlinks>
  <pageMargins left="0.7" right="0.7" top="0.75" bottom="0.75" header="0" footer="0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CDFB-F3D2-41BC-8DD5-AE6E85FF580B}">
  <sheetPr>
    <outlinePr summaryBelow="0" summaryRight="0"/>
  </sheetPr>
  <dimension ref="B2:P135"/>
  <sheetViews>
    <sheetView showGridLines="0" workbookViewId="0"/>
  </sheetViews>
  <sheetFormatPr defaultColWidth="12.6640625" defaultRowHeight="15.75" customHeight="1" x14ac:dyDescent="0.3"/>
  <cols>
    <col min="1" max="1" width="6.33203125" customWidth="1"/>
    <col min="2" max="2" width="44.33203125" customWidth="1"/>
    <col min="3" max="3" width="14" customWidth="1"/>
    <col min="6" max="6" width="44.33203125" customWidth="1"/>
    <col min="7" max="7" width="15.6640625" customWidth="1"/>
    <col min="10" max="10" width="44.33203125" customWidth="1"/>
    <col min="11" max="11" width="15.109375" customWidth="1"/>
    <col min="13" max="13" width="44.33203125" customWidth="1"/>
  </cols>
  <sheetData>
    <row r="2" spans="2:16" ht="15.75" customHeight="1" x14ac:dyDescent="0.3">
      <c r="B2" s="121" t="s">
        <v>144</v>
      </c>
      <c r="C2" s="122"/>
      <c r="D2" s="122"/>
      <c r="E2" s="122"/>
      <c r="F2" s="122"/>
      <c r="G2" s="122"/>
      <c r="H2" s="122"/>
      <c r="J2" s="121" t="s">
        <v>144</v>
      </c>
      <c r="K2" s="122"/>
      <c r="L2" s="122"/>
      <c r="M2" s="122"/>
      <c r="N2" s="122"/>
      <c r="O2" s="122"/>
      <c r="P2" s="122"/>
    </row>
    <row r="4" spans="2:16" ht="15.75" customHeight="1" x14ac:dyDescent="0.3">
      <c r="B4" s="123" t="s">
        <v>145</v>
      </c>
      <c r="C4" s="123" t="s">
        <v>146</v>
      </c>
      <c r="D4" s="123" t="s">
        <v>147</v>
      </c>
      <c r="F4" s="123" t="s">
        <v>145</v>
      </c>
      <c r="G4" s="123" t="s">
        <v>148</v>
      </c>
      <c r="H4" s="123" t="s">
        <v>147</v>
      </c>
      <c r="J4" s="123" t="s">
        <v>145</v>
      </c>
      <c r="K4" s="123" t="s">
        <v>149</v>
      </c>
      <c r="M4" s="123" t="s">
        <v>145</v>
      </c>
      <c r="N4" s="123" t="s">
        <v>9</v>
      </c>
      <c r="O4" s="123" t="s">
        <v>150</v>
      </c>
    </row>
    <row r="5" spans="2:16" ht="15.75" customHeight="1" x14ac:dyDescent="0.3">
      <c r="B5" s="16" t="s">
        <v>151</v>
      </c>
      <c r="C5" s="78">
        <v>7043940.2100000009</v>
      </c>
      <c r="D5" s="77">
        <f t="shared" ref="D5:D9" si="0">C5/$C$11</f>
        <v>0.5769933876725537</v>
      </c>
      <c r="F5" s="16" t="s">
        <v>151</v>
      </c>
      <c r="G5" s="78">
        <v>12706660.76</v>
      </c>
      <c r="H5" s="77">
        <f t="shared" ref="H5:H9" si="1">G5/$G$11</f>
        <v>0.58643452163512599</v>
      </c>
      <c r="J5" s="19" t="s">
        <v>152</v>
      </c>
      <c r="K5" s="120" t="e">
        <v>#NUM!</v>
      </c>
      <c r="M5" s="19" t="s">
        <v>153</v>
      </c>
      <c r="N5" s="120">
        <v>96223.31</v>
      </c>
      <c r="O5" s="57">
        <f t="shared" ref="O5:O9" si="2">N5/$N$11</f>
        <v>0.52860641848509649</v>
      </c>
    </row>
    <row r="6" spans="2:16" ht="15.75" customHeight="1" x14ac:dyDescent="0.3">
      <c r="B6" s="16" t="s">
        <v>153</v>
      </c>
      <c r="C6" s="78">
        <v>4562780.2499999991</v>
      </c>
      <c r="D6" s="77">
        <f t="shared" si="0"/>
        <v>0.37375303525651599</v>
      </c>
      <c r="F6" s="16" t="s">
        <v>153</v>
      </c>
      <c r="G6" s="78">
        <v>7371715.0500000007</v>
      </c>
      <c r="H6" s="77">
        <f t="shared" si="1"/>
        <v>0.34021748676772023</v>
      </c>
      <c r="J6" s="19" t="s">
        <v>151</v>
      </c>
      <c r="K6" s="120">
        <v>9.1449999999999996</v>
      </c>
      <c r="M6" s="19" t="s">
        <v>151</v>
      </c>
      <c r="N6" s="120">
        <v>66539.97</v>
      </c>
      <c r="O6" s="57">
        <f t="shared" si="2"/>
        <v>0.36553985960164709</v>
      </c>
    </row>
    <row r="7" spans="2:16" ht="15.75" customHeight="1" x14ac:dyDescent="0.3">
      <c r="B7" s="16" t="s">
        <v>154</v>
      </c>
      <c r="C7" s="78">
        <v>465483.94</v>
      </c>
      <c r="D7" s="77">
        <f t="shared" si="0"/>
        <v>3.8129391709837882E-2</v>
      </c>
      <c r="F7" s="16" t="s">
        <v>154</v>
      </c>
      <c r="G7" s="78">
        <v>1368521.4399999997</v>
      </c>
      <c r="H7" s="77">
        <f t="shared" si="1"/>
        <v>6.3159647618845668E-2</v>
      </c>
      <c r="J7" s="19" t="s">
        <v>155</v>
      </c>
      <c r="K7" s="120">
        <v>6.1</v>
      </c>
      <c r="M7" s="19" t="s">
        <v>154</v>
      </c>
      <c r="N7" s="120">
        <v>18384.829999999998</v>
      </c>
      <c r="O7" s="57">
        <f t="shared" si="2"/>
        <v>0.10099776385532108</v>
      </c>
    </row>
    <row r="8" spans="2:16" ht="15.75" customHeight="1" x14ac:dyDescent="0.3">
      <c r="B8" s="16" t="s">
        <v>155</v>
      </c>
      <c r="C8" s="78">
        <v>135802.35</v>
      </c>
      <c r="D8" s="77">
        <f t="shared" si="0"/>
        <v>1.1124037916896774E-2</v>
      </c>
      <c r="F8" s="16" t="s">
        <v>155</v>
      </c>
      <c r="G8" s="78">
        <v>203076.21999999994</v>
      </c>
      <c r="H8" s="77">
        <f t="shared" si="1"/>
        <v>9.3723211928394608E-3</v>
      </c>
      <c r="J8" s="19" t="s">
        <v>153</v>
      </c>
      <c r="K8" s="120">
        <v>4.32</v>
      </c>
      <c r="M8" s="19" t="s">
        <v>155</v>
      </c>
      <c r="N8" s="120">
        <v>973.51</v>
      </c>
      <c r="O8" s="57">
        <f t="shared" si="2"/>
        <v>5.3480142645210005E-3</v>
      </c>
    </row>
    <row r="9" spans="2:16" ht="15.75" customHeight="1" x14ac:dyDescent="0.3">
      <c r="B9" s="16" t="s">
        <v>152</v>
      </c>
      <c r="C9" s="78">
        <v>1.8</v>
      </c>
      <c r="D9" s="77">
        <f t="shared" si="0"/>
        <v>1.4744419555636697E-7</v>
      </c>
      <c r="F9" s="16" t="s">
        <v>152</v>
      </c>
      <c r="G9" s="78">
        <v>17681.3</v>
      </c>
      <c r="H9" s="77">
        <f t="shared" si="1"/>
        <v>8.1602278546918201E-4</v>
      </c>
      <c r="J9" s="19" t="s">
        <v>154</v>
      </c>
      <c r="K9" s="120">
        <v>3.47</v>
      </c>
      <c r="M9" s="19" t="s">
        <v>152</v>
      </c>
      <c r="N9" s="120">
        <v>-89.57</v>
      </c>
      <c r="O9" s="57">
        <f t="shared" si="2"/>
        <v>-4.920562065855985E-4</v>
      </c>
    </row>
    <row r="11" spans="2:16" ht="15.75" customHeight="1" x14ac:dyDescent="0.3">
      <c r="B11" s="124" t="s">
        <v>156</v>
      </c>
      <c r="C11" s="125">
        <v>12208008.550000001</v>
      </c>
      <c r="D11" s="126">
        <f>C11/$C$11</f>
        <v>1</v>
      </c>
      <c r="F11" s="126" t="s">
        <v>156</v>
      </c>
      <c r="G11" s="127">
        <v>21667654.769999988</v>
      </c>
      <c r="H11" s="57">
        <f>G11/$G$11</f>
        <v>1</v>
      </c>
      <c r="J11" s="124" t="s">
        <v>156</v>
      </c>
      <c r="K11" s="124">
        <v>5.34</v>
      </c>
      <c r="M11" s="124" t="s">
        <v>156</v>
      </c>
      <c r="N11" s="125">
        <v>182032.05</v>
      </c>
      <c r="O11" s="57">
        <f>N11/$N$11</f>
        <v>1</v>
      </c>
    </row>
    <row r="13" spans="2:16" ht="15.75" customHeight="1" x14ac:dyDescent="0.3">
      <c r="B13" s="123" t="s">
        <v>157</v>
      </c>
      <c r="C13" s="123" t="s">
        <v>146</v>
      </c>
      <c r="D13" s="123" t="s">
        <v>147</v>
      </c>
      <c r="F13" s="123" t="s">
        <v>157</v>
      </c>
      <c r="G13" s="123" t="s">
        <v>158</v>
      </c>
      <c r="H13" s="123" t="s">
        <v>147</v>
      </c>
      <c r="J13" s="123" t="s">
        <v>157</v>
      </c>
      <c r="K13" s="123" t="s">
        <v>149</v>
      </c>
      <c r="M13" s="123" t="s">
        <v>157</v>
      </c>
      <c r="N13" s="123" t="s">
        <v>9</v>
      </c>
      <c r="O13" s="123" t="s">
        <v>9</v>
      </c>
    </row>
    <row r="14" spans="2:16" ht="15.75" customHeight="1" x14ac:dyDescent="0.3">
      <c r="B14" s="16" t="s">
        <v>159</v>
      </c>
      <c r="C14" s="78">
        <v>2733966.59</v>
      </c>
      <c r="D14" s="77">
        <f t="shared" ref="D14:D106" si="3">C14/$C$108</f>
        <v>0.22394861363362983</v>
      </c>
      <c r="F14" s="16" t="s">
        <v>159</v>
      </c>
      <c r="G14" s="78">
        <v>4987597.41</v>
      </c>
      <c r="H14" s="77">
        <f t="shared" ref="H14:H106" si="4">G14/$G$108</f>
        <v>0.23018630594509895</v>
      </c>
      <c r="J14" s="16" t="s">
        <v>160</v>
      </c>
      <c r="K14" s="76">
        <v>0.05</v>
      </c>
      <c r="M14" s="16" t="s">
        <v>161</v>
      </c>
      <c r="N14" s="78">
        <v>36961.360000000001</v>
      </c>
      <c r="O14" s="77">
        <f t="shared" ref="O14:O106" si="5">N14/$N$108</f>
        <v>0.20304863896220474</v>
      </c>
    </row>
    <row r="15" spans="2:16" ht="15.75" customHeight="1" x14ac:dyDescent="0.3">
      <c r="B15" s="16" t="s">
        <v>161</v>
      </c>
      <c r="C15" s="78">
        <v>1368820.93</v>
      </c>
      <c r="D15" s="77">
        <f t="shared" si="3"/>
        <v>0.11212483382476005</v>
      </c>
      <c r="F15" s="16" t="s">
        <v>161</v>
      </c>
      <c r="G15" s="78">
        <v>2068535.05</v>
      </c>
      <c r="H15" s="77">
        <f t="shared" si="4"/>
        <v>9.5466494734076895E-2</v>
      </c>
      <c r="J15" s="16" t="s">
        <v>162</v>
      </c>
      <c r="K15" s="76">
        <v>0.06</v>
      </c>
      <c r="M15" s="16" t="s">
        <v>159</v>
      </c>
      <c r="N15" s="78">
        <v>31675.98</v>
      </c>
      <c r="O15" s="77">
        <f t="shared" si="5"/>
        <v>0.17401320262008807</v>
      </c>
    </row>
    <row r="16" spans="2:16" ht="15.75" customHeight="1" x14ac:dyDescent="0.3">
      <c r="B16" s="16" t="s">
        <v>163</v>
      </c>
      <c r="C16" s="78">
        <v>859020.44</v>
      </c>
      <c r="D16" s="77">
        <f t="shared" si="3"/>
        <v>7.0365320967931327E-2</v>
      </c>
      <c r="F16" s="16" t="s">
        <v>163</v>
      </c>
      <c r="G16" s="78">
        <v>1411297.74</v>
      </c>
      <c r="H16" s="77">
        <f t="shared" si="4"/>
        <v>6.5133848355107452E-2</v>
      </c>
      <c r="J16" s="16" t="s">
        <v>164</v>
      </c>
      <c r="K16" s="76">
        <v>7.0000000000000007E-2</v>
      </c>
      <c r="M16" s="16" t="s">
        <v>163</v>
      </c>
      <c r="N16" s="78">
        <v>23339.49</v>
      </c>
      <c r="O16" s="77">
        <f t="shared" si="5"/>
        <v>0.12821637728081403</v>
      </c>
    </row>
    <row r="17" spans="2:15" ht="15.75" customHeight="1" x14ac:dyDescent="0.3">
      <c r="B17" s="16" t="s">
        <v>165</v>
      </c>
      <c r="C17" s="78">
        <v>777155.18</v>
      </c>
      <c r="D17" s="77">
        <f t="shared" si="3"/>
        <v>6.365945574309087E-2</v>
      </c>
      <c r="F17" s="16" t="s">
        <v>166</v>
      </c>
      <c r="G17" s="78">
        <v>1314805.02</v>
      </c>
      <c r="H17" s="77">
        <f t="shared" si="4"/>
        <v>6.0680541293302172E-2</v>
      </c>
      <c r="J17" s="16" t="s">
        <v>167</v>
      </c>
      <c r="K17" s="76">
        <v>0.1</v>
      </c>
      <c r="M17" s="16" t="s">
        <v>168</v>
      </c>
      <c r="N17" s="78">
        <v>13025.48</v>
      </c>
      <c r="O17" s="77">
        <f t="shared" si="5"/>
        <v>7.1555970500799176E-2</v>
      </c>
    </row>
    <row r="18" spans="2:15" ht="15.75" customHeight="1" x14ac:dyDescent="0.3">
      <c r="B18" s="16" t="s">
        <v>166</v>
      </c>
      <c r="C18" s="78">
        <v>728185.68</v>
      </c>
      <c r="D18" s="77">
        <f t="shared" si="3"/>
        <v>5.9648195446258927E-2</v>
      </c>
      <c r="F18" s="16" t="s">
        <v>165</v>
      </c>
      <c r="G18" s="78">
        <v>1277999.83</v>
      </c>
      <c r="H18" s="77">
        <f t="shared" si="4"/>
        <v>5.8981917681716914E-2</v>
      </c>
      <c r="J18" s="16" t="s">
        <v>169</v>
      </c>
      <c r="K18" s="76">
        <v>0.78</v>
      </c>
      <c r="M18" s="16" t="s">
        <v>170</v>
      </c>
      <c r="N18" s="78">
        <v>8572.69</v>
      </c>
      <c r="O18" s="77">
        <f t="shared" si="5"/>
        <v>4.7094399035774198E-2</v>
      </c>
    </row>
    <row r="19" spans="2:15" ht="15.75" customHeight="1" x14ac:dyDescent="0.3">
      <c r="B19" s="16" t="s">
        <v>168</v>
      </c>
      <c r="C19" s="78">
        <v>707695.95</v>
      </c>
      <c r="D19" s="77">
        <f t="shared" si="3"/>
        <v>5.7969811136804938E-2</v>
      </c>
      <c r="F19" s="16" t="s">
        <v>171</v>
      </c>
      <c r="G19" s="78">
        <v>1226979.67</v>
      </c>
      <c r="H19" s="77">
        <f t="shared" si="4"/>
        <v>5.6627248450479194E-2</v>
      </c>
      <c r="J19" s="16" t="s">
        <v>172</v>
      </c>
      <c r="K19" s="76">
        <v>0.92</v>
      </c>
      <c r="M19" s="16" t="s">
        <v>165</v>
      </c>
      <c r="N19" s="78">
        <v>7272.28</v>
      </c>
      <c r="O19" s="77">
        <f t="shared" si="5"/>
        <v>3.9950547170127457E-2</v>
      </c>
    </row>
    <row r="20" spans="2:15" ht="15.75" customHeight="1" x14ac:dyDescent="0.3">
      <c r="B20" s="16" t="s">
        <v>171</v>
      </c>
      <c r="C20" s="78">
        <v>703601.82</v>
      </c>
      <c r="D20" s="77">
        <f t="shared" si="3"/>
        <v>5.763444685660872E-2</v>
      </c>
      <c r="F20" s="16" t="s">
        <v>173</v>
      </c>
      <c r="G20" s="78">
        <v>1187591.06</v>
      </c>
      <c r="H20" s="77">
        <f t="shared" si="4"/>
        <v>5.4809395507089333E-2</v>
      </c>
      <c r="J20" s="16" t="s">
        <v>174</v>
      </c>
      <c r="K20" s="76">
        <v>1.07</v>
      </c>
      <c r="M20" s="16" t="s">
        <v>171</v>
      </c>
      <c r="N20" s="78">
        <v>5678.41</v>
      </c>
      <c r="O20" s="77">
        <f t="shared" si="5"/>
        <v>3.1194561617033923E-2</v>
      </c>
    </row>
    <row r="21" spans="2:15" ht="15.75" customHeight="1" x14ac:dyDescent="0.3">
      <c r="B21" s="16" t="s">
        <v>173</v>
      </c>
      <c r="C21" s="78">
        <v>661004.66</v>
      </c>
      <c r="D21" s="77">
        <f t="shared" si="3"/>
        <v>5.4145166862616591E-2</v>
      </c>
      <c r="F21" s="16" t="s">
        <v>168</v>
      </c>
      <c r="G21" s="78">
        <v>1175178.1100000001</v>
      </c>
      <c r="H21" s="77">
        <f t="shared" si="4"/>
        <v>5.423651624850033E-2</v>
      </c>
      <c r="J21" s="16" t="s">
        <v>175</v>
      </c>
      <c r="K21" s="76">
        <v>1.07</v>
      </c>
      <c r="M21" s="16" t="s">
        <v>173</v>
      </c>
      <c r="N21" s="78">
        <v>5232.1000000000004</v>
      </c>
      <c r="O21" s="77">
        <f t="shared" si="5"/>
        <v>2.8742740632762203E-2</v>
      </c>
    </row>
    <row r="22" spans="2:15" ht="15.75" customHeight="1" x14ac:dyDescent="0.3">
      <c r="B22" s="16" t="s">
        <v>176</v>
      </c>
      <c r="C22" s="78">
        <v>420841.79</v>
      </c>
      <c r="D22" s="77">
        <f t="shared" si="3"/>
        <v>3.447259954613973E-2</v>
      </c>
      <c r="F22" s="16" t="s">
        <v>176</v>
      </c>
      <c r="G22" s="78">
        <v>734614.01</v>
      </c>
      <c r="H22" s="77">
        <f t="shared" si="4"/>
        <v>3.3903715828863576E-2</v>
      </c>
      <c r="J22" s="16" t="s">
        <v>161</v>
      </c>
      <c r="K22" s="76">
        <v>1.17</v>
      </c>
      <c r="M22" s="16" t="s">
        <v>177</v>
      </c>
      <c r="N22" s="78">
        <v>4611.12</v>
      </c>
      <c r="O22" s="77">
        <f t="shared" si="5"/>
        <v>2.5331363350574804E-2</v>
      </c>
    </row>
    <row r="23" spans="2:15" ht="15.75" customHeight="1" x14ac:dyDescent="0.3">
      <c r="B23" s="16" t="s">
        <v>178</v>
      </c>
      <c r="C23" s="78">
        <v>389186.06</v>
      </c>
      <c r="D23" s="77">
        <f t="shared" si="3"/>
        <v>3.1879569743584427E-2</v>
      </c>
      <c r="F23" s="16" t="s">
        <v>178</v>
      </c>
      <c r="G23" s="78">
        <v>671668.06</v>
      </c>
      <c r="H23" s="77">
        <f t="shared" si="4"/>
        <v>3.0998650621384273E-2</v>
      </c>
      <c r="J23" s="16" t="s">
        <v>179</v>
      </c>
      <c r="K23" s="76">
        <v>1.32</v>
      </c>
      <c r="M23" s="16" t="s">
        <v>180</v>
      </c>
      <c r="N23" s="78">
        <v>4468.9799999999996</v>
      </c>
      <c r="O23" s="77">
        <f t="shared" si="5"/>
        <v>2.4550511846677548E-2</v>
      </c>
    </row>
    <row r="24" spans="2:15" ht="15.75" customHeight="1" x14ac:dyDescent="0.3">
      <c r="B24" s="16" t="s">
        <v>170</v>
      </c>
      <c r="C24" s="78">
        <v>271253.59999999998</v>
      </c>
      <c r="D24" s="77">
        <f t="shared" si="3"/>
        <v>2.2219316024315854E-2</v>
      </c>
      <c r="F24" s="16" t="s">
        <v>170</v>
      </c>
      <c r="G24" s="78">
        <v>429428.4</v>
      </c>
      <c r="H24" s="77">
        <f t="shared" si="4"/>
        <v>1.9818868472769202E-2</v>
      </c>
      <c r="J24" s="16" t="s">
        <v>181</v>
      </c>
      <c r="K24" s="76">
        <v>1.69</v>
      </c>
      <c r="M24" s="16" t="s">
        <v>178</v>
      </c>
      <c r="N24" s="78">
        <v>3944.82</v>
      </c>
      <c r="O24" s="77">
        <f t="shared" si="5"/>
        <v>2.1671018922217272E-2</v>
      </c>
    </row>
    <row r="25" spans="2:15" ht="15.75" customHeight="1" x14ac:dyDescent="0.3">
      <c r="B25" s="16" t="s">
        <v>177</v>
      </c>
      <c r="C25" s="78">
        <v>239051.53</v>
      </c>
      <c r="D25" s="77">
        <f t="shared" si="3"/>
        <v>1.9581533631871512E-2</v>
      </c>
      <c r="F25" s="16" t="s">
        <v>177</v>
      </c>
      <c r="G25" s="78">
        <v>401974.58</v>
      </c>
      <c r="H25" s="77">
        <f t="shared" si="4"/>
        <v>1.8551826871293659E-2</v>
      </c>
      <c r="J25" s="16" t="s">
        <v>182</v>
      </c>
      <c r="K25" s="76">
        <v>1.81</v>
      </c>
      <c r="M25" s="16" t="s">
        <v>175</v>
      </c>
      <c r="N25" s="78">
        <v>3726.85</v>
      </c>
      <c r="O25" s="77">
        <f t="shared" si="5"/>
        <v>2.04735924250702E-2</v>
      </c>
    </row>
    <row r="26" spans="2:15" ht="15.75" customHeight="1" x14ac:dyDescent="0.3">
      <c r="B26" s="16" t="s">
        <v>183</v>
      </c>
      <c r="C26" s="78">
        <v>181051.99</v>
      </c>
      <c r="D26" s="77">
        <f t="shared" si="3"/>
        <v>1.4830591677460774E-2</v>
      </c>
      <c r="F26" s="16" t="s">
        <v>184</v>
      </c>
      <c r="G26" s="78">
        <v>386565.59</v>
      </c>
      <c r="H26" s="77">
        <f t="shared" si="4"/>
        <v>1.7840675149357672E-2</v>
      </c>
      <c r="J26" s="16" t="s">
        <v>185</v>
      </c>
      <c r="K26" s="76">
        <v>1.98</v>
      </c>
      <c r="M26" s="16" t="s">
        <v>166</v>
      </c>
      <c r="N26" s="78">
        <v>3456.96</v>
      </c>
      <c r="O26" s="77">
        <f t="shared" si="5"/>
        <v>1.8990941430368995E-2</v>
      </c>
    </row>
    <row r="27" spans="2:15" ht="15.75" customHeight="1" x14ac:dyDescent="0.3">
      <c r="B27" s="16" t="s">
        <v>184</v>
      </c>
      <c r="C27" s="78">
        <v>168173.5</v>
      </c>
      <c r="D27" s="77">
        <f t="shared" si="3"/>
        <v>1.3775670234110377E-2</v>
      </c>
      <c r="F27" s="16" t="s">
        <v>183</v>
      </c>
      <c r="G27" s="78">
        <v>318220.23</v>
      </c>
      <c r="H27" s="77">
        <f t="shared" si="4"/>
        <v>1.468641776776842E-2</v>
      </c>
      <c r="J27" s="16" t="s">
        <v>186</v>
      </c>
      <c r="K27" s="76">
        <v>2.1</v>
      </c>
      <c r="M27" s="16" t="s">
        <v>176</v>
      </c>
      <c r="N27" s="78">
        <v>3404.7</v>
      </c>
      <c r="O27" s="77">
        <f t="shared" si="5"/>
        <v>1.870384912986477E-2</v>
      </c>
    </row>
    <row r="28" spans="2:15" ht="15.75" customHeight="1" x14ac:dyDescent="0.3">
      <c r="B28" s="16" t="s">
        <v>187</v>
      </c>
      <c r="C28" s="78">
        <v>145771.84</v>
      </c>
      <c r="D28" s="77">
        <f t="shared" si="3"/>
        <v>1.1940673157539687E-2</v>
      </c>
      <c r="F28" s="16" t="s">
        <v>187</v>
      </c>
      <c r="G28" s="78">
        <v>301419.36</v>
      </c>
      <c r="H28" s="77">
        <f t="shared" si="4"/>
        <v>1.3911028359992656E-2</v>
      </c>
      <c r="J28" s="16" t="s">
        <v>188</v>
      </c>
      <c r="K28" s="76">
        <v>2.17</v>
      </c>
      <c r="M28" s="16" t="s">
        <v>169</v>
      </c>
      <c r="N28" s="78">
        <v>3191.17</v>
      </c>
      <c r="O28" s="77">
        <f t="shared" si="5"/>
        <v>1.7530813941830575E-2</v>
      </c>
    </row>
    <row r="29" spans="2:15" ht="15.75" customHeight="1" x14ac:dyDescent="0.3">
      <c r="B29" s="16" t="s">
        <v>189</v>
      </c>
      <c r="C29" s="78">
        <v>144928.32000000001</v>
      </c>
      <c r="D29" s="77">
        <f t="shared" si="3"/>
        <v>1.1871577530964295E-2</v>
      </c>
      <c r="F29" s="16" t="s">
        <v>190</v>
      </c>
      <c r="G29" s="78">
        <v>299377.17</v>
      </c>
      <c r="H29" s="77">
        <f t="shared" si="4"/>
        <v>1.3816777735193726E-2</v>
      </c>
      <c r="J29" s="16" t="s">
        <v>177</v>
      </c>
      <c r="K29" s="76">
        <v>2.27</v>
      </c>
      <c r="M29" s="16" t="s">
        <v>187</v>
      </c>
      <c r="N29" s="78">
        <v>2439.27</v>
      </c>
      <c r="O29" s="77">
        <f t="shared" si="5"/>
        <v>1.3400222653098728E-2</v>
      </c>
    </row>
    <row r="30" spans="2:15" ht="15.75" customHeight="1" x14ac:dyDescent="0.3">
      <c r="B30" s="16" t="s">
        <v>190</v>
      </c>
      <c r="C30" s="78">
        <v>144243.51999999999</v>
      </c>
      <c r="D30" s="77">
        <f t="shared" si="3"/>
        <v>1.1815483205899292E-2</v>
      </c>
      <c r="F30" s="16" t="s">
        <v>191</v>
      </c>
      <c r="G30" s="78">
        <v>267784.02</v>
      </c>
      <c r="H30" s="77">
        <f t="shared" si="4"/>
        <v>1.2358698845929607E-2</v>
      </c>
      <c r="J30" s="16" t="s">
        <v>170</v>
      </c>
      <c r="K30" s="76">
        <v>2.34</v>
      </c>
      <c r="M30" s="16" t="s">
        <v>189</v>
      </c>
      <c r="N30" s="78">
        <v>1889.82</v>
      </c>
      <c r="O30" s="77">
        <f t="shared" si="5"/>
        <v>1.0381798150380662E-2</v>
      </c>
    </row>
    <row r="31" spans="2:15" ht="15.75" customHeight="1" x14ac:dyDescent="0.3">
      <c r="B31" s="16" t="s">
        <v>192</v>
      </c>
      <c r="C31" s="78">
        <v>131170.44</v>
      </c>
      <c r="D31" s="77">
        <f t="shared" si="3"/>
        <v>1.0744622225874833E-2</v>
      </c>
      <c r="F31" s="16" t="s">
        <v>169</v>
      </c>
      <c r="G31" s="78">
        <v>247310.07999999999</v>
      </c>
      <c r="H31" s="77">
        <f t="shared" si="4"/>
        <v>1.1413790861317111E-2</v>
      </c>
      <c r="J31" s="16" t="s">
        <v>193</v>
      </c>
      <c r="K31" s="76">
        <v>2.5</v>
      </c>
      <c r="M31" s="16" t="s">
        <v>190</v>
      </c>
      <c r="N31" s="78">
        <v>1709.54</v>
      </c>
      <c r="O31" s="77">
        <f t="shared" si="5"/>
        <v>9.3914231037885917E-3</v>
      </c>
    </row>
    <row r="32" spans="2:15" ht="15.75" customHeight="1" x14ac:dyDescent="0.3">
      <c r="B32" s="16" t="s">
        <v>191</v>
      </c>
      <c r="C32" s="78">
        <v>122784.41</v>
      </c>
      <c r="D32" s="77">
        <f t="shared" si="3"/>
        <v>1.0057693644062855E-2</v>
      </c>
      <c r="F32" s="16" t="s">
        <v>175</v>
      </c>
      <c r="G32" s="78">
        <v>233264.53</v>
      </c>
      <c r="H32" s="77">
        <f t="shared" si="4"/>
        <v>1.0765564269695079E-2</v>
      </c>
      <c r="J32" s="16" t="s">
        <v>168</v>
      </c>
      <c r="K32" s="76">
        <v>2.57</v>
      </c>
      <c r="M32" s="16" t="s">
        <v>194</v>
      </c>
      <c r="N32" s="78">
        <v>1480.31</v>
      </c>
      <c r="O32" s="77">
        <f t="shared" si="5"/>
        <v>8.1321393677651829E-3</v>
      </c>
    </row>
    <row r="33" spans="2:15" ht="15.75" customHeight="1" x14ac:dyDescent="0.3">
      <c r="B33" s="16" t="s">
        <v>195</v>
      </c>
      <c r="C33" s="78">
        <v>117857.8</v>
      </c>
      <c r="D33" s="77">
        <f t="shared" si="3"/>
        <v>9.6541380616906591E-3</v>
      </c>
      <c r="F33" s="16" t="s">
        <v>192</v>
      </c>
      <c r="G33" s="78">
        <v>230611.37</v>
      </c>
      <c r="H33" s="77">
        <f t="shared" si="4"/>
        <v>1.0643116315444236E-2</v>
      </c>
      <c r="J33" s="16" t="s">
        <v>189</v>
      </c>
      <c r="K33" s="76">
        <v>2.8</v>
      </c>
      <c r="M33" s="16" t="s">
        <v>196</v>
      </c>
      <c r="N33" s="78">
        <v>1473.74</v>
      </c>
      <c r="O33" s="77">
        <f t="shared" si="5"/>
        <v>8.0960468225238363E-3</v>
      </c>
    </row>
    <row r="34" spans="2:15" ht="15.75" customHeight="1" x14ac:dyDescent="0.3">
      <c r="B34" s="16" t="s">
        <v>197</v>
      </c>
      <c r="C34" s="78">
        <v>93974.93</v>
      </c>
      <c r="D34" s="77">
        <f t="shared" si="3"/>
        <v>7.6978099757310531E-3</v>
      </c>
      <c r="F34" s="16" t="s">
        <v>189</v>
      </c>
      <c r="G34" s="78">
        <v>220946.31</v>
      </c>
      <c r="H34" s="77">
        <f t="shared" si="4"/>
        <v>1.0197056965570257E-2</v>
      </c>
      <c r="J34" s="16" t="s">
        <v>198</v>
      </c>
      <c r="K34" s="76">
        <v>2.85</v>
      </c>
      <c r="M34" s="16" t="s">
        <v>192</v>
      </c>
      <c r="N34" s="78">
        <v>1151.54</v>
      </c>
      <c r="O34" s="77">
        <f t="shared" si="5"/>
        <v>6.3260288504139797E-3</v>
      </c>
    </row>
    <row r="35" spans="2:15" ht="15.75" customHeight="1" x14ac:dyDescent="0.3">
      <c r="B35" s="16" t="s">
        <v>169</v>
      </c>
      <c r="C35" s="78">
        <v>81846.25</v>
      </c>
      <c r="D35" s="77">
        <f t="shared" si="3"/>
        <v>6.7043080503084995E-3</v>
      </c>
      <c r="F35" s="16" t="s">
        <v>195</v>
      </c>
      <c r="G35" s="78">
        <v>190181.61</v>
      </c>
      <c r="H35" s="77">
        <f t="shared" si="4"/>
        <v>8.7772124864808378E-3</v>
      </c>
      <c r="J35" s="16" t="s">
        <v>199</v>
      </c>
      <c r="K35" s="76">
        <v>2.89</v>
      </c>
      <c r="M35" s="16" t="s">
        <v>185</v>
      </c>
      <c r="N35" s="78">
        <v>1129.83</v>
      </c>
      <c r="O35" s="77">
        <f t="shared" si="5"/>
        <v>6.2067641385129702E-3</v>
      </c>
    </row>
    <row r="36" spans="2:15" ht="15.75" customHeight="1" x14ac:dyDescent="0.3">
      <c r="B36" s="16" t="s">
        <v>180</v>
      </c>
      <c r="C36" s="78">
        <v>73181.58</v>
      </c>
      <c r="D36" s="77">
        <f t="shared" si="3"/>
        <v>5.9945551070243967E-3</v>
      </c>
      <c r="F36" s="16" t="s">
        <v>180</v>
      </c>
      <c r="G36" s="78">
        <v>175938.12</v>
      </c>
      <c r="H36" s="77">
        <f t="shared" si="4"/>
        <v>8.1198506191632516E-3</v>
      </c>
      <c r="J36" s="16" t="s">
        <v>200</v>
      </c>
      <c r="K36" s="76">
        <v>3.47</v>
      </c>
      <c r="M36" s="16" t="s">
        <v>183</v>
      </c>
      <c r="N36" s="78">
        <v>1066.21</v>
      </c>
      <c r="O36" s="77">
        <f t="shared" si="5"/>
        <v>5.8572652453235579E-3</v>
      </c>
    </row>
    <row r="37" spans="2:15" ht="15.75" customHeight="1" x14ac:dyDescent="0.3">
      <c r="B37" s="16" t="s">
        <v>175</v>
      </c>
      <c r="C37" s="78">
        <v>70681.67</v>
      </c>
      <c r="D37" s="77">
        <f t="shared" si="3"/>
        <v>5.7897788742947752E-3</v>
      </c>
      <c r="F37" s="16" t="s">
        <v>196</v>
      </c>
      <c r="G37" s="78">
        <v>147954.85999999999</v>
      </c>
      <c r="H37" s="77">
        <f t="shared" si="4"/>
        <v>6.8283744397133047E-3</v>
      </c>
      <c r="J37" s="16" t="s">
        <v>195</v>
      </c>
      <c r="K37" s="76">
        <v>3.7</v>
      </c>
      <c r="M37" s="16" t="s">
        <v>184</v>
      </c>
      <c r="N37" s="78">
        <v>1044.83</v>
      </c>
      <c r="O37" s="77">
        <f t="shared" si="5"/>
        <v>5.7398134009917483E-3</v>
      </c>
    </row>
    <row r="38" spans="2:15" ht="15.75" customHeight="1" x14ac:dyDescent="0.3">
      <c r="B38" s="16" t="s">
        <v>201</v>
      </c>
      <c r="C38" s="78">
        <v>70400.679999999993</v>
      </c>
      <c r="D38" s="77">
        <f t="shared" si="3"/>
        <v>5.7667620162340063E-3</v>
      </c>
      <c r="F38" s="16" t="s">
        <v>197</v>
      </c>
      <c r="G38" s="78">
        <v>138866.54999999999</v>
      </c>
      <c r="H38" s="77">
        <f t="shared" si="4"/>
        <v>6.4089331067000406E-3</v>
      </c>
      <c r="J38" s="16" t="s">
        <v>163</v>
      </c>
      <c r="K38" s="76">
        <v>3.76</v>
      </c>
      <c r="M38" s="16" t="s">
        <v>202</v>
      </c>
      <c r="N38" s="78">
        <v>1039.05</v>
      </c>
      <c r="O38" s="77">
        <f t="shared" si="5"/>
        <v>5.7080607508403058E-3</v>
      </c>
    </row>
    <row r="39" spans="2:15" ht="15.75" customHeight="1" x14ac:dyDescent="0.3">
      <c r="B39" s="16" t="s">
        <v>202</v>
      </c>
      <c r="C39" s="78">
        <v>63626.559999999998</v>
      </c>
      <c r="D39" s="77">
        <f t="shared" si="3"/>
        <v>5.2118705306771753E-3</v>
      </c>
      <c r="F39" s="16" t="s">
        <v>201</v>
      </c>
      <c r="G39" s="78">
        <v>130602.41</v>
      </c>
      <c r="H39" s="77">
        <f t="shared" si="4"/>
        <v>6.0275286544082254E-3</v>
      </c>
      <c r="J39" s="16" t="s">
        <v>203</v>
      </c>
      <c r="K39" s="76">
        <v>3.9</v>
      </c>
      <c r="M39" s="16" t="s">
        <v>191</v>
      </c>
      <c r="N39" s="78">
        <v>929.76</v>
      </c>
      <c r="O39" s="77">
        <f t="shared" si="5"/>
        <v>5.1076719731497832E-3</v>
      </c>
    </row>
    <row r="40" spans="2:15" ht="15.75" customHeight="1" x14ac:dyDescent="0.3">
      <c r="B40" s="16" t="s">
        <v>204</v>
      </c>
      <c r="C40" s="78">
        <v>60021.81</v>
      </c>
      <c r="D40" s="77">
        <f t="shared" si="3"/>
        <v>4.9165930507150566E-3</v>
      </c>
      <c r="F40" s="16" t="s">
        <v>202</v>
      </c>
      <c r="G40" s="78">
        <v>121067.55</v>
      </c>
      <c r="H40" s="77">
        <f t="shared" si="4"/>
        <v>5.587478261266393E-3</v>
      </c>
      <c r="J40" s="16" t="s">
        <v>192</v>
      </c>
      <c r="K40" s="76">
        <v>3.94</v>
      </c>
      <c r="M40" s="16" t="s">
        <v>205</v>
      </c>
      <c r="N40" s="78">
        <v>829.53</v>
      </c>
      <c r="O40" s="77">
        <f t="shared" si="5"/>
        <v>4.557054650540935E-3</v>
      </c>
    </row>
    <row r="41" spans="2:15" ht="15.75" customHeight="1" x14ac:dyDescent="0.3">
      <c r="B41" s="16" t="s">
        <v>206</v>
      </c>
      <c r="C41" s="78">
        <v>59993.39</v>
      </c>
      <c r="D41" s="77">
        <f t="shared" si="3"/>
        <v>4.9142650706941052E-3</v>
      </c>
      <c r="F41" s="16" t="s">
        <v>204</v>
      </c>
      <c r="G41" s="78">
        <v>106208.58</v>
      </c>
      <c r="H41" s="77">
        <f t="shared" si="4"/>
        <v>4.9017109201431154E-3</v>
      </c>
      <c r="J41" s="16" t="s">
        <v>159</v>
      </c>
      <c r="K41" s="76">
        <v>3.97</v>
      </c>
      <c r="M41" s="16" t="s">
        <v>181</v>
      </c>
      <c r="N41" s="78">
        <v>821.91</v>
      </c>
      <c r="O41" s="77">
        <f t="shared" si="5"/>
        <v>4.5151938903066798E-3</v>
      </c>
    </row>
    <row r="42" spans="2:15" ht="15.75" customHeight="1" x14ac:dyDescent="0.3">
      <c r="B42" s="16" t="s">
        <v>196</v>
      </c>
      <c r="C42" s="78">
        <v>57649.29</v>
      </c>
      <c r="D42" s="77">
        <f t="shared" si="3"/>
        <v>4.722251771358728E-3</v>
      </c>
      <c r="F42" s="16" t="s">
        <v>206</v>
      </c>
      <c r="G42" s="78">
        <v>100052.42</v>
      </c>
      <c r="H42" s="77">
        <f t="shared" si="4"/>
        <v>4.6175934157178774E-3</v>
      </c>
      <c r="J42" s="16" t="s">
        <v>207</v>
      </c>
      <c r="K42" s="76">
        <v>4.24</v>
      </c>
      <c r="M42" s="16" t="s">
        <v>208</v>
      </c>
      <c r="N42" s="78">
        <v>760.17</v>
      </c>
      <c r="O42" s="77">
        <f t="shared" si="5"/>
        <v>4.176022848723618E-3</v>
      </c>
    </row>
    <row r="43" spans="2:15" ht="15.75" customHeight="1" x14ac:dyDescent="0.3">
      <c r="B43" s="16" t="s">
        <v>203</v>
      </c>
      <c r="C43" s="78">
        <v>56783.14</v>
      </c>
      <c r="D43" s="77">
        <f t="shared" si="3"/>
        <v>4.6513024435914235E-3</v>
      </c>
      <c r="F43" s="16" t="s">
        <v>203</v>
      </c>
      <c r="G43" s="78">
        <v>92040.55</v>
      </c>
      <c r="H43" s="77">
        <f t="shared" si="4"/>
        <v>4.2478316632326542E-3</v>
      </c>
      <c r="J43" s="16" t="s">
        <v>209</v>
      </c>
      <c r="K43" s="76">
        <v>4.32</v>
      </c>
      <c r="M43" s="16" t="s">
        <v>179</v>
      </c>
      <c r="N43" s="78">
        <v>695.99</v>
      </c>
      <c r="O43" s="77">
        <f t="shared" si="5"/>
        <v>3.8234475742046528E-3</v>
      </c>
    </row>
    <row r="44" spans="2:15" ht="15.75" customHeight="1" x14ac:dyDescent="0.3">
      <c r="B44" s="16" t="s">
        <v>210</v>
      </c>
      <c r="C44" s="78">
        <v>55334.62</v>
      </c>
      <c r="D44" s="77">
        <f t="shared" si="3"/>
        <v>4.5326491846206969E-3</v>
      </c>
      <c r="F44" s="16" t="s">
        <v>194</v>
      </c>
      <c r="G44" s="78">
        <v>90873.76</v>
      </c>
      <c r="H44" s="77">
        <f t="shared" si="4"/>
        <v>4.1939822728678288E-3</v>
      </c>
      <c r="J44" s="16" t="s">
        <v>204</v>
      </c>
      <c r="K44" s="76">
        <v>4.4000000000000004</v>
      </c>
      <c r="M44" s="16" t="s">
        <v>210</v>
      </c>
      <c r="N44" s="78">
        <v>673.27</v>
      </c>
      <c r="O44" s="77">
        <f t="shared" si="5"/>
        <v>3.6986343888342739E-3</v>
      </c>
    </row>
    <row r="45" spans="2:15" ht="15.75" customHeight="1" x14ac:dyDescent="0.3">
      <c r="B45" s="16" t="s">
        <v>185</v>
      </c>
      <c r="C45" s="78">
        <v>46095.26</v>
      </c>
      <c r="D45" s="77">
        <f t="shared" si="3"/>
        <v>3.7758214053675446E-3</v>
      </c>
      <c r="F45" s="16" t="s">
        <v>211</v>
      </c>
      <c r="G45" s="78">
        <v>84361.61</v>
      </c>
      <c r="H45" s="77">
        <f t="shared" si="4"/>
        <v>3.8934352100165035E-3</v>
      </c>
      <c r="J45" s="16" t="s">
        <v>196</v>
      </c>
      <c r="K45" s="76">
        <v>4.62</v>
      </c>
      <c r="M45" s="16" t="s">
        <v>160</v>
      </c>
      <c r="N45" s="78">
        <v>512.13</v>
      </c>
      <c r="O45" s="77">
        <f t="shared" si="5"/>
        <v>2.8134056612558063E-3</v>
      </c>
    </row>
    <row r="46" spans="2:15" ht="15.75" customHeight="1" x14ac:dyDescent="0.3">
      <c r="B46" s="16" t="s">
        <v>211</v>
      </c>
      <c r="C46" s="78">
        <v>43898.02</v>
      </c>
      <c r="D46" s="77">
        <f t="shared" si="3"/>
        <v>3.5958379141207263E-3</v>
      </c>
      <c r="F46" s="16" t="s">
        <v>210</v>
      </c>
      <c r="G46" s="78">
        <v>80043.72</v>
      </c>
      <c r="H46" s="77">
        <f t="shared" si="4"/>
        <v>3.694157067280985E-3</v>
      </c>
      <c r="J46" s="16" t="s">
        <v>208</v>
      </c>
      <c r="K46" s="76">
        <v>4.7</v>
      </c>
      <c r="M46" s="16" t="s">
        <v>203</v>
      </c>
      <c r="N46" s="78">
        <v>508.62</v>
      </c>
      <c r="O46" s="77">
        <f t="shared" si="5"/>
        <v>2.7941233425652244E-3</v>
      </c>
    </row>
    <row r="47" spans="2:15" ht="15.75" customHeight="1" x14ac:dyDescent="0.3">
      <c r="B47" s="16" t="s">
        <v>208</v>
      </c>
      <c r="C47" s="78">
        <v>40358.47</v>
      </c>
      <c r="D47" s="77">
        <f t="shared" si="3"/>
        <v>3.3059011905754274E-3</v>
      </c>
      <c r="F47" s="16" t="s">
        <v>185</v>
      </c>
      <c r="G47" s="78">
        <v>69077.8</v>
      </c>
      <c r="H47" s="77">
        <f t="shared" si="4"/>
        <v>3.1880607630707623E-3</v>
      </c>
      <c r="J47" s="16" t="s">
        <v>180</v>
      </c>
      <c r="K47" s="76">
        <v>5.07</v>
      </c>
      <c r="M47" s="16" t="s">
        <v>201</v>
      </c>
      <c r="N47" s="78">
        <v>501.56</v>
      </c>
      <c r="O47" s="77">
        <f t="shared" si="5"/>
        <v>2.7553389636605203E-3</v>
      </c>
    </row>
    <row r="48" spans="2:15" ht="15.75" customHeight="1" x14ac:dyDescent="0.3">
      <c r="B48" s="16" t="s">
        <v>181</v>
      </c>
      <c r="C48" s="78">
        <v>33491.54</v>
      </c>
      <c r="D48" s="77">
        <f t="shared" si="3"/>
        <v>2.7434073184688258E-3</v>
      </c>
      <c r="F48" s="16" t="s">
        <v>205</v>
      </c>
      <c r="G48" s="78">
        <v>62332.83</v>
      </c>
      <c r="H48" s="77">
        <f t="shared" si="4"/>
        <v>2.876768651783353E-3</v>
      </c>
      <c r="J48" s="16" t="s">
        <v>212</v>
      </c>
      <c r="K48" s="76">
        <v>5.34</v>
      </c>
      <c r="M48" s="16" t="s">
        <v>182</v>
      </c>
      <c r="N48" s="78">
        <v>458.49</v>
      </c>
      <c r="O48" s="77">
        <f t="shared" si="5"/>
        <v>2.5187322781894728E-3</v>
      </c>
    </row>
    <row r="49" spans="2:15" ht="15.75" customHeight="1" x14ac:dyDescent="0.3">
      <c r="B49" s="16" t="s">
        <v>209</v>
      </c>
      <c r="C49" s="78">
        <v>29095.78</v>
      </c>
      <c r="D49" s="77">
        <f t="shared" si="3"/>
        <v>2.3833354867694614E-3</v>
      </c>
      <c r="F49" s="16" t="s">
        <v>208</v>
      </c>
      <c r="G49" s="78">
        <v>61530.91</v>
      </c>
      <c r="H49" s="77">
        <f t="shared" si="4"/>
        <v>2.839758647308374E-3</v>
      </c>
      <c r="J49" s="16" t="s">
        <v>213</v>
      </c>
      <c r="K49" s="76">
        <v>5.71</v>
      </c>
      <c r="M49" s="16" t="s">
        <v>214</v>
      </c>
      <c r="N49" s="78">
        <v>371.2</v>
      </c>
      <c r="O49" s="77">
        <f t="shared" si="5"/>
        <v>2.0392013384456201E-3</v>
      </c>
    </row>
    <row r="50" spans="2:15" ht="15.75" customHeight="1" x14ac:dyDescent="0.3">
      <c r="B50" s="16" t="s">
        <v>205</v>
      </c>
      <c r="C50" s="78">
        <v>21912.240000000002</v>
      </c>
      <c r="D50" s="77">
        <f t="shared" si="3"/>
        <v>1.7949069997989149E-3</v>
      </c>
      <c r="F50" s="16" t="s">
        <v>160</v>
      </c>
      <c r="G50" s="78">
        <v>58674.53</v>
      </c>
      <c r="H50" s="77">
        <f t="shared" si="4"/>
        <v>2.7079317361673114E-3</v>
      </c>
      <c r="J50" s="16" t="s">
        <v>215</v>
      </c>
      <c r="K50" s="76">
        <v>5.86</v>
      </c>
      <c r="M50" s="16" t="s">
        <v>216</v>
      </c>
      <c r="N50" s="78">
        <v>365.63</v>
      </c>
      <c r="O50" s="77">
        <f t="shared" si="5"/>
        <v>2.0086023312927588E-3</v>
      </c>
    </row>
    <row r="51" spans="2:15" ht="15.75" customHeight="1" x14ac:dyDescent="0.3">
      <c r="B51" s="16" t="s">
        <v>207</v>
      </c>
      <c r="C51" s="78">
        <v>19374.21</v>
      </c>
      <c r="D51" s="77">
        <f t="shared" si="3"/>
        <v>1.5870082266611779E-3</v>
      </c>
      <c r="F51" s="16" t="s">
        <v>181</v>
      </c>
      <c r="G51" s="78">
        <v>52858.49</v>
      </c>
      <c r="H51" s="77">
        <f t="shared" si="4"/>
        <v>2.4395113620319154E-3</v>
      </c>
      <c r="J51" s="16" t="s">
        <v>206</v>
      </c>
      <c r="K51" s="76">
        <v>5.9</v>
      </c>
      <c r="M51" s="16" t="s">
        <v>217</v>
      </c>
      <c r="N51" s="78">
        <v>302.60000000000002</v>
      </c>
      <c r="O51" s="77">
        <f t="shared" si="5"/>
        <v>1.6623446255755513E-3</v>
      </c>
    </row>
    <row r="52" spans="2:15" ht="15.75" customHeight="1" x14ac:dyDescent="0.3">
      <c r="B52" s="16" t="s">
        <v>218</v>
      </c>
      <c r="C52" s="78">
        <v>16303.17</v>
      </c>
      <c r="D52" s="77">
        <f t="shared" si="3"/>
        <v>1.3354487698159418E-3</v>
      </c>
      <c r="F52" s="16" t="s">
        <v>209</v>
      </c>
      <c r="G52" s="78">
        <v>44840.14</v>
      </c>
      <c r="H52" s="77">
        <f t="shared" si="4"/>
        <v>2.0694505462623275E-3</v>
      </c>
      <c r="J52" s="16" t="s">
        <v>210</v>
      </c>
      <c r="K52" s="76">
        <v>5.96</v>
      </c>
      <c r="M52" s="16" t="s">
        <v>209</v>
      </c>
      <c r="N52" s="78">
        <v>287.5</v>
      </c>
      <c r="O52" s="77">
        <f t="shared" si="5"/>
        <v>1.5793922004394283E-3</v>
      </c>
    </row>
    <row r="53" spans="2:15" ht="15.75" customHeight="1" x14ac:dyDescent="0.3">
      <c r="B53" s="16" t="s">
        <v>194</v>
      </c>
      <c r="C53" s="78">
        <v>15876.29</v>
      </c>
      <c r="D53" s="77">
        <f t="shared" si="3"/>
        <v>1.3004815597053296E-3</v>
      </c>
      <c r="F53" s="16" t="s">
        <v>179</v>
      </c>
      <c r="G53" s="78">
        <v>40146.089999999997</v>
      </c>
      <c r="H53" s="77">
        <f t="shared" si="4"/>
        <v>1.8528119644763944E-3</v>
      </c>
      <c r="J53" s="16" t="s">
        <v>219</v>
      </c>
      <c r="K53" s="76">
        <v>5.96</v>
      </c>
      <c r="M53" s="16" t="s">
        <v>207</v>
      </c>
      <c r="N53" s="78">
        <v>280.73</v>
      </c>
      <c r="O53" s="77">
        <f t="shared" si="5"/>
        <v>1.5422009475803851E-3</v>
      </c>
    </row>
    <row r="54" spans="2:15" ht="15.75" customHeight="1" x14ac:dyDescent="0.3">
      <c r="B54" s="16" t="s">
        <v>182</v>
      </c>
      <c r="C54" s="78">
        <v>15814.68</v>
      </c>
      <c r="D54" s="77">
        <f t="shared" si="3"/>
        <v>1.295434872545203E-3</v>
      </c>
      <c r="F54" s="16" t="s">
        <v>214</v>
      </c>
      <c r="G54" s="78">
        <v>34703.769999999997</v>
      </c>
      <c r="H54" s="77">
        <f t="shared" si="4"/>
        <v>1.6016394191423614E-3</v>
      </c>
      <c r="J54" s="16" t="s">
        <v>220</v>
      </c>
      <c r="K54" s="76">
        <v>6.1</v>
      </c>
      <c r="M54" s="16" t="s">
        <v>164</v>
      </c>
      <c r="N54" s="78">
        <v>194.21</v>
      </c>
      <c r="O54" s="77">
        <f t="shared" si="5"/>
        <v>1.0669000321646656E-3</v>
      </c>
    </row>
    <row r="55" spans="2:15" ht="15.75" customHeight="1" x14ac:dyDescent="0.3">
      <c r="B55" s="16" t="s">
        <v>214</v>
      </c>
      <c r="C55" s="78">
        <v>15294.57</v>
      </c>
      <c r="D55" s="77">
        <f t="shared" si="3"/>
        <v>1.2528308722391907E-3</v>
      </c>
      <c r="F55" s="16" t="s">
        <v>207</v>
      </c>
      <c r="G55" s="78">
        <v>26951.9</v>
      </c>
      <c r="H55" s="77">
        <f t="shared" si="4"/>
        <v>1.2438771194248641E-3</v>
      </c>
      <c r="J55" s="16" t="s">
        <v>221</v>
      </c>
      <c r="K55" s="76">
        <v>6.32</v>
      </c>
      <c r="M55" s="16" t="s">
        <v>211</v>
      </c>
      <c r="N55" s="78">
        <v>166.57</v>
      </c>
      <c r="O55" s="77">
        <f t="shared" si="5"/>
        <v>9.1505863939894108E-4</v>
      </c>
    </row>
    <row r="56" spans="2:15" ht="15.75" customHeight="1" x14ac:dyDescent="0.3">
      <c r="B56" s="16" t="s">
        <v>216</v>
      </c>
      <c r="C56" s="78">
        <v>14282.09</v>
      </c>
      <c r="D56" s="77">
        <f t="shared" si="3"/>
        <v>1.1698951505075739E-3</v>
      </c>
      <c r="F56" s="16" t="s">
        <v>216</v>
      </c>
      <c r="G56" s="78">
        <v>26556.61</v>
      </c>
      <c r="H56" s="77">
        <f t="shared" si="4"/>
        <v>1.2256337975611938E-3</v>
      </c>
      <c r="J56" s="16" t="s">
        <v>197</v>
      </c>
      <c r="K56" s="76">
        <v>6.46</v>
      </c>
      <c r="M56" s="16" t="s">
        <v>195</v>
      </c>
      <c r="N56" s="78">
        <v>145.49</v>
      </c>
      <c r="O56" s="77">
        <f t="shared" si="5"/>
        <v>7.9925485649367796E-4</v>
      </c>
    </row>
    <row r="57" spans="2:15" ht="15.75" customHeight="1" x14ac:dyDescent="0.3">
      <c r="B57" s="16" t="s">
        <v>213</v>
      </c>
      <c r="C57" s="78">
        <v>13006.68</v>
      </c>
      <c r="D57" s="77">
        <f t="shared" si="3"/>
        <v>1.0654219274772705E-3</v>
      </c>
      <c r="F57" s="16" t="s">
        <v>182</v>
      </c>
      <c r="G57" s="78">
        <v>25356.27</v>
      </c>
      <c r="H57" s="77">
        <f t="shared" si="4"/>
        <v>1.1702360162719177E-3</v>
      </c>
      <c r="J57" s="16" t="s">
        <v>165</v>
      </c>
      <c r="K57" s="76">
        <v>6.61</v>
      </c>
      <c r="M57" s="16" t="s">
        <v>197</v>
      </c>
      <c r="N57" s="78">
        <v>125.79</v>
      </c>
      <c r="O57" s="77">
        <f t="shared" si="5"/>
        <v>6.910321561505241E-4</v>
      </c>
    </row>
    <row r="58" spans="2:15" ht="15.75" customHeight="1" x14ac:dyDescent="0.3">
      <c r="B58" s="16" t="s">
        <v>160</v>
      </c>
      <c r="C58" s="78">
        <v>11881.02</v>
      </c>
      <c r="D58" s="77">
        <f t="shared" si="3"/>
        <v>9.7321524238283726E-4</v>
      </c>
      <c r="F58" s="16" t="s">
        <v>218</v>
      </c>
      <c r="G58" s="78">
        <v>23604.46</v>
      </c>
      <c r="H58" s="77">
        <f t="shared" si="4"/>
        <v>1.0893869341448812E-3</v>
      </c>
      <c r="J58" s="16" t="s">
        <v>171</v>
      </c>
      <c r="K58" s="76">
        <v>7.34</v>
      </c>
      <c r="M58" s="16" t="s">
        <v>222</v>
      </c>
      <c r="N58" s="78">
        <v>101.56</v>
      </c>
      <c r="O58" s="77">
        <f t="shared" si="5"/>
        <v>5.5792372826653333E-4</v>
      </c>
    </row>
    <row r="59" spans="2:15" ht="15.75" customHeight="1" x14ac:dyDescent="0.3">
      <c r="B59" s="16" t="s">
        <v>223</v>
      </c>
      <c r="C59" s="78">
        <v>11637</v>
      </c>
      <c r="D59" s="77">
        <f t="shared" si="3"/>
        <v>9.5322672427191246E-4</v>
      </c>
      <c r="F59" s="16" t="s">
        <v>217</v>
      </c>
      <c r="G59" s="78">
        <v>20732.07</v>
      </c>
      <c r="H59" s="77">
        <f t="shared" si="4"/>
        <v>9.5682113362377573E-4</v>
      </c>
      <c r="J59" s="16" t="s">
        <v>218</v>
      </c>
      <c r="K59" s="76">
        <v>7.34</v>
      </c>
      <c r="M59" s="16" t="s">
        <v>224</v>
      </c>
      <c r="N59" s="78">
        <v>99.37</v>
      </c>
      <c r="O59" s="77">
        <f t="shared" si="5"/>
        <v>5.4589287985275128E-4</v>
      </c>
    </row>
    <row r="60" spans="2:15" ht="15.75" customHeight="1" x14ac:dyDescent="0.3">
      <c r="B60" s="16" t="s">
        <v>220</v>
      </c>
      <c r="C60" s="78">
        <v>10228.15</v>
      </c>
      <c r="D60" s="77">
        <f t="shared" si="3"/>
        <v>8.3782297154436373E-4</v>
      </c>
      <c r="F60" s="16" t="s">
        <v>164</v>
      </c>
      <c r="G60" s="78">
        <v>20492.689999999999</v>
      </c>
      <c r="H60" s="77">
        <f t="shared" si="4"/>
        <v>9.4577332976401353E-4</v>
      </c>
      <c r="J60" s="16" t="s">
        <v>225</v>
      </c>
      <c r="K60" s="76">
        <v>7.79</v>
      </c>
      <c r="M60" s="16" t="s">
        <v>188</v>
      </c>
      <c r="N60" s="78">
        <v>89.99</v>
      </c>
      <c r="O60" s="77">
        <f t="shared" si="5"/>
        <v>4.9436349258276217E-4</v>
      </c>
    </row>
    <row r="61" spans="2:15" ht="15.75" customHeight="1" x14ac:dyDescent="0.3">
      <c r="B61" s="16" t="s">
        <v>164</v>
      </c>
      <c r="C61" s="78">
        <v>8731.5499999999993</v>
      </c>
      <c r="D61" s="77">
        <f t="shared" si="3"/>
        <v>7.1523131428344214E-4</v>
      </c>
      <c r="F61" s="16" t="s">
        <v>213</v>
      </c>
      <c r="G61" s="78">
        <v>20188.71</v>
      </c>
      <c r="H61" s="77">
        <f t="shared" si="4"/>
        <v>9.3174412340888562E-4</v>
      </c>
      <c r="J61" s="16" t="s">
        <v>223</v>
      </c>
      <c r="K61" s="76">
        <v>7.83</v>
      </c>
      <c r="M61" s="16" t="s">
        <v>162</v>
      </c>
      <c r="N61" s="78">
        <v>75.69</v>
      </c>
      <c r="O61" s="77">
        <f t="shared" si="5"/>
        <v>4.158058979174272E-4</v>
      </c>
    </row>
    <row r="62" spans="2:15" ht="15.75" customHeight="1" x14ac:dyDescent="0.3">
      <c r="B62" s="16" t="s">
        <v>179</v>
      </c>
      <c r="C62" s="78">
        <v>8324.09</v>
      </c>
      <c r="D62" s="77">
        <f t="shared" si="3"/>
        <v>6.818548632159993E-4</v>
      </c>
      <c r="F62" s="16" t="s">
        <v>223</v>
      </c>
      <c r="G62" s="78">
        <v>17707.560000000001</v>
      </c>
      <c r="H62" s="77">
        <f t="shared" si="4"/>
        <v>8.1723473019872247E-4</v>
      </c>
      <c r="J62" s="16" t="s">
        <v>191</v>
      </c>
      <c r="K62" s="76">
        <v>7.89</v>
      </c>
      <c r="M62" s="16" t="s">
        <v>226</v>
      </c>
      <c r="N62" s="78">
        <v>75.66</v>
      </c>
      <c r="O62" s="77">
        <f t="shared" si="5"/>
        <v>4.1564109177477264E-4</v>
      </c>
    </row>
    <row r="63" spans="2:15" ht="15.75" customHeight="1" x14ac:dyDescent="0.3">
      <c r="B63" s="16" t="s">
        <v>221</v>
      </c>
      <c r="C63" s="78">
        <v>8141.98</v>
      </c>
      <c r="D63" s="77">
        <f t="shared" si="3"/>
        <v>6.669376062977937E-4</v>
      </c>
      <c r="F63" s="16" t="s">
        <v>162</v>
      </c>
      <c r="G63" s="78">
        <v>16652.57</v>
      </c>
      <c r="H63" s="77">
        <f t="shared" si="4"/>
        <v>7.6854510452401903E-4</v>
      </c>
      <c r="J63" s="16" t="s">
        <v>178</v>
      </c>
      <c r="K63" s="76">
        <v>8.4700000000000006</v>
      </c>
      <c r="M63" s="16" t="s">
        <v>212</v>
      </c>
      <c r="N63" s="78">
        <v>66.989999999999995</v>
      </c>
      <c r="O63" s="77">
        <f t="shared" si="5"/>
        <v>3.6801211654760796E-4</v>
      </c>
    </row>
    <row r="64" spans="2:15" ht="15.75" customHeight="1" x14ac:dyDescent="0.3">
      <c r="B64" s="16" t="s">
        <v>188</v>
      </c>
      <c r="C64" s="78">
        <v>7079.83</v>
      </c>
      <c r="D64" s="77">
        <f t="shared" si="3"/>
        <v>5.7993324390324084E-4</v>
      </c>
      <c r="F64" s="16" t="s">
        <v>220</v>
      </c>
      <c r="G64" s="78">
        <v>15063.77</v>
      </c>
      <c r="H64" s="77">
        <f t="shared" si="4"/>
        <v>6.9521921776493246E-4</v>
      </c>
      <c r="J64" s="16" t="s">
        <v>201</v>
      </c>
      <c r="K64" s="76">
        <v>8.67</v>
      </c>
      <c r="M64" s="16" t="s">
        <v>193</v>
      </c>
      <c r="N64" s="78">
        <v>62.57</v>
      </c>
      <c r="O64" s="77">
        <f t="shared" si="5"/>
        <v>3.4373067819650443E-4</v>
      </c>
    </row>
    <row r="65" spans="2:15" ht="15.75" customHeight="1" x14ac:dyDescent="0.3">
      <c r="B65" s="16" t="s">
        <v>225</v>
      </c>
      <c r="C65" s="78">
        <v>7036.37</v>
      </c>
      <c r="D65" s="77">
        <f t="shared" si="3"/>
        <v>5.7637328571497428E-4</v>
      </c>
      <c r="F65" s="16" t="s">
        <v>221</v>
      </c>
      <c r="G65" s="78">
        <v>13795.76</v>
      </c>
      <c r="H65" s="77">
        <f t="shared" si="4"/>
        <v>6.3669834813414867E-4</v>
      </c>
      <c r="J65" s="16" t="s">
        <v>211</v>
      </c>
      <c r="K65" s="76">
        <v>9.5</v>
      </c>
      <c r="M65" s="16" t="s">
        <v>220</v>
      </c>
      <c r="N65" s="78">
        <v>61.46</v>
      </c>
      <c r="O65" s="77">
        <f t="shared" si="5"/>
        <v>3.3763285091828612E-4</v>
      </c>
    </row>
    <row r="66" spans="2:15" ht="15.75" customHeight="1" x14ac:dyDescent="0.3">
      <c r="B66" s="16" t="s">
        <v>162</v>
      </c>
      <c r="C66" s="78">
        <v>4937.45</v>
      </c>
      <c r="D66" s="77">
        <f t="shared" si="3"/>
        <v>4.0444352408321334E-4</v>
      </c>
      <c r="F66" s="16" t="s">
        <v>188</v>
      </c>
      <c r="G66" s="78">
        <v>13315.71</v>
      </c>
      <c r="H66" s="77">
        <f t="shared" si="4"/>
        <v>6.1454320466819987E-4</v>
      </c>
      <c r="J66" s="16" t="s">
        <v>190</v>
      </c>
      <c r="K66" s="76">
        <v>9.82</v>
      </c>
      <c r="M66" s="16" t="s">
        <v>223</v>
      </c>
      <c r="N66" s="78">
        <v>54.73</v>
      </c>
      <c r="O66" s="77">
        <f t="shared" si="5"/>
        <v>3.0066133958278228E-4</v>
      </c>
    </row>
    <row r="67" spans="2:15" ht="15.75" customHeight="1" x14ac:dyDescent="0.3">
      <c r="B67" s="16" t="s">
        <v>227</v>
      </c>
      <c r="C67" s="78">
        <v>4750.88</v>
      </c>
      <c r="D67" s="77">
        <f t="shared" si="3"/>
        <v>3.8916093321379595E-4</v>
      </c>
      <c r="F67" s="16" t="s">
        <v>172</v>
      </c>
      <c r="G67" s="78">
        <v>12520.27</v>
      </c>
      <c r="H67" s="77">
        <f t="shared" si="4"/>
        <v>5.7783226347758569E-4</v>
      </c>
      <c r="J67" s="16" t="s">
        <v>176</v>
      </c>
      <c r="K67" s="76">
        <v>9.98</v>
      </c>
      <c r="M67" s="16" t="s">
        <v>228</v>
      </c>
      <c r="N67" s="78">
        <v>54.32</v>
      </c>
      <c r="O67" s="77">
        <f t="shared" si="5"/>
        <v>2.9840898896650342E-4</v>
      </c>
    </row>
    <row r="68" spans="2:15" ht="15.75" customHeight="1" x14ac:dyDescent="0.3">
      <c r="B68" s="16" t="s">
        <v>193</v>
      </c>
      <c r="C68" s="78">
        <v>4634.8</v>
      </c>
      <c r="D68" s="77">
        <f t="shared" si="3"/>
        <v>3.7965242086924979E-4</v>
      </c>
      <c r="F68" s="16" t="s">
        <v>225</v>
      </c>
      <c r="G68" s="78">
        <v>10905.9</v>
      </c>
      <c r="H68" s="77">
        <f t="shared" si="4"/>
        <v>5.0332627669053475E-4</v>
      </c>
      <c r="J68" s="16" t="s">
        <v>229</v>
      </c>
      <c r="K68" s="76">
        <v>10.29</v>
      </c>
      <c r="M68" s="16" t="s">
        <v>172</v>
      </c>
      <c r="N68" s="78">
        <v>52.19</v>
      </c>
      <c r="O68" s="77">
        <f t="shared" si="5"/>
        <v>2.8670775283803045E-4</v>
      </c>
    </row>
    <row r="69" spans="2:15" ht="15.75" customHeight="1" x14ac:dyDescent="0.3">
      <c r="B69" s="16" t="s">
        <v>186</v>
      </c>
      <c r="C69" s="78">
        <v>4353.57</v>
      </c>
      <c r="D69" s="77">
        <f t="shared" si="3"/>
        <v>3.5661590358240694E-4</v>
      </c>
      <c r="F69" s="16" t="s">
        <v>222</v>
      </c>
      <c r="G69" s="78">
        <v>10297.42</v>
      </c>
      <c r="H69" s="77">
        <f t="shared" si="4"/>
        <v>4.7524386507474364E-4</v>
      </c>
      <c r="J69" s="16" t="s">
        <v>224</v>
      </c>
      <c r="K69" s="76">
        <v>10.77</v>
      </c>
      <c r="M69" s="16" t="s">
        <v>230</v>
      </c>
      <c r="N69" s="78">
        <v>46.77</v>
      </c>
      <c r="O69" s="77">
        <f t="shared" si="5"/>
        <v>2.5693277639844198E-4</v>
      </c>
    </row>
    <row r="70" spans="2:15" ht="15.75" customHeight="1" x14ac:dyDescent="0.3">
      <c r="B70" s="16" t="s">
        <v>231</v>
      </c>
      <c r="C70" s="78">
        <v>3916.83</v>
      </c>
      <c r="D70" s="77">
        <f t="shared" si="3"/>
        <v>3.208410269339138E-4</v>
      </c>
      <c r="F70" s="16" t="s">
        <v>232</v>
      </c>
      <c r="G70" s="78">
        <v>9359.77</v>
      </c>
      <c r="H70" s="77">
        <f t="shared" si="4"/>
        <v>4.3196968473759772E-4</v>
      </c>
      <c r="J70" s="16" t="s">
        <v>233</v>
      </c>
      <c r="K70" s="76">
        <v>10.89</v>
      </c>
      <c r="M70" s="16" t="s">
        <v>206</v>
      </c>
      <c r="N70" s="78">
        <v>44.98</v>
      </c>
      <c r="O70" s="77">
        <f t="shared" si="5"/>
        <v>2.470993432200538E-4</v>
      </c>
    </row>
    <row r="71" spans="2:15" ht="15.75" customHeight="1" x14ac:dyDescent="0.3">
      <c r="B71" s="16" t="s">
        <v>215</v>
      </c>
      <c r="C71" s="78">
        <v>3670.95</v>
      </c>
      <c r="D71" s="77">
        <f t="shared" si="3"/>
        <v>3.0070014982091402E-4</v>
      </c>
      <c r="F71" s="16" t="s">
        <v>212</v>
      </c>
      <c r="G71" s="78">
        <v>9097.65</v>
      </c>
      <c r="H71" s="77">
        <f t="shared" si="4"/>
        <v>4.1987239027807365E-4</v>
      </c>
      <c r="J71" s="16" t="s">
        <v>173</v>
      </c>
      <c r="K71" s="76">
        <v>11.11</v>
      </c>
      <c r="M71" s="16" t="s">
        <v>234</v>
      </c>
      <c r="N71" s="78">
        <v>42.74</v>
      </c>
      <c r="O71" s="77">
        <f t="shared" si="5"/>
        <v>2.3479381790184753E-4</v>
      </c>
    </row>
    <row r="72" spans="2:15" ht="15.75" customHeight="1" x14ac:dyDescent="0.3">
      <c r="B72" s="16" t="s">
        <v>172</v>
      </c>
      <c r="C72" s="78">
        <v>2706.15</v>
      </c>
      <c r="D72" s="77">
        <f t="shared" si="3"/>
        <v>2.2167006100270138E-4</v>
      </c>
      <c r="F72" s="16" t="s">
        <v>215</v>
      </c>
      <c r="G72" s="78">
        <v>8677.6</v>
      </c>
      <c r="H72" s="77">
        <f t="shared" si="4"/>
        <v>4.0048635129698464E-4</v>
      </c>
      <c r="J72" s="16" t="s">
        <v>235</v>
      </c>
      <c r="K72" s="76">
        <v>11.67</v>
      </c>
      <c r="M72" s="16" t="s">
        <v>221</v>
      </c>
      <c r="N72" s="78">
        <v>35.9</v>
      </c>
      <c r="O72" s="77">
        <f t="shared" si="5"/>
        <v>1.9721801737661033E-4</v>
      </c>
    </row>
    <row r="73" spans="2:15" ht="15.75" customHeight="1" x14ac:dyDescent="0.3">
      <c r="B73" s="16" t="s">
        <v>236</v>
      </c>
      <c r="C73" s="78">
        <v>2502.5500000000002</v>
      </c>
      <c r="D73" s="77">
        <f t="shared" si="3"/>
        <v>2.0499248421643675E-4</v>
      </c>
      <c r="F73" s="16" t="s">
        <v>231</v>
      </c>
      <c r="G73" s="78">
        <v>8337.86</v>
      </c>
      <c r="H73" s="77">
        <f t="shared" si="4"/>
        <v>3.8480675866888039E-4</v>
      </c>
      <c r="J73" s="16" t="s">
        <v>166</v>
      </c>
      <c r="K73" s="76">
        <v>11.78</v>
      </c>
      <c r="M73" s="16" t="s">
        <v>237</v>
      </c>
      <c r="N73" s="78">
        <v>32.590000000000003</v>
      </c>
      <c r="O73" s="77">
        <f t="shared" si="5"/>
        <v>1.7903440630372513E-4</v>
      </c>
    </row>
    <row r="74" spans="2:15" ht="15.75" customHeight="1" x14ac:dyDescent="0.3">
      <c r="B74" s="16" t="s">
        <v>237</v>
      </c>
      <c r="C74" s="78">
        <v>1991.51</v>
      </c>
      <c r="D74" s="77">
        <f t="shared" si="3"/>
        <v>1.6313143882914466E-4</v>
      </c>
      <c r="F74" s="16" t="s">
        <v>227</v>
      </c>
      <c r="G74" s="78">
        <v>8180.18</v>
      </c>
      <c r="H74" s="77">
        <f t="shared" si="4"/>
        <v>3.775295520826689E-4</v>
      </c>
      <c r="J74" s="16" t="s">
        <v>227</v>
      </c>
      <c r="K74" s="76">
        <v>11.8</v>
      </c>
      <c r="M74" s="16" t="s">
        <v>231</v>
      </c>
      <c r="N74" s="78">
        <v>28.93</v>
      </c>
      <c r="O74" s="77">
        <f t="shared" si="5"/>
        <v>1.5892805689987012E-4</v>
      </c>
    </row>
    <row r="75" spans="2:15" ht="15.75" customHeight="1" x14ac:dyDescent="0.3">
      <c r="B75" s="16" t="s">
        <v>222</v>
      </c>
      <c r="C75" s="78">
        <v>1695.35</v>
      </c>
      <c r="D75" s="77">
        <f t="shared" si="3"/>
        <v>1.3887195385360373E-4</v>
      </c>
      <c r="F75" s="16" t="s">
        <v>186</v>
      </c>
      <c r="G75" s="78">
        <v>8084.62</v>
      </c>
      <c r="H75" s="77">
        <f t="shared" si="4"/>
        <v>3.7311929167311561E-4</v>
      </c>
      <c r="J75" s="16" t="s">
        <v>238</v>
      </c>
      <c r="K75" s="76">
        <v>12.03</v>
      </c>
      <c r="M75" s="16" t="s">
        <v>236</v>
      </c>
      <c r="N75" s="78">
        <v>24.23</v>
      </c>
      <c r="O75" s="77">
        <f t="shared" si="5"/>
        <v>1.3310842788399077E-4</v>
      </c>
    </row>
    <row r="76" spans="2:15" ht="15.75" customHeight="1" x14ac:dyDescent="0.3">
      <c r="B76" s="16" t="s">
        <v>233</v>
      </c>
      <c r="C76" s="78">
        <v>1627.23</v>
      </c>
      <c r="D76" s="77">
        <f t="shared" si="3"/>
        <v>1.3329201018621501E-4</v>
      </c>
      <c r="F76" s="16" t="s">
        <v>193</v>
      </c>
      <c r="G76" s="78">
        <v>7153.92</v>
      </c>
      <c r="H76" s="77">
        <f t="shared" si="4"/>
        <v>3.3016586593879923E-4</v>
      </c>
      <c r="J76" s="16" t="s">
        <v>202</v>
      </c>
      <c r="K76" s="76">
        <v>12.17</v>
      </c>
      <c r="M76" s="16" t="s">
        <v>198</v>
      </c>
      <c r="N76" s="78">
        <v>23.55</v>
      </c>
      <c r="O76" s="77">
        <f t="shared" si="5"/>
        <v>1.2937282198382098E-4</v>
      </c>
    </row>
    <row r="77" spans="2:15" ht="15.75" customHeight="1" x14ac:dyDescent="0.3">
      <c r="B77" s="16" t="s">
        <v>174</v>
      </c>
      <c r="C77" s="78">
        <v>1623.4</v>
      </c>
      <c r="D77" s="77">
        <f t="shared" si="3"/>
        <v>1.3297828170344785E-4</v>
      </c>
      <c r="F77" s="16" t="s">
        <v>224</v>
      </c>
      <c r="G77" s="78">
        <v>5135.34</v>
      </c>
      <c r="H77" s="77">
        <f t="shared" si="4"/>
        <v>2.3700488375466225E-4</v>
      </c>
      <c r="J77" s="16" t="s">
        <v>231</v>
      </c>
      <c r="K77" s="76">
        <v>12.38</v>
      </c>
      <c r="M77" s="16" t="s">
        <v>232</v>
      </c>
      <c r="N77" s="78">
        <v>18.29</v>
      </c>
      <c r="O77" s="77">
        <f t="shared" si="5"/>
        <v>1.0047681163839006E-4</v>
      </c>
    </row>
    <row r="78" spans="2:15" ht="15.75" customHeight="1" x14ac:dyDescent="0.3">
      <c r="B78" s="16" t="s">
        <v>167</v>
      </c>
      <c r="C78" s="78">
        <v>1534.1</v>
      </c>
      <c r="D78" s="77">
        <f t="shared" si="3"/>
        <v>1.2566341133501253E-4</v>
      </c>
      <c r="F78" s="16" t="s">
        <v>239</v>
      </c>
      <c r="G78" s="78">
        <v>4760.45</v>
      </c>
      <c r="H78" s="77">
        <f t="shared" si="4"/>
        <v>2.1970305741584429E-4</v>
      </c>
      <c r="J78" s="16" t="s">
        <v>183</v>
      </c>
      <c r="K78" s="76">
        <v>13.93</v>
      </c>
      <c r="M78" s="16" t="s">
        <v>240</v>
      </c>
      <c r="N78" s="78">
        <v>16.71</v>
      </c>
      <c r="O78" s="77">
        <f t="shared" si="5"/>
        <v>9.1797021458583813E-5</v>
      </c>
    </row>
    <row r="79" spans="2:15" ht="15.75" customHeight="1" x14ac:dyDescent="0.3">
      <c r="B79" s="16" t="s">
        <v>198</v>
      </c>
      <c r="C79" s="78">
        <v>1440.44</v>
      </c>
      <c r="D79" s="77">
        <f t="shared" si="3"/>
        <v>1.1799139835956291E-4</v>
      </c>
      <c r="F79" s="16" t="s">
        <v>237</v>
      </c>
      <c r="G79" s="78">
        <v>4653.33</v>
      </c>
      <c r="H79" s="77">
        <f t="shared" si="4"/>
        <v>2.1475928287554132E-4</v>
      </c>
      <c r="J79" s="16" t="s">
        <v>184</v>
      </c>
      <c r="K79" s="76">
        <v>14.84</v>
      </c>
      <c r="M79" s="16" t="s">
        <v>186</v>
      </c>
      <c r="N79" s="78">
        <v>16.309999999999999</v>
      </c>
      <c r="O79" s="77">
        <f t="shared" si="5"/>
        <v>8.9599606223189819E-5</v>
      </c>
    </row>
    <row r="80" spans="2:15" ht="15.75" customHeight="1" x14ac:dyDescent="0.3">
      <c r="B80" s="16" t="s">
        <v>212</v>
      </c>
      <c r="C80" s="78">
        <v>1399.05</v>
      </c>
      <c r="D80" s="77">
        <f t="shared" si="3"/>
        <v>1.1460100099618622E-4</v>
      </c>
      <c r="F80" s="16" t="s">
        <v>236</v>
      </c>
      <c r="G80" s="78">
        <v>4581.87</v>
      </c>
      <c r="H80" s="77">
        <f t="shared" si="4"/>
        <v>2.1146127943407335E-4</v>
      </c>
      <c r="J80" s="16" t="s">
        <v>241</v>
      </c>
      <c r="K80" s="76">
        <v>18.68</v>
      </c>
      <c r="M80" s="16" t="s">
        <v>242</v>
      </c>
      <c r="N80" s="78">
        <v>11.57</v>
      </c>
      <c r="O80" s="77">
        <f t="shared" si="5"/>
        <v>6.3560235683771078E-5</v>
      </c>
    </row>
    <row r="81" spans="2:15" ht="15.75" customHeight="1" x14ac:dyDescent="0.3">
      <c r="B81" s="16" t="s">
        <v>229</v>
      </c>
      <c r="C81" s="78">
        <v>1377.07</v>
      </c>
      <c r="D81" s="77">
        <f t="shared" si="3"/>
        <v>1.1280054354155903E-4</v>
      </c>
      <c r="F81" s="16" t="s">
        <v>243</v>
      </c>
      <c r="G81" s="78">
        <v>4501.1099999999997</v>
      </c>
      <c r="H81" s="77">
        <f t="shared" si="4"/>
        <v>2.077340647974521E-4</v>
      </c>
      <c r="J81" s="16" t="s">
        <v>187</v>
      </c>
      <c r="K81" s="76">
        <v>19.14</v>
      </c>
      <c r="M81" s="16" t="s">
        <v>167</v>
      </c>
      <c r="N81" s="78">
        <v>11.41</v>
      </c>
      <c r="O81" s="77">
        <f t="shared" si="5"/>
        <v>6.2681269589613483E-5</v>
      </c>
    </row>
    <row r="82" spans="2:15" ht="15.75" customHeight="1" x14ac:dyDescent="0.3">
      <c r="B82" s="16" t="s">
        <v>199</v>
      </c>
      <c r="C82" s="78">
        <v>1108.5999999999999</v>
      </c>
      <c r="D82" s="77">
        <f t="shared" si="3"/>
        <v>9.0809241774326895E-5</v>
      </c>
      <c r="F82" s="16" t="s">
        <v>228</v>
      </c>
      <c r="G82" s="78">
        <v>3817.59</v>
      </c>
      <c r="H82" s="77">
        <f t="shared" si="4"/>
        <v>1.761884265059297E-4</v>
      </c>
      <c r="J82" s="16" t="s">
        <v>226</v>
      </c>
      <c r="K82" s="76">
        <v>81.41</v>
      </c>
      <c r="M82" s="16" t="s">
        <v>244</v>
      </c>
      <c r="N82" s="78">
        <v>10.039999999999999</v>
      </c>
      <c r="O82" s="77">
        <f t="shared" si="5"/>
        <v>5.5155122408389072E-5</v>
      </c>
    </row>
    <row r="83" spans="2:15" ht="15.75" customHeight="1" x14ac:dyDescent="0.3">
      <c r="B83" s="16" t="s">
        <v>217</v>
      </c>
      <c r="C83" s="78">
        <v>946.57</v>
      </c>
      <c r="D83" s="77">
        <f t="shared" si="3"/>
        <v>7.7536806770994599E-5</v>
      </c>
      <c r="F83" s="16" t="s">
        <v>229</v>
      </c>
      <c r="G83" s="78">
        <v>3774.7</v>
      </c>
      <c r="H83" s="77">
        <f t="shared" si="4"/>
        <v>1.742089783166691E-4</v>
      </c>
      <c r="J83" s="16" t="s">
        <v>244</v>
      </c>
      <c r="K83" s="16"/>
      <c r="M83" s="16" t="s">
        <v>241</v>
      </c>
      <c r="N83" s="78">
        <v>9.0399999999999991</v>
      </c>
      <c r="O83" s="77">
        <f t="shared" si="5"/>
        <v>4.9661584319904105E-5</v>
      </c>
    </row>
    <row r="84" spans="2:15" ht="15.75" customHeight="1" x14ac:dyDescent="0.3">
      <c r="B84" s="16" t="s">
        <v>219</v>
      </c>
      <c r="C84" s="78">
        <v>838.62</v>
      </c>
      <c r="D84" s="77">
        <f t="shared" si="3"/>
        <v>6.8694250709711363E-5</v>
      </c>
      <c r="F84" s="16" t="s">
        <v>167</v>
      </c>
      <c r="G84" s="78">
        <v>2666.52</v>
      </c>
      <c r="H84" s="77">
        <f t="shared" si="4"/>
        <v>1.2306454151613758E-4</v>
      </c>
      <c r="J84" s="16" t="s">
        <v>245</v>
      </c>
      <c r="K84" s="16"/>
      <c r="M84" s="16" t="s">
        <v>246</v>
      </c>
      <c r="N84" s="78">
        <v>9.02</v>
      </c>
      <c r="O84" s="77">
        <f t="shared" si="5"/>
        <v>4.9551713558134408E-5</v>
      </c>
    </row>
    <row r="85" spans="2:15" ht="15.75" customHeight="1" x14ac:dyDescent="0.3">
      <c r="B85" s="16" t="s">
        <v>200</v>
      </c>
      <c r="C85" s="78">
        <v>736.67</v>
      </c>
      <c r="D85" s="77">
        <f t="shared" si="3"/>
        <v>6.0343175300282694E-5</v>
      </c>
      <c r="F85" s="16" t="s">
        <v>174</v>
      </c>
      <c r="G85" s="78">
        <v>2592.42</v>
      </c>
      <c r="H85" s="77">
        <f t="shared" si="4"/>
        <v>1.1964469747733577E-4</v>
      </c>
      <c r="J85" s="16" t="s">
        <v>246</v>
      </c>
      <c r="K85" s="16"/>
      <c r="M85" s="16" t="s">
        <v>225</v>
      </c>
      <c r="N85" s="78">
        <v>8.86</v>
      </c>
      <c r="O85" s="77">
        <f t="shared" si="5"/>
        <v>4.8672747463976813E-5</v>
      </c>
    </row>
    <row r="86" spans="2:15" ht="15.75" customHeight="1" x14ac:dyDescent="0.3">
      <c r="B86" s="16" t="s">
        <v>247</v>
      </c>
      <c r="C86" s="78">
        <v>690.89</v>
      </c>
      <c r="D86" s="77">
        <f t="shared" si="3"/>
        <v>5.6593177926632424E-5</v>
      </c>
      <c r="F86" s="16" t="s">
        <v>198</v>
      </c>
      <c r="G86" s="78">
        <v>2531.65</v>
      </c>
      <c r="H86" s="77">
        <f t="shared" si="4"/>
        <v>1.1684005615158697E-4</v>
      </c>
      <c r="J86" s="16" t="s">
        <v>205</v>
      </c>
      <c r="K86" s="16"/>
      <c r="M86" s="16" t="s">
        <v>174</v>
      </c>
      <c r="N86" s="78">
        <v>7.66</v>
      </c>
      <c r="O86" s="77">
        <f t="shared" si="5"/>
        <v>4.2080501757794856E-5</v>
      </c>
    </row>
    <row r="87" spans="2:15" ht="15.75" customHeight="1" x14ac:dyDescent="0.3">
      <c r="B87" s="16" t="s">
        <v>224</v>
      </c>
      <c r="C87" s="78">
        <v>526.22</v>
      </c>
      <c r="D87" s="77">
        <f t="shared" si="3"/>
        <v>4.3104491436484124E-5</v>
      </c>
      <c r="F87" s="16" t="s">
        <v>233</v>
      </c>
      <c r="G87" s="78">
        <v>2352</v>
      </c>
      <c r="H87" s="77">
        <f t="shared" si="4"/>
        <v>1.085488958065027E-4</v>
      </c>
      <c r="J87" s="16" t="s">
        <v>248</v>
      </c>
      <c r="K87" s="16"/>
      <c r="M87" s="16" t="s">
        <v>247</v>
      </c>
      <c r="N87" s="78">
        <v>7.54</v>
      </c>
      <c r="O87" s="77">
        <f t="shared" si="5"/>
        <v>4.1421277187176656E-5</v>
      </c>
    </row>
    <row r="88" spans="2:15" ht="15.75" customHeight="1" x14ac:dyDescent="0.3">
      <c r="B88" s="16" t="s">
        <v>238</v>
      </c>
      <c r="C88" s="78">
        <v>413.05</v>
      </c>
      <c r="D88" s="77">
        <f t="shared" si="3"/>
        <v>3.3834347208087431E-5</v>
      </c>
      <c r="F88" s="16" t="s">
        <v>246</v>
      </c>
      <c r="G88" s="78">
        <v>2140.42</v>
      </c>
      <c r="H88" s="77">
        <f t="shared" si="4"/>
        <v>9.8784110358058895E-5</v>
      </c>
      <c r="J88" s="16" t="s">
        <v>217</v>
      </c>
      <c r="K88" s="16"/>
      <c r="M88" s="16" t="s">
        <v>238</v>
      </c>
      <c r="N88" s="78">
        <v>6.34</v>
      </c>
      <c r="O88" s="77">
        <f t="shared" si="5"/>
        <v>3.4829031480994692E-5</v>
      </c>
    </row>
    <row r="89" spans="2:15" ht="15.75" customHeight="1" x14ac:dyDescent="0.3">
      <c r="B89" s="16" t="s">
        <v>241</v>
      </c>
      <c r="C89" s="78">
        <v>326.43</v>
      </c>
      <c r="D89" s="77">
        <f t="shared" si="3"/>
        <v>2.673900486414715E-5</v>
      </c>
      <c r="F89" s="16" t="s">
        <v>199</v>
      </c>
      <c r="G89" s="78">
        <v>1890.02</v>
      </c>
      <c r="H89" s="77">
        <f t="shared" si="4"/>
        <v>8.7227714307910818E-5</v>
      </c>
      <c r="J89" s="16" t="s">
        <v>236</v>
      </c>
      <c r="K89" s="16"/>
      <c r="M89" s="16" t="s">
        <v>213</v>
      </c>
      <c r="N89" s="78">
        <v>5.41</v>
      </c>
      <c r="O89" s="77">
        <f t="shared" si="5"/>
        <v>2.9720041058703675E-5</v>
      </c>
    </row>
    <row r="90" spans="2:15" ht="15.75" customHeight="1" x14ac:dyDescent="0.3">
      <c r="B90" s="16" t="s">
        <v>240</v>
      </c>
      <c r="C90" s="78">
        <v>321.29000000000002</v>
      </c>
      <c r="D90" s="77">
        <f t="shared" si="3"/>
        <v>2.6317969772391746E-5</v>
      </c>
      <c r="F90" s="16" t="s">
        <v>247</v>
      </c>
      <c r="G90" s="78">
        <v>1856.66</v>
      </c>
      <c r="H90" s="77">
        <f t="shared" si="4"/>
        <v>8.5688092214328794E-5</v>
      </c>
      <c r="J90" s="16" t="s">
        <v>234</v>
      </c>
      <c r="K90" s="16"/>
      <c r="M90" s="16" t="s">
        <v>235</v>
      </c>
      <c r="N90" s="78">
        <v>4.41</v>
      </c>
      <c r="O90" s="77">
        <f t="shared" si="5"/>
        <v>2.4226502970218709E-5</v>
      </c>
    </row>
    <row r="91" spans="2:15" ht="15.75" customHeight="1" x14ac:dyDescent="0.3">
      <c r="B91" s="16" t="s">
        <v>228</v>
      </c>
      <c r="C91" s="78">
        <v>317.35000000000002</v>
      </c>
      <c r="D91" s="77">
        <f t="shared" si="3"/>
        <v>2.5995230811007254E-5</v>
      </c>
      <c r="F91" s="16" t="s">
        <v>234</v>
      </c>
      <c r="G91" s="78">
        <v>1680</v>
      </c>
      <c r="H91" s="77">
        <f t="shared" si="4"/>
        <v>7.7534925576073352E-5</v>
      </c>
      <c r="J91" s="16" t="s">
        <v>222</v>
      </c>
      <c r="K91" s="16"/>
      <c r="M91" s="16" t="s">
        <v>199</v>
      </c>
      <c r="N91" s="78">
        <v>0.74</v>
      </c>
      <c r="O91" s="77">
        <f t="shared" si="5"/>
        <v>4.0652181854788759E-6</v>
      </c>
    </row>
    <row r="92" spans="2:15" ht="15.75" customHeight="1" x14ac:dyDescent="0.3">
      <c r="B92" s="16" t="s">
        <v>242</v>
      </c>
      <c r="C92" s="78">
        <v>250.77</v>
      </c>
      <c r="D92" s="77">
        <f t="shared" si="3"/>
        <v>2.0541433844261191E-5</v>
      </c>
      <c r="F92" s="16" t="s">
        <v>219</v>
      </c>
      <c r="G92" s="78">
        <v>1546.41</v>
      </c>
      <c r="H92" s="77">
        <f t="shared" si="4"/>
        <v>7.1369514440533101E-5</v>
      </c>
      <c r="J92" s="16" t="s">
        <v>249</v>
      </c>
      <c r="K92" s="16"/>
      <c r="M92" s="16" t="s">
        <v>200</v>
      </c>
      <c r="N92" s="78">
        <v>0.65</v>
      </c>
      <c r="O92" s="77">
        <f t="shared" si="5"/>
        <v>3.570799757515229E-6</v>
      </c>
    </row>
    <row r="93" spans="2:15" ht="15.75" customHeight="1" x14ac:dyDescent="0.3">
      <c r="B93" s="16" t="s">
        <v>250</v>
      </c>
      <c r="C93" s="78">
        <v>92.93</v>
      </c>
      <c r="D93" s="77">
        <f t="shared" si="3"/>
        <v>7.6122161628073237E-6</v>
      </c>
      <c r="F93" s="16" t="s">
        <v>241</v>
      </c>
      <c r="G93" s="78">
        <v>1407.96</v>
      </c>
      <c r="H93" s="77">
        <f t="shared" si="4"/>
        <v>6.4979805841719189E-5</v>
      </c>
      <c r="J93" s="16" t="s">
        <v>243</v>
      </c>
      <c r="K93" s="16"/>
      <c r="M93" s="16" t="s">
        <v>251</v>
      </c>
      <c r="N93" s="78">
        <v>-0.99</v>
      </c>
      <c r="O93" s="77">
        <f t="shared" si="5"/>
        <v>-5.4386027076001183E-6</v>
      </c>
    </row>
    <row r="94" spans="2:15" ht="15.75" customHeight="1" x14ac:dyDescent="0.3">
      <c r="B94" s="16" t="s">
        <v>244</v>
      </c>
      <c r="C94" s="78">
        <v>61.15</v>
      </c>
      <c r="D94" s="77">
        <f t="shared" si="3"/>
        <v>5.0090069768176889E-6</v>
      </c>
      <c r="F94" s="16" t="s">
        <v>240</v>
      </c>
      <c r="G94" s="78">
        <v>1394.58</v>
      </c>
      <c r="H94" s="77">
        <f t="shared" si="4"/>
        <v>6.436229554159546E-5</v>
      </c>
      <c r="J94" s="16" t="s">
        <v>228</v>
      </c>
      <c r="K94" s="16"/>
      <c r="M94" s="16" t="s">
        <v>250</v>
      </c>
      <c r="N94" s="78">
        <v>-2.64</v>
      </c>
      <c r="O94" s="77">
        <f t="shared" si="5"/>
        <v>-1.4502940553600315E-5</v>
      </c>
    </row>
    <row r="95" spans="2:15" ht="15.75" customHeight="1" x14ac:dyDescent="0.3">
      <c r="B95" s="16" t="s">
        <v>248</v>
      </c>
      <c r="C95" s="78">
        <v>50</v>
      </c>
      <c r="D95" s="77">
        <f t="shared" si="3"/>
        <v>4.0956720987879708E-6</v>
      </c>
      <c r="F95" s="16" t="s">
        <v>200</v>
      </c>
      <c r="G95" s="78">
        <v>1281.99</v>
      </c>
      <c r="H95" s="77">
        <f t="shared" si="4"/>
        <v>5.9166070975756125E-5</v>
      </c>
      <c r="J95" s="16" t="s">
        <v>242</v>
      </c>
      <c r="K95" s="16"/>
      <c r="M95" s="16" t="s">
        <v>249</v>
      </c>
      <c r="N95" s="78">
        <v>-4.7699999999999996</v>
      </c>
      <c r="O95" s="77">
        <f t="shared" si="5"/>
        <v>-2.6204176682073294E-5</v>
      </c>
    </row>
    <row r="96" spans="2:15" ht="15.75" customHeight="1" x14ac:dyDescent="0.3">
      <c r="B96" s="16" t="s">
        <v>235</v>
      </c>
      <c r="C96" s="78">
        <v>32.479999999999997</v>
      </c>
      <c r="D96" s="77">
        <f t="shared" si="3"/>
        <v>2.6605485953726657E-6</v>
      </c>
      <c r="F96" s="16" t="s">
        <v>226</v>
      </c>
      <c r="G96" s="78">
        <v>942.88</v>
      </c>
      <c r="H96" s="77">
        <f t="shared" si="4"/>
        <v>4.3515553944742886E-5</v>
      </c>
      <c r="J96" s="16" t="s">
        <v>194</v>
      </c>
      <c r="K96" s="16"/>
      <c r="M96" s="16" t="s">
        <v>215</v>
      </c>
      <c r="N96" s="78">
        <v>-4.9400000000000004</v>
      </c>
      <c r="O96" s="77">
        <f t="shared" si="5"/>
        <v>-2.7138078157115742E-5</v>
      </c>
    </row>
    <row r="97" spans="2:16" ht="15.75" customHeight="1" x14ac:dyDescent="0.3">
      <c r="B97" s="16" t="s">
        <v>226</v>
      </c>
      <c r="C97" s="78">
        <v>9.44</v>
      </c>
      <c r="D97" s="77">
        <f t="shared" si="3"/>
        <v>7.7326289225116892E-7</v>
      </c>
      <c r="F97" s="16" t="s">
        <v>242</v>
      </c>
      <c r="G97" s="78">
        <v>825.22</v>
      </c>
      <c r="H97" s="77">
        <f t="shared" si="4"/>
        <v>3.8085340049932893E-5</v>
      </c>
      <c r="J97" s="16" t="s">
        <v>230</v>
      </c>
      <c r="K97" s="16"/>
      <c r="M97" s="16" t="s">
        <v>245</v>
      </c>
      <c r="N97" s="78">
        <v>-10.119999999999999</v>
      </c>
      <c r="O97" s="77">
        <f t="shared" si="5"/>
        <v>-5.5594605455467869E-5</v>
      </c>
    </row>
    <row r="98" spans="2:16" ht="15.75" customHeight="1" x14ac:dyDescent="0.3">
      <c r="B98" s="16" t="s">
        <v>243</v>
      </c>
      <c r="C98" s="78">
        <v>1.56</v>
      </c>
      <c r="D98" s="77">
        <f t="shared" si="3"/>
        <v>1.277849694821847E-7</v>
      </c>
      <c r="F98" s="16" t="s">
        <v>238</v>
      </c>
      <c r="G98" s="78">
        <v>564.83000000000004</v>
      </c>
      <c r="H98" s="77">
        <f t="shared" si="4"/>
        <v>2.6067888103055665E-5</v>
      </c>
      <c r="J98" s="16" t="s">
        <v>247</v>
      </c>
      <c r="K98" s="16"/>
      <c r="M98" s="16" t="s">
        <v>248</v>
      </c>
      <c r="N98" s="78">
        <v>-21.87</v>
      </c>
      <c r="O98" s="77">
        <f t="shared" si="5"/>
        <v>-1.2014367799516625E-4</v>
      </c>
    </row>
    <row r="99" spans="2:16" ht="15.75" customHeight="1" x14ac:dyDescent="0.3">
      <c r="B99" s="16" t="s">
        <v>234</v>
      </c>
      <c r="C99" s="78">
        <v>0.24</v>
      </c>
      <c r="D99" s="77">
        <f t="shared" si="3"/>
        <v>1.9659226074182262E-8</v>
      </c>
      <c r="F99" s="16" t="s">
        <v>248</v>
      </c>
      <c r="G99" s="78">
        <v>410.48</v>
      </c>
      <c r="H99" s="77">
        <f t="shared" si="4"/>
        <v>1.8944366815753926E-5</v>
      </c>
      <c r="J99" s="16" t="s">
        <v>251</v>
      </c>
      <c r="K99" s="16"/>
      <c r="M99" s="16" t="s">
        <v>219</v>
      </c>
      <c r="N99" s="78">
        <v>-24.04</v>
      </c>
      <c r="O99" s="77">
        <f t="shared" si="5"/>
        <v>-1.3206465564717863E-4</v>
      </c>
    </row>
    <row r="100" spans="2:16" ht="15.75" customHeight="1" x14ac:dyDescent="0.3">
      <c r="B100" s="16" t="s">
        <v>245</v>
      </c>
      <c r="C100" s="78">
        <v>0</v>
      </c>
      <c r="D100" s="77">
        <f t="shared" si="3"/>
        <v>0</v>
      </c>
      <c r="F100" s="16" t="s">
        <v>249</v>
      </c>
      <c r="G100" s="78">
        <v>352.74</v>
      </c>
      <c r="H100" s="77">
        <f t="shared" si="4"/>
        <v>1.6279565266490545E-5</v>
      </c>
      <c r="J100" s="16" t="s">
        <v>240</v>
      </c>
      <c r="K100" s="16"/>
      <c r="M100" s="16" t="s">
        <v>204</v>
      </c>
      <c r="N100" s="78">
        <v>-74.739999999999995</v>
      </c>
      <c r="O100" s="77">
        <f t="shared" si="5"/>
        <v>-4.1058703673336648E-4</v>
      </c>
    </row>
    <row r="101" spans="2:16" ht="15.75" customHeight="1" x14ac:dyDescent="0.3">
      <c r="B101" s="16" t="s">
        <v>246</v>
      </c>
      <c r="C101" s="78">
        <v>0</v>
      </c>
      <c r="D101" s="77">
        <f t="shared" si="3"/>
        <v>0</v>
      </c>
      <c r="F101" s="16" t="s">
        <v>244</v>
      </c>
      <c r="G101" s="78">
        <v>343.46</v>
      </c>
      <c r="H101" s="77">
        <f t="shared" si="4"/>
        <v>1.5851277106165567E-5</v>
      </c>
      <c r="J101" s="16" t="s">
        <v>214</v>
      </c>
      <c r="K101" s="16"/>
      <c r="M101" s="16" t="s">
        <v>239</v>
      </c>
      <c r="N101" s="78">
        <v>-79.489999999999995</v>
      </c>
      <c r="O101" s="77">
        <f t="shared" si="5"/>
        <v>-4.3668134265367005E-4</v>
      </c>
    </row>
    <row r="102" spans="2:16" ht="15.75" customHeight="1" x14ac:dyDescent="0.3">
      <c r="B102" s="16" t="s">
        <v>249</v>
      </c>
      <c r="C102" s="78">
        <v>0</v>
      </c>
      <c r="D102" s="77">
        <f t="shared" si="3"/>
        <v>0</v>
      </c>
      <c r="F102" s="16" t="s">
        <v>230</v>
      </c>
      <c r="G102" s="78">
        <v>300.45999999999998</v>
      </c>
      <c r="H102" s="77">
        <f t="shared" si="4"/>
        <v>1.3866752225349405E-5</v>
      </c>
      <c r="J102" s="16" t="s">
        <v>239</v>
      </c>
      <c r="K102" s="16"/>
      <c r="M102" s="16" t="s">
        <v>229</v>
      </c>
      <c r="N102" s="78">
        <v>-89.81</v>
      </c>
      <c r="O102" s="77">
        <f t="shared" si="5"/>
        <v>-4.9337465572683501E-4</v>
      </c>
    </row>
    <row r="103" spans="2:16" ht="15.75" customHeight="1" x14ac:dyDescent="0.3">
      <c r="B103" s="16" t="s">
        <v>230</v>
      </c>
      <c r="C103" s="78">
        <v>0</v>
      </c>
      <c r="D103" s="77">
        <f t="shared" si="3"/>
        <v>0</v>
      </c>
      <c r="F103" s="16" t="s">
        <v>245</v>
      </c>
      <c r="G103" s="78">
        <v>296.67</v>
      </c>
      <c r="H103" s="77">
        <f t="shared" si="4"/>
        <v>1.3691837125389097E-5</v>
      </c>
      <c r="J103" s="16" t="s">
        <v>232</v>
      </c>
      <c r="K103" s="16"/>
      <c r="M103" s="16" t="s">
        <v>227</v>
      </c>
      <c r="N103" s="78">
        <v>-93.03</v>
      </c>
      <c r="O103" s="77">
        <f t="shared" si="5"/>
        <v>-5.110638483717566E-4</v>
      </c>
    </row>
    <row r="104" spans="2:16" ht="15.75" customHeight="1" x14ac:dyDescent="0.3">
      <c r="B104" s="16" t="s">
        <v>251</v>
      </c>
      <c r="C104" s="78">
        <v>0</v>
      </c>
      <c r="D104" s="77">
        <f t="shared" si="3"/>
        <v>0</v>
      </c>
      <c r="F104" s="16" t="s">
        <v>250</v>
      </c>
      <c r="G104" s="78">
        <v>267.64999999999998</v>
      </c>
      <c r="H104" s="77">
        <f t="shared" si="4"/>
        <v>1.2352513589545258E-5</v>
      </c>
      <c r="J104" s="16" t="s">
        <v>250</v>
      </c>
      <c r="K104" s="16"/>
      <c r="M104" s="16" t="s">
        <v>233</v>
      </c>
      <c r="N104" s="78">
        <v>-123.2</v>
      </c>
      <c r="O104" s="77">
        <f t="shared" si="5"/>
        <v>-6.7680389250134802E-4</v>
      </c>
    </row>
    <row r="105" spans="2:16" ht="15.75" customHeight="1" x14ac:dyDescent="0.3">
      <c r="B105" s="16" t="s">
        <v>239</v>
      </c>
      <c r="C105" s="78">
        <v>0</v>
      </c>
      <c r="D105" s="77">
        <f t="shared" si="3"/>
        <v>0</v>
      </c>
      <c r="F105" s="16" t="s">
        <v>235</v>
      </c>
      <c r="G105" s="78">
        <v>164.33</v>
      </c>
      <c r="H105" s="77">
        <f t="shared" si="4"/>
        <v>7.5841156666167474E-6</v>
      </c>
      <c r="J105" s="16" t="s">
        <v>216</v>
      </c>
      <c r="K105" s="16"/>
      <c r="M105" s="16" t="s">
        <v>243</v>
      </c>
      <c r="N105" s="78">
        <v>-159.62</v>
      </c>
      <c r="O105" s="77">
        <f t="shared" si="5"/>
        <v>-8.7687854968397053E-4</v>
      </c>
    </row>
    <row r="106" spans="2:16" ht="15.75" customHeight="1" x14ac:dyDescent="0.3">
      <c r="B106" s="16" t="s">
        <v>232</v>
      </c>
      <c r="C106" s="78">
        <v>0</v>
      </c>
      <c r="D106" s="77">
        <f t="shared" si="3"/>
        <v>0</v>
      </c>
      <c r="F106" s="16" t="s">
        <v>251</v>
      </c>
      <c r="G106" s="78">
        <v>63.86</v>
      </c>
      <c r="H106" s="77">
        <f t="shared" si="4"/>
        <v>2.9472502067190744E-6</v>
      </c>
      <c r="J106" s="16" t="s">
        <v>237</v>
      </c>
      <c r="K106" s="16"/>
      <c r="M106" s="16" t="s">
        <v>218</v>
      </c>
      <c r="N106" s="78">
        <v>-414.59</v>
      </c>
      <c r="O106" s="77">
        <f t="shared" si="5"/>
        <v>-2.2775659561049826E-3</v>
      </c>
    </row>
    <row r="108" spans="2:16" ht="15.75" customHeight="1" x14ac:dyDescent="0.3">
      <c r="B108" s="124" t="s">
        <v>156</v>
      </c>
      <c r="C108" s="124">
        <v>12208008.550000001</v>
      </c>
      <c r="D108" s="126">
        <f>C108/$C$108</f>
        <v>1</v>
      </c>
      <c r="F108" s="124" t="s">
        <v>156</v>
      </c>
      <c r="G108" s="125">
        <v>21667654.769999988</v>
      </c>
      <c r="J108" s="124" t="s">
        <v>156</v>
      </c>
      <c r="K108" s="124">
        <v>5.34</v>
      </c>
      <c r="M108" s="124" t="s">
        <v>156</v>
      </c>
      <c r="N108" s="125">
        <v>182032.05</v>
      </c>
      <c r="O108" s="77">
        <f>N108/$N$108</f>
        <v>1</v>
      </c>
    </row>
    <row r="110" spans="2:16" ht="15.75" customHeight="1" x14ac:dyDescent="0.3">
      <c r="B110" s="128" t="s">
        <v>252</v>
      </c>
      <c r="C110" s="122"/>
      <c r="D110" s="122"/>
      <c r="E110" s="122"/>
      <c r="F110" s="122"/>
      <c r="G110" s="122"/>
      <c r="H110" s="122"/>
      <c r="J110" s="128" t="s">
        <v>252</v>
      </c>
      <c r="K110" s="122"/>
      <c r="L110" s="122"/>
      <c r="M110" s="122"/>
      <c r="N110" s="122"/>
      <c r="O110" s="122"/>
      <c r="P110" s="122"/>
    </row>
    <row r="126" spans="3:4" ht="15.75" customHeight="1" x14ac:dyDescent="0.3">
      <c r="C126" s="19"/>
      <c r="D126" s="19"/>
    </row>
    <row r="127" spans="3:4" ht="15.75" customHeight="1" x14ac:dyDescent="0.3">
      <c r="C127" s="57"/>
      <c r="D127" s="57"/>
    </row>
    <row r="128" spans="3:4" ht="15.75" customHeight="1" x14ac:dyDescent="0.3">
      <c r="C128" s="57"/>
      <c r="D128" s="57"/>
    </row>
    <row r="129" spans="3:4" ht="15.75" customHeight="1" x14ac:dyDescent="0.3">
      <c r="C129" s="57"/>
      <c r="D129" s="57"/>
    </row>
    <row r="130" spans="3:4" ht="15.75" customHeight="1" x14ac:dyDescent="0.3">
      <c r="C130" s="57"/>
      <c r="D130" s="57"/>
    </row>
    <row r="131" spans="3:4" ht="15.75" customHeight="1" x14ac:dyDescent="0.3">
      <c r="C131" s="57"/>
      <c r="D131" s="57"/>
    </row>
    <row r="132" spans="3:4" ht="15.75" customHeight="1" x14ac:dyDescent="0.3">
      <c r="C132" s="57"/>
      <c r="D132" s="57"/>
    </row>
    <row r="133" spans="3:4" ht="15.75" customHeight="1" x14ac:dyDescent="0.3">
      <c r="C133" s="57"/>
      <c r="D133" s="57"/>
    </row>
    <row r="134" spans="3:4" ht="15.75" customHeight="1" x14ac:dyDescent="0.3">
      <c r="C134" s="57"/>
      <c r="D134" s="57"/>
    </row>
    <row r="135" spans="3:4" ht="15.75" customHeight="1" x14ac:dyDescent="0.3">
      <c r="C135" s="57"/>
      <c r="D135" s="57"/>
    </row>
  </sheetData>
  <mergeCells count="4">
    <mergeCell ref="B2:H2"/>
    <mergeCell ref="J2:P2"/>
    <mergeCell ref="B110:H110"/>
    <mergeCell ref="J110:P110"/>
  </mergeCells>
  <conditionalFormatting sqref="C5:C9">
    <cfRule type="colorScale" priority="1">
      <colorScale>
        <cfvo type="min"/>
        <cfvo type="max"/>
        <color rgb="FFFFFFFF"/>
        <color rgb="FF57BB8A"/>
      </colorScale>
    </cfRule>
  </conditionalFormatting>
  <conditionalFormatting sqref="C14:C106">
    <cfRule type="colorScale" priority="3">
      <colorScale>
        <cfvo type="min"/>
        <cfvo type="max"/>
        <color rgb="FFFFFFFF"/>
        <color rgb="FF57BB8A"/>
      </colorScale>
    </cfRule>
  </conditionalFormatting>
  <conditionalFormatting sqref="D5:D9">
    <cfRule type="colorScale" priority="2">
      <colorScale>
        <cfvo type="min"/>
        <cfvo type="max"/>
        <color rgb="FFFFFFFF"/>
        <color rgb="FF57BB8A"/>
      </colorScale>
    </cfRule>
  </conditionalFormatting>
  <conditionalFormatting sqref="D14:D106">
    <cfRule type="colorScale" priority="4">
      <colorScale>
        <cfvo type="min"/>
        <cfvo type="max"/>
        <color rgb="FFFFFFFF"/>
        <color rgb="FF57BB8A"/>
      </colorScale>
    </cfRule>
  </conditionalFormatting>
  <conditionalFormatting sqref="G5:G9">
    <cfRule type="colorScale" priority="5">
      <colorScale>
        <cfvo type="min"/>
        <cfvo type="max"/>
        <color rgb="FFFFFFFF"/>
        <color rgb="FF57BB8A"/>
      </colorScale>
    </cfRule>
  </conditionalFormatting>
  <conditionalFormatting sqref="G14:G106">
    <cfRule type="colorScale" priority="6">
      <colorScale>
        <cfvo type="min"/>
        <cfvo type="max"/>
        <color rgb="FFFFFFFF"/>
        <color rgb="FF57BB8A"/>
      </colorScale>
    </cfRule>
  </conditionalFormatting>
  <conditionalFormatting sqref="H5:H9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4:H106">
    <cfRule type="colorScale" priority="7">
      <colorScale>
        <cfvo type="min"/>
        <cfvo type="max"/>
        <color rgb="FFFFFFFF"/>
        <color rgb="FF57BB8A"/>
      </colorScale>
    </cfRule>
  </conditionalFormatting>
  <conditionalFormatting sqref="K6:K9">
    <cfRule type="colorScale" priority="8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K14:K82">
    <cfRule type="colorScale" priority="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N5:N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4:N10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4:O106 O10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110" r:id="rId1" xr:uid="{61923519-9534-44FB-A0AB-D7BF716016BE}"/>
    <hyperlink ref="J110" r:id="rId2" xr:uid="{762B50E1-3341-422A-993D-611A965EC2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SBIN</vt:lpstr>
      <vt:lpstr>BANKING DATA_23</vt:lpstr>
      <vt:lpstr>BANKING IN INDIA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2024-06-06T12:22:30Z</dcterms:created>
  <dcterms:modified xsi:type="dcterms:W3CDTF">2024-06-06T12:23:12Z</dcterms:modified>
</cp:coreProperties>
</file>