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07AE6932-59DF-4497-9A4D-F3D2C66F592D}" xr6:coauthVersionLast="47" xr6:coauthVersionMax="47" xr10:uidLastSave="{00000000-0000-0000-0000-000000000000}"/>
  <bookViews>
    <workbookView xWindow="-108" yWindow="-108" windowWidth="23256" windowHeight="12456" xr2:uid="{11CA2790-4042-460F-B4DD-1F8A647AB194}"/>
  </bookViews>
  <sheets>
    <sheet name="supreme" sheetId="1" r:id="rId1"/>
    <sheet name=" Plastic Products-Industrial" sheetId="2" r:id="rId2"/>
  </sheets>
  <externalReferences>
    <externalReference r:id="rId3"/>
  </externalReferences>
  <definedNames>
    <definedName name="_xlnm._FilterDatabase" localSheetId="1" hidden="1">' Plastic Products-Industrial'!$B$59:$C$70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4" i="2" l="1"/>
  <c r="I224" i="2"/>
  <c r="H224" i="2"/>
  <c r="G224" i="2"/>
  <c r="F224" i="2"/>
  <c r="H223" i="2"/>
  <c r="G223" i="2"/>
  <c r="F223" i="2"/>
  <c r="I222" i="2"/>
  <c r="J221" i="2"/>
  <c r="I221" i="2"/>
  <c r="H221" i="2"/>
  <c r="G221" i="2"/>
  <c r="F221" i="2"/>
  <c r="J220" i="2"/>
  <c r="I220" i="2"/>
  <c r="H220" i="2"/>
  <c r="G220" i="2"/>
  <c r="F220" i="2"/>
  <c r="J219" i="2"/>
  <c r="I219" i="2"/>
  <c r="H219" i="2"/>
  <c r="G219" i="2"/>
  <c r="F219" i="2"/>
  <c r="J218" i="2"/>
  <c r="I218" i="2"/>
  <c r="H218" i="2"/>
  <c r="G218" i="2"/>
  <c r="F218" i="2"/>
  <c r="I217" i="2"/>
  <c r="J216" i="2"/>
  <c r="I216" i="2"/>
  <c r="H216" i="2"/>
  <c r="G216" i="2"/>
  <c r="F216" i="2"/>
  <c r="J215" i="2"/>
  <c r="J227" i="2" s="1"/>
  <c r="I215" i="2"/>
  <c r="I227" i="2" s="1"/>
  <c r="H215" i="2"/>
  <c r="G215" i="2"/>
  <c r="F215" i="2"/>
  <c r="J214" i="2"/>
  <c r="I214" i="2"/>
  <c r="H214" i="2"/>
  <c r="H227" i="2" s="1"/>
  <c r="G214" i="2"/>
  <c r="G227" i="2" s="1"/>
  <c r="F214" i="2"/>
  <c r="F227" i="2" s="1"/>
  <c r="K72" i="2"/>
  <c r="G72" i="2"/>
  <c r="AI52" i="2"/>
  <c r="AG52" i="2"/>
  <c r="AF52" i="2"/>
  <c r="AD52" i="2"/>
  <c r="AC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Z52" i="2" s="1"/>
  <c r="K52" i="2"/>
  <c r="AA52" i="2" s="1"/>
  <c r="J52" i="2"/>
  <c r="AH52" i="2" s="1"/>
  <c r="I52" i="2"/>
  <c r="H52" i="2"/>
  <c r="AB52" i="2" s="1"/>
  <c r="G52" i="2"/>
  <c r="AE52" i="2" s="1"/>
  <c r="F52" i="2"/>
  <c r="E52" i="2"/>
  <c r="Y52" i="2" s="1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D52" i="2" s="1"/>
  <c r="C2" i="2"/>
  <c r="L75" i="1"/>
  <c r="K75" i="1"/>
  <c r="M75" i="1" s="1"/>
  <c r="J75" i="1"/>
  <c r="M73" i="1"/>
  <c r="L73" i="1"/>
  <c r="Q72" i="1"/>
  <c r="P72" i="1"/>
  <c r="S72" i="1" s="1"/>
  <c r="M72" i="1"/>
  <c r="L72" i="1"/>
  <c r="M71" i="1"/>
  <c r="L71" i="1"/>
  <c r="R70" i="1"/>
  <c r="M70" i="1"/>
  <c r="L70" i="1"/>
  <c r="S69" i="1"/>
  <c r="R69" i="1"/>
  <c r="M69" i="1"/>
  <c r="L69" i="1"/>
  <c r="R68" i="1"/>
  <c r="M68" i="1"/>
  <c r="L68" i="1"/>
  <c r="S67" i="1"/>
  <c r="R67" i="1"/>
  <c r="M67" i="1"/>
  <c r="L67" i="1"/>
  <c r="R66" i="1"/>
  <c r="M66" i="1"/>
  <c r="L66" i="1"/>
  <c r="L63" i="1"/>
  <c r="K63" i="1"/>
  <c r="J63" i="1"/>
  <c r="K62" i="1"/>
  <c r="L62" i="1" s="1"/>
  <c r="J62" i="1"/>
  <c r="J61" i="1"/>
  <c r="L60" i="1"/>
  <c r="Q59" i="1"/>
  <c r="P59" i="1"/>
  <c r="R59" i="1" s="1"/>
  <c r="L59" i="1"/>
  <c r="Q58" i="1"/>
  <c r="P58" i="1"/>
  <c r="R58" i="1" s="1"/>
  <c r="R57" i="1"/>
  <c r="J57" i="1"/>
  <c r="J58" i="1" s="1"/>
  <c r="L58" i="1" s="1"/>
  <c r="R56" i="1"/>
  <c r="L56" i="1"/>
  <c r="R55" i="1"/>
  <c r="K55" i="1"/>
  <c r="K57" i="1" s="1"/>
  <c r="K58" i="1" s="1"/>
  <c r="J55" i="1"/>
  <c r="R54" i="1"/>
  <c r="L54" i="1"/>
  <c r="R53" i="1"/>
  <c r="L53" i="1"/>
  <c r="G50" i="1"/>
  <c r="F50" i="1"/>
  <c r="D50" i="1"/>
  <c r="E50" i="1" s="1"/>
  <c r="E46" i="1" s="1"/>
  <c r="C50" i="1"/>
  <c r="P47" i="1"/>
  <c r="M45" i="1"/>
  <c r="O42" i="1"/>
  <c r="K42" i="1"/>
  <c r="J42" i="1"/>
  <c r="H42" i="1"/>
  <c r="G42" i="1"/>
  <c r="F42" i="1"/>
  <c r="E42" i="1"/>
  <c r="D42" i="1"/>
  <c r="C42" i="1"/>
  <c r="O41" i="1"/>
  <c r="K41" i="1"/>
  <c r="J41" i="1"/>
  <c r="H41" i="1"/>
  <c r="G41" i="1"/>
  <c r="F41" i="1"/>
  <c r="E41" i="1"/>
  <c r="D41" i="1"/>
  <c r="C41" i="1"/>
  <c r="O40" i="1"/>
  <c r="K40" i="1"/>
  <c r="J40" i="1"/>
  <c r="H40" i="1"/>
  <c r="G40" i="1"/>
  <c r="F40" i="1"/>
  <c r="E40" i="1"/>
  <c r="D40" i="1"/>
  <c r="D45" i="1" s="1"/>
  <c r="C40" i="1"/>
  <c r="O39" i="1"/>
  <c r="K39" i="1"/>
  <c r="J39" i="1"/>
  <c r="H39" i="1"/>
  <c r="G39" i="1"/>
  <c r="F39" i="1"/>
  <c r="E39" i="1"/>
  <c r="D39" i="1"/>
  <c r="C39" i="1"/>
  <c r="O38" i="1"/>
  <c r="K38" i="1"/>
  <c r="J38" i="1"/>
  <c r="H38" i="1"/>
  <c r="G38" i="1"/>
  <c r="F38" i="1"/>
  <c r="E38" i="1"/>
  <c r="D38" i="1"/>
  <c r="C38" i="1"/>
  <c r="C45" i="1" s="1"/>
  <c r="N35" i="1"/>
  <c r="M35" i="1"/>
  <c r="L35" i="1"/>
  <c r="F35" i="1"/>
  <c r="I35" i="1" s="1"/>
  <c r="D35" i="1"/>
  <c r="C35" i="1"/>
  <c r="M34" i="1"/>
  <c r="M42" i="1" s="1"/>
  <c r="L34" i="1"/>
  <c r="L42" i="1" s="1"/>
  <c r="I34" i="1"/>
  <c r="I42" i="1" s="1"/>
  <c r="M33" i="1"/>
  <c r="L33" i="1"/>
  <c r="I33" i="1"/>
  <c r="M32" i="1"/>
  <c r="L32" i="1"/>
  <c r="I32" i="1"/>
  <c r="M31" i="1"/>
  <c r="L31" i="1"/>
  <c r="I31" i="1"/>
  <c r="M30" i="1"/>
  <c r="L30" i="1"/>
  <c r="I30" i="1"/>
  <c r="M29" i="1"/>
  <c r="M41" i="1" s="1"/>
  <c r="L29" i="1"/>
  <c r="L41" i="1" s="1"/>
  <c r="N41" i="1" s="1"/>
  <c r="I29" i="1"/>
  <c r="I41" i="1" s="1"/>
  <c r="M28" i="1"/>
  <c r="L28" i="1"/>
  <c r="I28" i="1"/>
  <c r="M27" i="1"/>
  <c r="L27" i="1"/>
  <c r="I27" i="1"/>
  <c r="M26" i="1"/>
  <c r="M40" i="1" s="1"/>
  <c r="L26" i="1"/>
  <c r="I26" i="1"/>
  <c r="M25" i="1"/>
  <c r="L25" i="1"/>
  <c r="L40" i="1" s="1"/>
  <c r="I25" i="1"/>
  <c r="M24" i="1"/>
  <c r="L24" i="1"/>
  <c r="I24" i="1"/>
  <c r="I40" i="1" s="1"/>
  <c r="M23" i="1"/>
  <c r="L23" i="1"/>
  <c r="I23" i="1"/>
  <c r="M22" i="1"/>
  <c r="L22" i="1"/>
  <c r="I22" i="1"/>
  <c r="M21" i="1"/>
  <c r="L21" i="1"/>
  <c r="I21" i="1"/>
  <c r="M20" i="1"/>
  <c r="L20" i="1"/>
  <c r="I20" i="1"/>
  <c r="I39" i="1" s="1"/>
  <c r="M19" i="1"/>
  <c r="M39" i="1" s="1"/>
  <c r="L19" i="1"/>
  <c r="L39" i="1" s="1"/>
  <c r="N39" i="1" s="1"/>
  <c r="I19" i="1"/>
  <c r="M18" i="1"/>
  <c r="L18" i="1"/>
  <c r="I18" i="1"/>
  <c r="M17" i="1"/>
  <c r="L17" i="1"/>
  <c r="I17" i="1"/>
  <c r="M16" i="1"/>
  <c r="L16" i="1"/>
  <c r="I16" i="1"/>
  <c r="M15" i="1"/>
  <c r="L15" i="1"/>
  <c r="I15" i="1"/>
  <c r="M14" i="1"/>
  <c r="M38" i="1" s="1"/>
  <c r="L14" i="1"/>
  <c r="L38" i="1" s="1"/>
  <c r="N38" i="1" s="1"/>
  <c r="I14" i="1"/>
  <c r="I38" i="1" s="1"/>
  <c r="G45" i="1" s="1"/>
  <c r="M13" i="1"/>
  <c r="L13" i="1"/>
  <c r="I13" i="1"/>
  <c r="M12" i="1"/>
  <c r="L12" i="1"/>
  <c r="I12" i="1"/>
  <c r="M11" i="1"/>
  <c r="L11" i="1"/>
  <c r="I11" i="1"/>
  <c r="L8" i="1"/>
  <c r="H8" i="1"/>
  <c r="E8" i="1"/>
  <c r="D8" i="1"/>
  <c r="B8" i="1"/>
  <c r="W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V4" i="1"/>
  <c r="H4" i="1"/>
  <c r="G4" i="1"/>
  <c r="F4" i="1"/>
  <c r="E4" i="1"/>
  <c r="V3" i="1"/>
  <c r="V5" i="1" s="1"/>
  <c r="H3" i="1"/>
  <c r="G3" i="1"/>
  <c r="F8" i="1" s="1"/>
  <c r="F3" i="1"/>
  <c r="F5" i="1" s="1"/>
  <c r="E3" i="1"/>
  <c r="E5" i="1" s="1"/>
  <c r="D3" i="1"/>
  <c r="C3" i="1"/>
  <c r="J8" i="1" s="1"/>
  <c r="D4" i="1" l="1"/>
  <c r="D5" i="1" s="1"/>
  <c r="M8" i="1"/>
  <c r="K8" i="1"/>
  <c r="N40" i="1"/>
  <c r="N43" i="1" s="1"/>
  <c r="N42" i="1"/>
  <c r="C51" i="1"/>
  <c r="C52" i="1" s="1"/>
  <c r="D51" i="1"/>
  <c r="E51" i="1" s="1"/>
  <c r="L61" i="1"/>
  <c r="G5" i="1"/>
  <c r="L57" i="1"/>
  <c r="R72" i="1"/>
  <c r="S66" i="1"/>
  <c r="S68" i="1"/>
  <c r="S70" i="1"/>
  <c r="L55" i="1"/>
  <c r="Q47" i="1"/>
  <c r="C5" i="1"/>
  <c r="R47" i="1"/>
  <c r="S45" i="1" s="1"/>
  <c r="I8" i="1"/>
  <c r="K61" i="1"/>
  <c r="D52" i="1" l="1"/>
  <c r="F51" i="1"/>
  <c r="E52" i="1"/>
  <c r="G51" i="1" l="1"/>
  <c r="F52" i="1"/>
  <c r="G52" i="1" s="1"/>
</calcChain>
</file>

<file path=xl/sharedStrings.xml><?xml version="1.0" encoding="utf-8"?>
<sst xmlns="http://schemas.openxmlformats.org/spreadsheetml/2006/main" count="544" uniqueCount="241">
  <si>
    <t>MARKET</t>
  </si>
  <si>
    <t>INCOME</t>
  </si>
  <si>
    <t>BAL.SHEEET</t>
  </si>
  <si>
    <t>INFO</t>
  </si>
  <si>
    <t>Company</t>
  </si>
  <si>
    <t>Price</t>
  </si>
  <si>
    <t>MARKETCAP</t>
  </si>
  <si>
    <t>VOLUME</t>
  </si>
  <si>
    <t>SALES</t>
  </si>
  <si>
    <t>PROFIT</t>
  </si>
  <si>
    <t>EPS</t>
  </si>
  <si>
    <t>EQUITY</t>
  </si>
  <si>
    <t>RESERVE</t>
  </si>
  <si>
    <t>FV</t>
  </si>
  <si>
    <t>DEBT</t>
  </si>
  <si>
    <t>LEASE</t>
  </si>
  <si>
    <t>C.ASSETS</t>
  </si>
  <si>
    <t>C.LIABILITY</t>
  </si>
  <si>
    <t>TRADE.REC</t>
  </si>
  <si>
    <t>ASSETS</t>
  </si>
  <si>
    <t>LIABILITIES</t>
  </si>
  <si>
    <t>CFO</t>
  </si>
  <si>
    <t>CFI</t>
  </si>
  <si>
    <t>CFF</t>
  </si>
  <si>
    <t>NETCASHFLOW</t>
  </si>
  <si>
    <t>PPE</t>
  </si>
  <si>
    <t>Supremeind</t>
  </si>
  <si>
    <t>LAST YEAR</t>
  </si>
  <si>
    <t>GROWTH</t>
  </si>
  <si>
    <t>RATIO</t>
  </si>
  <si>
    <t>PROF MARGIN</t>
  </si>
  <si>
    <t>ICR</t>
  </si>
  <si>
    <t>D2E</t>
  </si>
  <si>
    <t>ROE</t>
  </si>
  <si>
    <t>ROA</t>
  </si>
  <si>
    <t>CUR.RATIO</t>
  </si>
  <si>
    <t>TRADECYCLE</t>
  </si>
  <si>
    <t>PE</t>
  </si>
  <si>
    <t>YIELD</t>
  </si>
  <si>
    <t>BOOKVALUE</t>
  </si>
  <si>
    <t>PBV</t>
  </si>
  <si>
    <t>ActualData</t>
  </si>
  <si>
    <t>Year</t>
  </si>
  <si>
    <t>VOLUMES MT</t>
  </si>
  <si>
    <t>Revenue</t>
  </si>
  <si>
    <t>Interest</t>
  </si>
  <si>
    <t>Net Profit</t>
  </si>
  <si>
    <t>Equity</t>
  </si>
  <si>
    <t>NPM %</t>
  </si>
  <si>
    <t>HIGH_PRICE</t>
  </si>
  <si>
    <t>LOW_PRICE</t>
  </si>
  <si>
    <t>HIGH P/E</t>
  </si>
  <si>
    <t>LOW P/E</t>
  </si>
  <si>
    <t>FY_2001</t>
  </si>
  <si>
    <t>FY_2002</t>
  </si>
  <si>
    <t>FY_2003</t>
  </si>
  <si>
    <t>FY_2004</t>
  </si>
  <si>
    <t>FY_2005</t>
  </si>
  <si>
    <t>FY_2006</t>
  </si>
  <si>
    <t>BONUS 1:1</t>
  </si>
  <si>
    <t>FY_2007</t>
  </si>
  <si>
    <t>FY_2008</t>
  </si>
  <si>
    <t>FY_2009</t>
  </si>
  <si>
    <t>FY_2010</t>
  </si>
  <si>
    <t>SPLIT 10:2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</si>
  <si>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</si>
  <si>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</si>
  <si>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</si>
  <si>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</si>
  <si>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</si>
  <si>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</si>
  <si>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</si>
  <si>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</si>
  <si>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</si>
  <si>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</si>
  <si>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</si>
  <si>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</si>
  <si>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</si>
  <si>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</si>
  <si>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TRAIL_FY25</t>
  </si>
  <si>
    <t>Growth</t>
  </si>
  <si>
    <t>HIGH</t>
  </si>
  <si>
    <t>LOW</t>
  </si>
  <si>
    <t>FAIRPE</t>
  </si>
  <si>
    <t>20 Year CAGR</t>
  </si>
  <si>
    <t>15 Year CAGR</t>
  </si>
  <si>
    <t>10 Year CAGR</t>
  </si>
  <si>
    <t>5Year Growth</t>
  </si>
  <si>
    <t>CY Growth</t>
  </si>
  <si>
    <t>EstimateGr</t>
  </si>
  <si>
    <t>MARGIN</t>
  </si>
  <si>
    <t>Q3</t>
  </si>
  <si>
    <t>Q4</t>
  </si>
  <si>
    <t>Q1_FY25</t>
  </si>
  <si>
    <t>Q2_FY25</t>
  </si>
  <si>
    <t>TRAIL_EPS</t>
  </si>
  <si>
    <t>EPS_24</t>
  </si>
  <si>
    <t>F_EPS_25</t>
  </si>
  <si>
    <t>F_PEG</t>
  </si>
  <si>
    <t>Long Term</t>
  </si>
  <si>
    <t>C Year</t>
  </si>
  <si>
    <t>PE_24</t>
  </si>
  <si>
    <t>TRAIL_PE</t>
  </si>
  <si>
    <t>F_PE_24</t>
  </si>
  <si>
    <t>CURRENT TREND</t>
  </si>
  <si>
    <t>9M_FY_24</t>
  </si>
  <si>
    <t>FY_24</t>
  </si>
  <si>
    <t>H1_FY25</t>
  </si>
  <si>
    <t>EST_FY25</t>
  </si>
  <si>
    <t>Estimate</t>
  </si>
  <si>
    <t>FairValue</t>
  </si>
  <si>
    <t>FY_2025</t>
  </si>
  <si>
    <t>FY_2030</t>
  </si>
  <si>
    <t>FY_2035</t>
  </si>
  <si>
    <t>RESULTS</t>
  </si>
  <si>
    <t>H1_FY24</t>
  </si>
  <si>
    <t>Q2_FY24</t>
  </si>
  <si>
    <t>Q1_FY24</t>
  </si>
  <si>
    <t>Sales</t>
  </si>
  <si>
    <t>Cost</t>
  </si>
  <si>
    <t>EBITDA</t>
  </si>
  <si>
    <t>Finance</t>
  </si>
  <si>
    <t>Profit</t>
  </si>
  <si>
    <t>EBTDA</t>
  </si>
  <si>
    <t>PBT</t>
  </si>
  <si>
    <t>Margin</t>
  </si>
  <si>
    <t>EIBTDA%</t>
  </si>
  <si>
    <t>MarjoCost</t>
  </si>
  <si>
    <t>Share</t>
  </si>
  <si>
    <t>SEGMENT_SALES</t>
  </si>
  <si>
    <t>Material</t>
  </si>
  <si>
    <t>PLASTICPIPING</t>
  </si>
  <si>
    <t>stockintrade</t>
  </si>
  <si>
    <t>INDUSTRIAL PRODCUTS</t>
  </si>
  <si>
    <t>Inventory</t>
  </si>
  <si>
    <t>PACKAGING</t>
  </si>
  <si>
    <t>Employee</t>
  </si>
  <si>
    <t>CONSUMER PRODUCTS</t>
  </si>
  <si>
    <t>OTHERS</t>
  </si>
  <si>
    <t>D&amp;A</t>
  </si>
  <si>
    <t>POwer&amp;Fuel</t>
  </si>
  <si>
    <t>Net</t>
  </si>
  <si>
    <t>Others</t>
  </si>
  <si>
    <t>Security Code</t>
  </si>
  <si>
    <t>Security Name</t>
  </si>
  <si>
    <t>price</t>
  </si>
  <si>
    <t>market cap</t>
  </si>
  <si>
    <t>CUR ASSET</t>
  </si>
  <si>
    <t>CUR LIABILITY</t>
  </si>
  <si>
    <t>TOT. ASSET</t>
  </si>
  <si>
    <t>TOT. LIABILITY</t>
  </si>
  <si>
    <t>TOT. EQUITY</t>
  </si>
  <si>
    <t>BORROWING</t>
  </si>
  <si>
    <t xml:space="preserve">TRADE REC. </t>
  </si>
  <si>
    <t>NPA in % (For banks only)</t>
  </si>
  <si>
    <t>Companies weightage</t>
  </si>
  <si>
    <t>SALES_18</t>
  </si>
  <si>
    <t>SALES_23</t>
  </si>
  <si>
    <t>PROFIT_23</t>
  </si>
  <si>
    <t>FINANCE</t>
  </si>
  <si>
    <t>EXPENSE</t>
  </si>
  <si>
    <t>SALES_5Y_GR</t>
  </si>
  <si>
    <t>CUR. RATIO</t>
  </si>
  <si>
    <t>TR.DAYS</t>
  </si>
  <si>
    <t>DEBT2EQUITY</t>
  </si>
  <si>
    <t>DEBTRATIO</t>
  </si>
  <si>
    <t>ROPE</t>
  </si>
  <si>
    <t>SUPREMEIND</t>
  </si>
  <si>
    <t>ASTRAL</t>
  </si>
  <si>
    <t>FINOLEXIND</t>
  </si>
  <si>
    <t>PRINCEPIPE</t>
  </si>
  <si>
    <t>JAICORPLTD</t>
  </si>
  <si>
    <t>JISLJALEQS</t>
  </si>
  <si>
    <t>TIMETECHNO</t>
  </si>
  <si>
    <t>GRWRHITECH</t>
  </si>
  <si>
    <t>APOLLOPIPES</t>
  </si>
  <si>
    <t>KINGFA</t>
  </si>
  <si>
    <t>SHAILY</t>
  </si>
  <si>
    <t>KRITIIND</t>
  </si>
  <si>
    <t>INTELLCAP</t>
  </si>
  <si>
    <t>SHISHIND</t>
  </si>
  <si>
    <t>DHABRIYA</t>
  </si>
  <si>
    <t>PREMIERPOL</t>
  </si>
  <si>
    <t>KAKA</t>
  </si>
  <si>
    <t>CAPRIHANS</t>
  </si>
  <si>
    <t>CPL</t>
  </si>
  <si>
    <t>TEXMOPIPES</t>
  </si>
  <si>
    <t>NATPLASTI</t>
  </si>
  <si>
    <t>GMPL</t>
  </si>
  <si>
    <t>SPL</t>
  </si>
  <si>
    <t>HINDADH</t>
  </si>
  <si>
    <t>TAINWALCHM</t>
  </si>
  <si>
    <t>RUNGTAIR</t>
  </si>
  <si>
    <t>ECOPLAST</t>
  </si>
  <si>
    <t>DUTRON</t>
  </si>
  <si>
    <t>BRIGHTBR</t>
  </si>
  <si>
    <t>SINTEXPLAST</t>
  </si>
  <si>
    <t>CANDOUR</t>
  </si>
  <si>
    <t>AIKPIPES</t>
  </si>
  <si>
    <t>NATPLAS</t>
  </si>
  <si>
    <t>AXELPOLY</t>
  </si>
  <si>
    <t>SRIKPRIND</t>
  </si>
  <si>
    <t>DUROPACK</t>
  </si>
  <si>
    <t>KISAN</t>
  </si>
  <si>
    <t>TEXELIN</t>
  </si>
  <si>
    <t>KUNSTOFF</t>
  </si>
  <si>
    <t>ALFAICA</t>
  </si>
  <si>
    <t>COMMAND</t>
  </si>
  <si>
    <t>POLYMAC</t>
  </si>
  <si>
    <t>TIJARIA</t>
  </si>
  <si>
    <t>PADALPO</t>
  </si>
  <si>
    <t>STURDY</t>
  </si>
  <si>
    <t>BLOOM</t>
  </si>
  <si>
    <t>INNOCORP</t>
  </si>
  <si>
    <t>AMERISE</t>
  </si>
  <si>
    <t>INDUSTRY</t>
  </si>
  <si>
    <t>TOTAL</t>
  </si>
  <si>
    <t>MARKETSHARE</t>
  </si>
  <si>
    <t>COMPETITVE MARKET SHARE</t>
  </si>
  <si>
    <t>Marketcap</t>
  </si>
  <si>
    <t>Sales H1_FY_25</t>
  </si>
  <si>
    <t>SALES_GR_H1_FY25</t>
  </si>
  <si>
    <t>Margin_H1_25</t>
  </si>
  <si>
    <t>PROFIT_GR_H1_FY25</t>
  </si>
  <si>
    <t>D2E RATIO</t>
  </si>
  <si>
    <t>LIQUIDITY</t>
  </si>
  <si>
    <t>MEDIAN</t>
  </si>
  <si>
    <t>SOLVENCY</t>
  </si>
  <si>
    <t>PROFITABILITY</t>
  </si>
  <si>
    <t>WEALTH</t>
  </si>
  <si>
    <t>PRICE_2023</t>
  </si>
  <si>
    <t>PRICE_2013</t>
  </si>
  <si>
    <t>PRICE_2003</t>
  </si>
  <si>
    <t>10Y CAGR</t>
  </si>
  <si>
    <t>20Y CAGR</t>
  </si>
  <si>
    <t>20 Y X TIMES</t>
  </si>
  <si>
    <t>DIVIDEND %</t>
  </si>
  <si>
    <t>20 Y DIV YIELD</t>
  </si>
  <si>
    <t>9.5^7</t>
  </si>
  <si>
    <t>100^7</t>
  </si>
  <si>
    <t>7.5^9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</si>
</sst>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0.0"/>
    <numFmt numFmtId="166" formatCode="#,##0.0"/>
    <numFmt numFmtId="167" formatCode="[$₹]#,##0"/>
  </numFmts>
  <fonts count="1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Calibri"/>
      <scheme val="minor"/>
    </font>
    <font>
      <sz val="11"/>
      <color theme="1"/>
      <name val="Calibri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30"/>
      <color theme="1"/>
      <name val="Calibri"/>
      <scheme val="minor"/>
    </font>
    <font>
      <b/>
      <i/>
      <sz val="11"/>
      <color theme="1"/>
      <name val="Calibri"/>
      <scheme val="minor"/>
    </font>
    <font>
      <b/>
      <i/>
      <u/>
      <sz val="11"/>
      <color theme="1"/>
      <name val="Calibri"/>
      <scheme val="minor"/>
    </font>
    <font>
      <sz val="11"/>
      <color rgb="FFFFFFFF"/>
      <name val="Arial"/>
    </font>
    <font>
      <sz val="11"/>
      <color rgb="FF000000"/>
      <name val="Calibri"/>
    </font>
    <font>
      <sz val="11"/>
      <color theme="1"/>
      <name val="Arial"/>
    </font>
    <font>
      <b/>
      <i/>
      <u/>
      <sz val="11"/>
      <color theme="1"/>
      <name val="Arial"/>
    </font>
    <font>
      <b/>
      <sz val="11"/>
      <color rgb="FFFFFFFF"/>
      <name val="Comic Sans MS"/>
    </font>
    <font>
      <sz val="11"/>
      <color rgb="FFFFFFFF"/>
      <name val="Comic Sans MS"/>
    </font>
    <font>
      <b/>
      <sz val="11"/>
      <color theme="1"/>
      <name val="Arial"/>
    </font>
    <font>
      <b/>
      <u/>
      <sz val="11"/>
      <color theme="1"/>
      <name val="Arial"/>
    </font>
  </fonts>
  <fills count="25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073763"/>
        <bgColor rgb="FF073763"/>
      </patternFill>
    </fill>
    <fill>
      <patternFill patternType="solid">
        <fgColor rgb="FF57BB8A"/>
        <bgColor rgb="FF57BB8A"/>
      </patternFill>
    </fill>
    <fill>
      <patternFill patternType="solid">
        <fgColor rgb="FFFDF5F5"/>
        <bgColor rgb="FFFDF5F5"/>
      </patternFill>
    </fill>
    <fill>
      <patternFill patternType="solid">
        <fgColor rgb="FFFEFEFE"/>
        <bgColor rgb="FFFEFEFE"/>
      </patternFill>
    </fill>
    <fill>
      <patternFill patternType="solid">
        <fgColor rgb="FF86CEAB"/>
        <bgColor rgb="FF86CEAB"/>
      </patternFill>
    </fill>
    <fill>
      <patternFill patternType="solid">
        <fgColor rgb="FFFCF4F3"/>
        <bgColor rgb="FFFCF4F3"/>
      </patternFill>
    </fill>
    <fill>
      <patternFill patternType="solid">
        <fgColor rgb="FFFEFCFC"/>
        <bgColor rgb="FFFEFCFC"/>
      </patternFill>
    </fill>
    <fill>
      <patternFill patternType="solid">
        <fgColor rgb="FFF3FAF7"/>
        <bgColor rgb="FFF3FAF7"/>
      </patternFill>
    </fill>
    <fill>
      <patternFill patternType="solid">
        <fgColor rgb="FFFAE7E5"/>
        <bgColor rgb="FFFAE7E5"/>
      </patternFill>
    </fill>
    <fill>
      <patternFill patternType="solid">
        <fgColor rgb="FFFDF9F8"/>
        <bgColor rgb="FFFDF9F8"/>
      </patternFill>
    </fill>
    <fill>
      <patternFill patternType="solid">
        <fgColor rgb="FFF6D3D0"/>
        <bgColor rgb="FFF6D3D0"/>
      </patternFill>
    </fill>
    <fill>
      <patternFill patternType="solid">
        <fgColor rgb="FFF0B0AB"/>
        <bgColor rgb="FFF0B0AB"/>
      </patternFill>
    </fill>
    <fill>
      <patternFill patternType="solid">
        <fgColor rgb="FFE67C73"/>
        <bgColor rgb="FFE67C73"/>
      </patternFill>
    </fill>
    <fill>
      <patternFill patternType="solid">
        <fgColor rgb="FFB7E2CD"/>
        <bgColor rgb="FFB7E2CD"/>
      </patternFill>
    </fill>
    <fill>
      <patternFill patternType="solid">
        <fgColor rgb="FFFBECEB"/>
        <bgColor rgb="FFFBECEB"/>
      </patternFill>
    </fill>
    <fill>
      <patternFill patternType="solid">
        <fgColor rgb="FFF9FDFB"/>
        <bgColor rgb="FFF9FDFB"/>
      </patternFill>
    </fill>
    <fill>
      <patternFill patternType="solid">
        <fgColor rgb="FFB8E2CE"/>
        <bgColor rgb="FFB8E2CE"/>
      </patternFill>
    </fill>
    <fill>
      <patternFill patternType="solid">
        <fgColor rgb="FFEA968E"/>
        <bgColor rgb="FFEA968E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1" fontId="3" fillId="0" borderId="1" xfId="0" applyNumberFormat="1" applyFont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0" fontId="4" fillId="3" borderId="1" xfId="0" applyNumberFormat="1" applyFont="1" applyFill="1" applyBorder="1"/>
    <xf numFmtId="9" fontId="4" fillId="3" borderId="1" xfId="0" applyNumberFormat="1" applyFont="1" applyFill="1" applyBorder="1"/>
    <xf numFmtId="0" fontId="5" fillId="0" borderId="2" xfId="0" applyFont="1" applyBorder="1"/>
    <xf numFmtId="10" fontId="1" fillId="0" borderId="0" xfId="0" applyNumberFormat="1" applyFont="1"/>
    <xf numFmtId="0" fontId="1" fillId="0" borderId="0" xfId="0" applyFont="1"/>
    <xf numFmtId="9" fontId="1" fillId="0" borderId="1" xfId="0" applyNumberFormat="1" applyFont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6" fillId="2" borderId="1" xfId="0" applyFont="1" applyFill="1" applyBorder="1"/>
    <xf numFmtId="1" fontId="1" fillId="0" borderId="0" xfId="0" applyNumberFormat="1" applyFont="1"/>
    <xf numFmtId="0" fontId="4" fillId="0" borderId="1" xfId="0" applyFont="1" applyBorder="1"/>
    <xf numFmtId="9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4" fillId="0" borderId="0" xfId="0" applyFont="1"/>
    <xf numFmtId="4" fontId="4" fillId="0" borderId="0" xfId="0" applyNumberFormat="1" applyFont="1"/>
    <xf numFmtId="165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9" fontId="1" fillId="4" borderId="1" xfId="0" applyNumberFormat="1" applyFont="1" applyFill="1" applyBorder="1"/>
    <xf numFmtId="164" fontId="1" fillId="4" borderId="1" xfId="0" applyNumberFormat="1" applyFont="1" applyFill="1" applyBorder="1"/>
    <xf numFmtId="166" fontId="1" fillId="0" borderId="1" xfId="0" applyNumberFormat="1" applyFont="1" applyBorder="1"/>
    <xf numFmtId="4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165" fontId="7" fillId="4" borderId="0" xfId="0" applyNumberFormat="1" applyFont="1" applyFill="1" applyAlignment="1">
      <alignment horizontal="center" vertical="center"/>
    </xf>
    <xf numFmtId="0" fontId="0" fillId="0" borderId="0" xfId="0"/>
    <xf numFmtId="9" fontId="1" fillId="0" borderId="0" xfId="0" applyNumberFormat="1" applyFont="1"/>
    <xf numFmtId="9" fontId="1" fillId="5" borderId="1" xfId="0" applyNumberFormat="1" applyFont="1" applyFill="1" applyBorder="1"/>
    <xf numFmtId="0" fontId="1" fillId="5" borderId="1" xfId="0" applyFont="1" applyFill="1" applyBorder="1"/>
    <xf numFmtId="3" fontId="1" fillId="6" borderId="1" xfId="0" applyNumberFormat="1" applyFont="1" applyFill="1" applyBorder="1"/>
    <xf numFmtId="1" fontId="1" fillId="6" borderId="1" xfId="0" applyNumberFormat="1" applyFont="1" applyFill="1" applyBorder="1"/>
    <xf numFmtId="3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4" fontId="1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/>
    <xf numFmtId="9" fontId="8" fillId="0" borderId="1" xfId="0" applyNumberFormat="1" applyFont="1" applyBorder="1"/>
    <xf numFmtId="0" fontId="9" fillId="0" borderId="1" xfId="0" applyFont="1" applyBorder="1"/>
    <xf numFmtId="3" fontId="9" fillId="0" borderId="1" xfId="0" applyNumberFormat="1" applyFont="1" applyBorder="1"/>
    <xf numFmtId="9" fontId="9" fillId="0" borderId="1" xfId="0" applyNumberFormat="1" applyFont="1" applyBorder="1"/>
    <xf numFmtId="167" fontId="10" fillId="7" borderId="1" xfId="0" applyNumberFormat="1" applyFont="1" applyFill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1" fontId="12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13" fillId="3" borderId="1" xfId="0" applyFont="1" applyFill="1" applyBorder="1"/>
    <xf numFmtId="0" fontId="13" fillId="3" borderId="3" xfId="0" applyFont="1" applyFill="1" applyBorder="1"/>
    <xf numFmtId="1" fontId="13" fillId="3" borderId="0" xfId="0" applyNumberFormat="1" applyFont="1" applyFill="1"/>
    <xf numFmtId="9" fontId="12" fillId="0" borderId="4" xfId="0" applyNumberFormat="1" applyFont="1" applyBorder="1" applyAlignment="1">
      <alignment horizontal="right"/>
    </xf>
    <xf numFmtId="164" fontId="13" fillId="3" borderId="0" xfId="0" applyNumberFormat="1" applyFont="1" applyFill="1"/>
    <xf numFmtId="165" fontId="13" fillId="3" borderId="4" xfId="0" applyNumberFormat="1" applyFont="1" applyFill="1" applyBorder="1" applyAlignment="1">
      <alignment horizontal="right"/>
    </xf>
    <xf numFmtId="1" fontId="13" fillId="3" borderId="4" xfId="0" applyNumberFormat="1" applyFont="1" applyFill="1" applyBorder="1" applyAlignment="1">
      <alignment horizontal="right"/>
    </xf>
    <xf numFmtId="2" fontId="13" fillId="3" borderId="4" xfId="0" applyNumberFormat="1" applyFont="1" applyFill="1" applyBorder="1" applyAlignment="1">
      <alignment horizontal="right"/>
    </xf>
    <xf numFmtId="164" fontId="13" fillId="3" borderId="4" xfId="0" applyNumberFormat="1" applyFont="1" applyFill="1" applyBorder="1" applyAlignment="1">
      <alignment horizontal="right"/>
    </xf>
    <xf numFmtId="166" fontId="13" fillId="3" borderId="4" xfId="0" applyNumberFormat="1" applyFont="1" applyFill="1" applyBorder="1" applyAlignment="1">
      <alignment horizontal="right"/>
    </xf>
    <xf numFmtId="0" fontId="10" fillId="7" borderId="0" xfId="0" applyFont="1" applyFill="1"/>
    <xf numFmtId="0" fontId="12" fillId="0" borderId="0" xfId="0" applyFont="1"/>
    <xf numFmtId="167" fontId="10" fillId="7" borderId="0" xfId="0" applyNumberFormat="1" applyFont="1" applyFill="1"/>
    <xf numFmtId="0" fontId="10" fillId="7" borderId="1" xfId="0" applyFont="1" applyFill="1" applyBorder="1"/>
    <xf numFmtId="0" fontId="14" fillId="7" borderId="1" xfId="0" applyFont="1" applyFill="1" applyBorder="1"/>
    <xf numFmtId="1" fontId="15" fillId="7" borderId="1" xfId="0" applyNumberFormat="1" applyFont="1" applyFill="1" applyBorder="1"/>
    <xf numFmtId="167" fontId="12" fillId="5" borderId="1" xfId="0" applyNumberFormat="1" applyFont="1" applyFill="1" applyBorder="1"/>
    <xf numFmtId="1" fontId="12" fillId="5" borderId="1" xfId="0" applyNumberFormat="1" applyFont="1" applyFill="1" applyBorder="1" applyAlignment="1">
      <alignment horizontal="right"/>
    </xf>
    <xf numFmtId="167" fontId="12" fillId="0" borderId="1" xfId="0" applyNumberFormat="1" applyFont="1" applyBorder="1"/>
    <xf numFmtId="167" fontId="12" fillId="8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9" fontId="12" fillId="0" borderId="1" xfId="0" applyNumberFormat="1" applyFont="1" applyBorder="1" applyAlignment="1">
      <alignment horizontal="right"/>
    </xf>
    <xf numFmtId="164" fontId="12" fillId="9" borderId="1" xfId="0" applyNumberFormat="1" applyFont="1" applyFill="1" applyBorder="1" applyAlignment="1">
      <alignment horizontal="right"/>
    </xf>
    <xf numFmtId="164" fontId="12" fillId="10" borderId="1" xfId="0" applyNumberFormat="1" applyFont="1" applyFill="1" applyBorder="1" applyAlignment="1">
      <alignment horizontal="right"/>
    </xf>
    <xf numFmtId="167" fontId="12" fillId="11" borderId="1" xfId="0" applyNumberFormat="1" applyFont="1" applyFill="1" applyBorder="1" applyAlignment="1">
      <alignment horizontal="right"/>
    </xf>
    <xf numFmtId="164" fontId="12" fillId="12" borderId="1" xfId="0" applyNumberFormat="1" applyFont="1" applyFill="1" applyBorder="1" applyAlignment="1">
      <alignment horizontal="right"/>
    </xf>
    <xf numFmtId="164" fontId="12" fillId="13" borderId="1" xfId="0" applyNumberFormat="1" applyFont="1" applyFill="1" applyBorder="1" applyAlignment="1">
      <alignment horizontal="right"/>
    </xf>
    <xf numFmtId="167" fontId="12" fillId="14" borderId="1" xfId="0" applyNumberFormat="1" applyFont="1" applyFill="1" applyBorder="1" applyAlignment="1">
      <alignment horizontal="right"/>
    </xf>
    <xf numFmtId="164" fontId="12" fillId="15" borderId="1" xfId="0" applyNumberFormat="1" applyFont="1" applyFill="1" applyBorder="1" applyAlignment="1">
      <alignment horizontal="right"/>
    </xf>
    <xf numFmtId="164" fontId="12" fillId="16" borderId="1" xfId="0" applyNumberFormat="1" applyFont="1" applyFill="1" applyBorder="1" applyAlignment="1">
      <alignment horizontal="right"/>
    </xf>
    <xf numFmtId="167" fontId="12" fillId="17" borderId="1" xfId="0" applyNumberFormat="1" applyFont="1" applyFill="1" applyBorder="1" applyAlignment="1">
      <alignment horizontal="right"/>
    </xf>
    <xf numFmtId="1" fontId="12" fillId="5" borderId="1" xfId="0" applyNumberFormat="1" applyFont="1" applyFill="1" applyBorder="1"/>
    <xf numFmtId="167" fontId="12" fillId="18" borderId="1" xfId="0" applyNumberFormat="1" applyFont="1" applyFill="1" applyBorder="1" applyAlignment="1">
      <alignment horizontal="right"/>
    </xf>
    <xf numFmtId="9" fontId="12" fillId="0" borderId="1" xfId="0" applyNumberFormat="1" applyFont="1" applyBorder="1"/>
    <xf numFmtId="167" fontId="12" fillId="19" borderId="1" xfId="0" applyNumberFormat="1" applyFont="1" applyFill="1" applyBorder="1" applyAlignment="1">
      <alignment horizontal="right"/>
    </xf>
    <xf numFmtId="0" fontId="12" fillId="5" borderId="1" xfId="0" applyFont="1" applyFill="1" applyBorder="1"/>
    <xf numFmtId="0" fontId="16" fillId="0" borderId="0" xfId="0" applyFont="1"/>
    <xf numFmtId="167" fontId="16" fillId="0" borderId="0" xfId="0" applyNumberFormat="1" applyFont="1"/>
    <xf numFmtId="0" fontId="17" fillId="0" borderId="0" xfId="0" applyFont="1"/>
    <xf numFmtId="9" fontId="16" fillId="0" borderId="0" xfId="0" applyNumberFormat="1" applyFont="1"/>
    <xf numFmtId="0" fontId="13" fillId="3" borderId="0" xfId="0" applyFont="1" applyFill="1"/>
    <xf numFmtId="1" fontId="12" fillId="0" borderId="0" xfId="0" applyNumberFormat="1" applyFont="1"/>
    <xf numFmtId="9" fontId="12" fillId="20" borderId="1" xfId="0" applyNumberFormat="1" applyFont="1" applyFill="1" applyBorder="1" applyAlignment="1">
      <alignment horizontal="right"/>
    </xf>
    <xf numFmtId="165" fontId="12" fillId="0" borderId="1" xfId="0" applyNumberFormat="1" applyFont="1" applyBorder="1"/>
    <xf numFmtId="9" fontId="12" fillId="13" borderId="1" xfId="0" applyNumberFormat="1" applyFont="1" applyFill="1" applyBorder="1" applyAlignment="1">
      <alignment horizontal="right"/>
    </xf>
    <xf numFmtId="9" fontId="12" fillId="21" borderId="1" xfId="0" applyNumberFormat="1" applyFont="1" applyFill="1" applyBorder="1" applyAlignment="1">
      <alignment horizontal="right"/>
    </xf>
    <xf numFmtId="9" fontId="12" fillId="22" borderId="1" xfId="0" applyNumberFormat="1" applyFont="1" applyFill="1" applyBorder="1" applyAlignment="1">
      <alignment horizontal="right"/>
    </xf>
    <xf numFmtId="9" fontId="12" fillId="23" borderId="1" xfId="0" applyNumberFormat="1" applyFont="1" applyFill="1" applyBorder="1" applyAlignment="1">
      <alignment horizontal="right"/>
    </xf>
    <xf numFmtId="9" fontId="12" fillId="8" borderId="1" xfId="0" applyNumberFormat="1" applyFont="1" applyFill="1" applyBorder="1" applyAlignment="1">
      <alignment horizontal="right"/>
    </xf>
    <xf numFmtId="9" fontId="12" fillId="19" borderId="1" xfId="0" applyNumberFormat="1" applyFont="1" applyFill="1" applyBorder="1" applyAlignment="1">
      <alignment horizontal="right"/>
    </xf>
    <xf numFmtId="9" fontId="12" fillId="24" borderId="1" xfId="0" applyNumberFormat="1" applyFont="1" applyFill="1" applyBorder="1" applyAlignment="1">
      <alignment horizontal="right"/>
    </xf>
    <xf numFmtId="9" fontId="13" fillId="3" borderId="0" xfId="0" applyNumberFormat="1" applyFont="1" applyFill="1"/>
    <xf numFmtId="0" fontId="12" fillId="0" borderId="2" xfId="0" applyFont="1" applyBorder="1"/>
    <xf numFmtId="0" fontId="12" fillId="0" borderId="5" xfId="0" applyFont="1" applyBorder="1"/>
    <xf numFmtId="0" fontId="10" fillId="7" borderId="3" xfId="0" applyFont="1" applyFill="1" applyBorder="1"/>
    <xf numFmtId="2" fontId="12" fillId="0" borderId="1" xfId="0" applyNumberFormat="1" applyFont="1" applyBorder="1"/>
    <xf numFmtId="164" fontId="12" fillId="0" borderId="1" xfId="0" applyNumberFormat="1" applyFont="1" applyBorder="1"/>
    <xf numFmtId="10" fontId="13" fillId="3" borderId="0" xfId="0" applyNumberFormat="1" applyFont="1" applyFill="1"/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4" fontId="12" fillId="0" borderId="1" xfId="0" applyNumberFormat="1" applyFont="1" applyBorder="1"/>
    <xf numFmtId="0" fontId="16" fillId="3" borderId="0" xfId="0" applyFont="1" applyFill="1"/>
    <xf numFmtId="4" fontId="16" fillId="3" borderId="0" xfId="0" applyNumberFormat="1" applyFont="1" applyFill="1"/>
    <xf numFmtId="164" fontId="16" fillId="3" borderId="0" xfId="0" applyNumberFormat="1" applyFont="1" applyFill="1" applyAlignment="1">
      <alignment horizontal="right"/>
    </xf>
    <xf numFmtId="166" fontId="16" fillId="3" borderId="0" xfId="0" applyNumberFormat="1" applyFont="1" applyFill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supreme-style" pivot="0" count="3" xr9:uid="{FF69C745-6703-47AE-ABC8-CCFE87DBA9D2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Plastic Products-Industrial'!$G$59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858-4BB3-A010-34827A79834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858-4BB3-A010-34827A79834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858-4BB3-A010-34827A79834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858-4BB3-A010-34827A79834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858-4BB3-A010-34827A79834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858-4BB3-A010-34827A79834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858-4BB3-A010-34827A79834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858-4BB3-A010-34827A79834E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858-4BB3-A010-34827A79834E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858-4BB3-A010-34827A79834E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858-4BB3-A010-34827A79834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Plastic Products-Industrial'!$F$60:$F$70</c:f>
              <c:strCache>
                <c:ptCount val="11"/>
                <c:pt idx="0">
                  <c:v>SUPREMEIND</c:v>
                </c:pt>
                <c:pt idx="1">
                  <c:v>JISLJALEQS</c:v>
                </c:pt>
                <c:pt idx="2">
                  <c:v>ASTRAL</c:v>
                </c:pt>
                <c:pt idx="3">
                  <c:v>FINOLEXIND</c:v>
                </c:pt>
                <c:pt idx="4">
                  <c:v>TIMETECHNO</c:v>
                </c:pt>
                <c:pt idx="5">
                  <c:v>PRINCEPIPE</c:v>
                </c:pt>
                <c:pt idx="6">
                  <c:v>GRWRHITECH</c:v>
                </c:pt>
                <c:pt idx="7">
                  <c:v>KINGFA</c:v>
                </c:pt>
                <c:pt idx="8">
                  <c:v>APOLLOPIPES</c:v>
                </c:pt>
                <c:pt idx="9">
                  <c:v>SHAILY</c:v>
                </c:pt>
                <c:pt idx="10">
                  <c:v>JAICORPLTD</c:v>
                </c:pt>
              </c:strCache>
            </c:strRef>
          </c:cat>
          <c:val>
            <c:numRef>
              <c:f>' Plastic Products-Industrial'!$G$60:$G$70</c:f>
              <c:numCache>
                <c:formatCode>[$₹]#,##0</c:formatCode>
                <c:ptCount val="11"/>
                <c:pt idx="0">
                  <c:v>9201</c:v>
                </c:pt>
                <c:pt idx="1">
                  <c:v>5747</c:v>
                </c:pt>
                <c:pt idx="2">
                  <c:v>5158</c:v>
                </c:pt>
                <c:pt idx="3">
                  <c:v>4397</c:v>
                </c:pt>
                <c:pt idx="4">
                  <c:v>4289</c:v>
                </c:pt>
                <c:pt idx="5">
                  <c:v>2710</c:v>
                </c:pt>
                <c:pt idx="6">
                  <c:v>1438</c:v>
                </c:pt>
                <c:pt idx="7">
                  <c:v>1403</c:v>
                </c:pt>
                <c:pt idx="8">
                  <c:v>915</c:v>
                </c:pt>
                <c:pt idx="9">
                  <c:v>607</c:v>
                </c:pt>
                <c:pt idx="10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8-4BB3-A010-34827A79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Products-Industrial'!$K$146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AB-43A8-91AC-069F6A81F95E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AB-43A8-91AC-069F6A81F95E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AB-43A8-91AC-069F6A81F95E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3AB-43A8-91AC-069F6A81F95E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3AB-43A8-91AC-069F6A81F9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Products-Industrial'!$J$147:$J$157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Products-Industrial'!$K$147:$K$157</c:f>
              <c:numCache>
                <c:formatCode>0.00</c:formatCode>
                <c:ptCount val="11"/>
                <c:pt idx="0">
                  <c:v>0.2024360000138547</c:v>
                </c:pt>
                <c:pt idx="1">
                  <c:v>0.28535120147874304</c:v>
                </c:pt>
                <c:pt idx="2">
                  <c:v>0.21988862370723947</c:v>
                </c:pt>
                <c:pt idx="3">
                  <c:v>0.24148768988999475</c:v>
                </c:pt>
                <c:pt idx="4">
                  <c:v>2.5862068965517241E-2</c:v>
                </c:pt>
                <c:pt idx="5">
                  <c:v>0.43213560940670886</c:v>
                </c:pt>
                <c:pt idx="6">
                  <c:v>0.38001533350370559</c:v>
                </c:pt>
                <c:pt idx="7">
                  <c:v>0.12884267631103075</c:v>
                </c:pt>
                <c:pt idx="8">
                  <c:v>0.30966767371601206</c:v>
                </c:pt>
                <c:pt idx="9">
                  <c:v>0.43071965628356607</c:v>
                </c:pt>
                <c:pt idx="10">
                  <c:v>0.44210526315789472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73AB-43A8-91AC-069F6A81F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099567"/>
        <c:axId val="1984379016"/>
      </c:barChart>
      <c:catAx>
        <c:axId val="11340995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4379016"/>
        <c:crosses val="autoZero"/>
        <c:auto val="1"/>
        <c:lblAlgn val="ctr"/>
        <c:lblOffset val="100"/>
        <c:noMultiLvlLbl val="1"/>
      </c:catAx>
      <c:valAx>
        <c:axId val="19843790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340995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Products-Industrial'!$C$178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Products-Industrial'!$B$179:$B$189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Products-Industrial'!$C$179:$C$189</c:f>
              <c:numCache>
                <c:formatCode>0.0%</c:formatCode>
                <c:ptCount val="11"/>
                <c:pt idx="0">
                  <c:v>0.18782666096310563</c:v>
                </c:pt>
                <c:pt idx="1">
                  <c:v>0.14844760672703752</c:v>
                </c:pt>
                <c:pt idx="2">
                  <c:v>5.0989190291658167E-2</c:v>
                </c:pt>
                <c:pt idx="3">
                  <c:v>8.3563535911602205E-2</c:v>
                </c:pt>
                <c:pt idx="4">
                  <c:v>-0.01</c:v>
                </c:pt>
                <c:pt idx="5">
                  <c:v>-1.4E-2</c:v>
                </c:pt>
                <c:pt idx="6">
                  <c:v>9.1920857378400653E-2</c:v>
                </c:pt>
                <c:pt idx="7">
                  <c:v>8.6188992731048811E-2</c:v>
                </c:pt>
                <c:pt idx="8">
                  <c:v>5.2516411378555797E-2</c:v>
                </c:pt>
                <c:pt idx="9">
                  <c:v>0.15283018867924528</c:v>
                </c:pt>
                <c:pt idx="10">
                  <c:v>8.2742316784869971E-2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948-4E69-983D-8FF913F84882}"/>
            </c:ext>
          </c:extLst>
        </c:ser>
        <c:ser>
          <c:idx val="1"/>
          <c:order val="1"/>
          <c:tx>
            <c:strRef>
              <c:f>' Plastic Products-Industrial'!$D$178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Products-Industrial'!$B$179:$B$189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Products-Industrial'!$D$179:$D$189</c:f>
              <c:numCache>
                <c:formatCode>0.0%</c:formatCode>
                <c:ptCount val="11"/>
                <c:pt idx="0">
                  <c:v>0.1498037830217761</c:v>
                </c:pt>
                <c:pt idx="1">
                  <c:v>0.1060536044362292</c:v>
                </c:pt>
                <c:pt idx="2">
                  <c:v>3.9777247414478918E-2</c:v>
                </c:pt>
                <c:pt idx="3">
                  <c:v>6.3383970665269782E-2</c:v>
                </c:pt>
                <c:pt idx="4">
                  <c:v>-0.01</c:v>
                </c:pt>
                <c:pt idx="5">
                  <c:v>-0.01</c:v>
                </c:pt>
                <c:pt idx="6">
                  <c:v>5.6989522105801174E-2</c:v>
                </c:pt>
                <c:pt idx="7">
                  <c:v>7.5045207956600357E-2</c:v>
                </c:pt>
                <c:pt idx="8">
                  <c:v>3.6253776435045321E-2</c:v>
                </c:pt>
                <c:pt idx="9">
                  <c:v>8.7003222341568209E-2</c:v>
                </c:pt>
                <c:pt idx="10">
                  <c:v>4.6052631578947366E-2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948-4E69-983D-8FF913F84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930727"/>
        <c:axId val="1326972158"/>
      </c:barChart>
      <c:catAx>
        <c:axId val="260930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6972158"/>
        <c:crosses val="autoZero"/>
        <c:auto val="1"/>
        <c:lblAlgn val="ctr"/>
        <c:lblOffset val="100"/>
        <c:noMultiLvlLbl val="1"/>
      </c:catAx>
      <c:valAx>
        <c:axId val="13269721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09307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ROPE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Products-Industrial'!$J$178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81-4C3E-BC99-C96067112E08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81-4C3E-BC99-C96067112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Products-Industrial'!$I$179:$I$189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Products-Industrial'!$J$179:$J$189</c:f>
              <c:numCache>
                <c:formatCode>0.0</c:formatCode>
                <c:ptCount val="11"/>
                <c:pt idx="0">
                  <c:v>34.041715859897678</c:v>
                </c:pt>
                <c:pt idx="1">
                  <c:v>17.653846153846153</c:v>
                </c:pt>
                <c:pt idx="2">
                  <c:v>2.0161290322580645</c:v>
                </c:pt>
                <c:pt idx="3">
                  <c:v>1.1000000000000001</c:v>
                </c:pt>
                <c:pt idx="4">
                  <c:v>-1</c:v>
                </c:pt>
                <c:pt idx="5">
                  <c:v>-0.5</c:v>
                </c:pt>
                <c:pt idx="6">
                  <c:v>10.136363636363637</c:v>
                </c:pt>
                <c:pt idx="7">
                  <c:v>7.2173913043478262</c:v>
                </c:pt>
                <c:pt idx="8">
                  <c:v>0.61538461538461542</c:v>
                </c:pt>
                <c:pt idx="9">
                  <c:v>6.75</c:v>
                </c:pt>
                <c:pt idx="10">
                  <c:v>3.8888888888888888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5781-4C3E-BC99-C96067112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387365"/>
        <c:axId val="416389490"/>
      </c:barChart>
      <c:catAx>
        <c:axId val="9213873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389490"/>
        <c:crosses val="autoZero"/>
        <c:auto val="1"/>
        <c:lblAlgn val="ctr"/>
        <c:lblOffset val="100"/>
        <c:noMultiLvlLbl val="1"/>
      </c:catAx>
      <c:valAx>
        <c:axId val="416389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13873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10Y CAGR and 20Y CAGR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Products-Industrial'!$F$213</c:f>
              <c:strCache>
                <c:ptCount val="1"/>
                <c:pt idx="0">
                  <c:v>10Y CAGR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Products-Industrial'!$B$214:$B$224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Products-Industrial'!$F$214:$F$224</c:f>
              <c:numCache>
                <c:formatCode>0.0%</c:formatCode>
                <c:ptCount val="11"/>
                <c:pt idx="0">
                  <c:v>0.25067495744759727</c:v>
                </c:pt>
                <c:pt idx="1">
                  <c:v>0.37602330008923635</c:v>
                </c:pt>
                <c:pt idx="2">
                  <c:v>0.20988116106764276</c:v>
                </c:pt>
                <c:pt idx="4">
                  <c:v>0.17717414675897025</c:v>
                </c:pt>
                <c:pt idx="5">
                  <c:v>-1.1139336264247901E-2</c:v>
                </c:pt>
                <c:pt idx="6">
                  <c:v>0.16290274959592521</c:v>
                </c:pt>
                <c:pt idx="7">
                  <c:v>0.37278499592636893</c:v>
                </c:pt>
                <c:pt idx="9">
                  <c:v>0.63958339014965859</c:v>
                </c:pt>
                <c:pt idx="10">
                  <c:v>0.41800076423999388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84B-41B9-B7FD-03EC27DC7F70}"/>
            </c:ext>
          </c:extLst>
        </c:ser>
        <c:ser>
          <c:idx val="1"/>
          <c:order val="1"/>
          <c:tx>
            <c:strRef>
              <c:f>' Plastic Products-Industrial'!$G$213</c:f>
              <c:strCache>
                <c:ptCount val="1"/>
                <c:pt idx="0">
                  <c:v>20Y CAGR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Products-Industrial'!$B$214:$B$224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Products-Industrial'!$G$214:$G$224</c:f>
              <c:numCache>
                <c:formatCode>0.0%</c:formatCode>
                <c:ptCount val="11"/>
                <c:pt idx="0">
                  <c:v>0.2979927506205593</c:v>
                </c:pt>
                <c:pt idx="1">
                  <c:v>0.38790702680324385</c:v>
                </c:pt>
                <c:pt idx="2">
                  <c:v>0.13959202242955993</c:v>
                </c:pt>
                <c:pt idx="4">
                  <c:v>0.21711815164757753</c:v>
                </c:pt>
                <c:pt idx="5">
                  <c:v>5.7604306875121747E-2</c:v>
                </c:pt>
                <c:pt idx="6">
                  <c:v>3.6110706152734373E-2</c:v>
                </c:pt>
                <c:pt idx="7">
                  <c:v>0.18406374174591744</c:v>
                </c:pt>
                <c:pt idx="9">
                  <c:v>0.31623844996410777</c:v>
                </c:pt>
                <c:pt idx="10">
                  <c:v>0.30809058151080304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84B-41B9-B7FD-03EC27DC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937968"/>
        <c:axId val="69556330"/>
      </c:barChart>
      <c:catAx>
        <c:axId val="202293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556330"/>
        <c:crosses val="autoZero"/>
        <c:auto val="1"/>
        <c:lblAlgn val="ctr"/>
        <c:lblOffset val="100"/>
        <c:noMultiLvlLbl val="1"/>
      </c:catAx>
      <c:valAx>
        <c:axId val="695563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29379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20 Y X TIMES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Products-Industrial'!$H$213</c:f>
              <c:strCache>
                <c:ptCount val="1"/>
                <c:pt idx="0">
                  <c:v>20 Y X TIMES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84-4952-AED1-2B89AFB22778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84-4952-AED1-2B89AFB22778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84-4952-AED1-2B89AFB22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Products-Industrial'!$B$214:$B$224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Products-Industrial'!$H$214:$H$224</c:f>
              <c:numCache>
                <c:formatCode>0</c:formatCode>
                <c:ptCount val="11"/>
                <c:pt idx="0">
                  <c:v>184.26605504587155</c:v>
                </c:pt>
                <c:pt idx="1">
                  <c:v>189.56842105263158</c:v>
                </c:pt>
                <c:pt idx="2">
                  <c:v>13.645454545454546</c:v>
                </c:pt>
                <c:pt idx="4">
                  <c:v>50.892617449664428</c:v>
                </c:pt>
                <c:pt idx="5">
                  <c:v>3.0652380952380955</c:v>
                </c:pt>
                <c:pt idx="6">
                  <c:v>1.764</c:v>
                </c:pt>
                <c:pt idx="7">
                  <c:v>29.342806394316163</c:v>
                </c:pt>
                <c:pt idx="9">
                  <c:v>243.60795454545453</c:v>
                </c:pt>
                <c:pt idx="10">
                  <c:v>42.946666666666673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DC84-4952-AED1-2B89AFB2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36638"/>
        <c:axId val="706821072"/>
      </c:barChart>
      <c:catAx>
        <c:axId val="1673366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06821072"/>
        <c:crosses val="autoZero"/>
        <c:auto val="1"/>
        <c:lblAlgn val="ctr"/>
        <c:lblOffset val="100"/>
        <c:noMultiLvlLbl val="1"/>
      </c:catAx>
      <c:valAx>
        <c:axId val="7068210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20 Y X TIMES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3366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20 Y DIV 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Products-Industrial'!$J$213</c:f>
              <c:strCache>
                <c:ptCount val="1"/>
                <c:pt idx="0">
                  <c:v>20 Y DIV 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4F2-4B19-BF80-39244D0D25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Products-Industrial'!$B$214:$B$224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Products-Industrial'!$J$214:$J$224</c:f>
              <c:numCache>
                <c:formatCode>0%</c:formatCode>
                <c:ptCount val="11"/>
                <c:pt idx="0">
                  <c:v>1.2844036697247705</c:v>
                </c:pt>
                <c:pt idx="1">
                  <c:v>0.33684210526315789</c:v>
                </c:pt>
                <c:pt idx="2">
                  <c:v>9.0909090909090912E-2</c:v>
                </c:pt>
                <c:pt idx="4">
                  <c:v>6.7114093959731544E-2</c:v>
                </c:pt>
                <c:pt idx="5">
                  <c:v>0</c:v>
                </c:pt>
                <c:pt idx="6">
                  <c:v>1.2500000000000001E-2</c:v>
                </c:pt>
                <c:pt idx="7">
                  <c:v>0.17761989342806395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4F2-4B19-BF80-39244D0D2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23205"/>
        <c:axId val="1517983909"/>
      </c:barChart>
      <c:catAx>
        <c:axId val="1473232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7983909"/>
        <c:crosses val="autoZero"/>
        <c:auto val="1"/>
        <c:lblAlgn val="ctr"/>
        <c:lblOffset val="100"/>
        <c:noMultiLvlLbl val="1"/>
      </c:catAx>
      <c:valAx>
        <c:axId val="15179839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20 Y DIV YIELD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3232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570-495F-857C-374A0118095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570-495F-857C-374A0118095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570-495F-857C-374A0118095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570-495F-857C-374A0118095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570-495F-857C-374A0118095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570-495F-857C-374A0118095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570-495F-857C-374A0118095E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570-495F-857C-374A0118095E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C570-495F-857C-374A0118095E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C570-495F-857C-374A0118095E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C570-495F-857C-374A0118095E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C570-495F-857C-374A0118095E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C570-495F-857C-374A0118095E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C570-495F-857C-374A0118095E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C570-495F-857C-374A0118095E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C570-495F-857C-374A0118095E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C570-495F-857C-374A0118095E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C570-495F-857C-374A0118095E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C570-495F-857C-374A0118095E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C570-495F-857C-374A0118095E}"/>
              </c:ext>
            </c:extLst>
          </c:dPt>
          <c:dPt>
            <c:idx val="20"/>
            <c:bubble3D val="0"/>
            <c:spPr>
              <a:solidFill>
                <a:srgbClr val="FFF8E6"/>
              </a:solidFill>
            </c:spPr>
            <c:extLst>
              <c:ext xmlns:c16="http://schemas.microsoft.com/office/drawing/2014/chart" uri="{C3380CC4-5D6E-409C-BE32-E72D297353CC}">
                <c16:uniqueId val="{00000029-C570-495F-857C-374A0118095E}"/>
              </c:ext>
            </c:extLst>
          </c:dPt>
          <c:dPt>
            <c:idx val="21"/>
            <c:bubble3D val="0"/>
            <c:spPr>
              <a:solidFill>
                <a:srgbClr val="EBF6EE"/>
              </a:solidFill>
            </c:spPr>
            <c:extLst>
              <c:ext xmlns:c16="http://schemas.microsoft.com/office/drawing/2014/chart" uri="{C3380CC4-5D6E-409C-BE32-E72D297353CC}">
                <c16:uniqueId val="{0000002B-C570-495F-857C-374A0118095E}"/>
              </c:ext>
            </c:extLst>
          </c:dPt>
          <c:dPt>
            <c:idx val="22"/>
            <c:bubble3D val="0"/>
            <c:spPr>
              <a:solidFill>
                <a:srgbClr val="FFF0E6"/>
              </a:solidFill>
            </c:spPr>
            <c:extLst>
              <c:ext xmlns:c16="http://schemas.microsoft.com/office/drawing/2014/chart" uri="{C3380CC4-5D6E-409C-BE32-E72D297353CC}">
                <c16:uniqueId val="{0000002D-C570-495F-857C-374A0118095E}"/>
              </c:ext>
            </c:extLst>
          </c:dPt>
          <c:dPt>
            <c:idx val="23"/>
            <c:bubble3D val="0"/>
            <c:spPr>
              <a:solidFill>
                <a:srgbClr val="EDF8F9"/>
              </a:solidFill>
            </c:spPr>
            <c:extLst>
              <c:ext xmlns:c16="http://schemas.microsoft.com/office/drawing/2014/chart" uri="{C3380CC4-5D6E-409C-BE32-E72D297353CC}">
                <c16:uniqueId val="{0000002F-C570-495F-857C-374A0118095E}"/>
              </c:ext>
            </c:extLst>
          </c:dPt>
          <c:dPt>
            <c:idx val="24"/>
            <c:bubble3D val="0"/>
            <c:spPr>
              <a:solidFill>
                <a:srgbClr val="251701"/>
              </a:solidFill>
            </c:spPr>
            <c:extLst>
              <c:ext xmlns:c16="http://schemas.microsoft.com/office/drawing/2014/chart" uri="{C3380CC4-5D6E-409C-BE32-E72D297353CC}">
                <c16:uniqueId val="{00000031-C570-495F-857C-374A0118095E}"/>
              </c:ext>
            </c:extLst>
          </c:dPt>
          <c:dPt>
            <c:idx val="25"/>
            <c:bubble3D val="0"/>
            <c:spPr>
              <a:solidFill>
                <a:srgbClr val="032527"/>
              </a:solidFill>
            </c:spPr>
            <c:extLst>
              <c:ext xmlns:c16="http://schemas.microsoft.com/office/drawing/2014/chart" uri="{C3380CC4-5D6E-409C-BE32-E72D297353CC}">
                <c16:uniqueId val="{00000033-C570-495F-857C-374A0118095E}"/>
              </c:ext>
            </c:extLst>
          </c:dPt>
          <c:dPt>
            <c:idx val="26"/>
            <c:bubble3D val="0"/>
            <c:spPr>
              <a:solidFill>
                <a:srgbClr val="000C31"/>
              </a:solidFill>
            </c:spPr>
            <c:extLst>
              <c:ext xmlns:c16="http://schemas.microsoft.com/office/drawing/2014/chart" uri="{C3380CC4-5D6E-409C-BE32-E72D297353CC}">
                <c16:uniqueId val="{00000035-C570-495F-857C-374A0118095E}"/>
              </c:ext>
            </c:extLst>
          </c:dPt>
          <c:dPt>
            <c:idx val="27"/>
            <c:bubble3D val="0"/>
            <c:spPr>
              <a:solidFill>
                <a:srgbClr val="281021"/>
              </a:solidFill>
            </c:spPr>
            <c:extLst>
              <c:ext xmlns:c16="http://schemas.microsoft.com/office/drawing/2014/chart" uri="{C3380CC4-5D6E-409C-BE32-E72D297353CC}">
                <c16:uniqueId val="{00000037-C570-495F-857C-374A0118095E}"/>
              </c:ext>
            </c:extLst>
          </c:dPt>
          <c:dPt>
            <c:idx val="28"/>
            <c:bubble3D val="0"/>
            <c:spPr>
              <a:solidFill>
                <a:srgbClr val="FF1C32"/>
              </a:solidFill>
            </c:spPr>
            <c:extLst>
              <c:ext xmlns:c16="http://schemas.microsoft.com/office/drawing/2014/chart" uri="{C3380CC4-5D6E-409C-BE32-E72D297353CC}">
                <c16:uniqueId val="{00000039-C570-495F-857C-374A0118095E}"/>
              </c:ext>
            </c:extLst>
          </c:dPt>
          <c:dPt>
            <c:idx val="29"/>
            <c:bubble3D val="0"/>
            <c:spPr>
              <a:solidFill>
                <a:srgbClr val="240C0A"/>
              </a:solidFill>
            </c:spPr>
            <c:extLst>
              <c:ext xmlns:c16="http://schemas.microsoft.com/office/drawing/2014/chart" uri="{C3380CC4-5D6E-409C-BE32-E72D297353CC}">
                <c16:uniqueId val="{0000003B-C570-495F-857C-374A0118095E}"/>
              </c:ext>
            </c:extLst>
          </c:dPt>
          <c:dPt>
            <c:idx val="30"/>
            <c:bubble3D val="0"/>
            <c:spPr>
              <a:solidFill>
                <a:srgbClr val="5E3C05"/>
              </a:solidFill>
            </c:spPr>
            <c:extLst>
              <c:ext xmlns:c16="http://schemas.microsoft.com/office/drawing/2014/chart" uri="{C3380CC4-5D6E-409C-BE32-E72D297353CC}">
                <c16:uniqueId val="{0000003D-C570-495F-857C-374A0118095E}"/>
              </c:ext>
            </c:extLst>
          </c:dPt>
          <c:dPt>
            <c:idx val="31"/>
            <c:bubble3D val="0"/>
            <c:spPr>
              <a:solidFill>
                <a:srgbClr val="0A5D64"/>
              </a:solidFill>
            </c:spPr>
            <c:extLst>
              <c:ext xmlns:c16="http://schemas.microsoft.com/office/drawing/2014/chart" uri="{C3380CC4-5D6E-409C-BE32-E72D297353CC}">
                <c16:uniqueId val="{0000003F-C570-495F-857C-374A0118095E}"/>
              </c:ext>
            </c:extLst>
          </c:dPt>
          <c:dPt>
            <c:idx val="32"/>
            <c:bubble3D val="0"/>
            <c:spPr>
              <a:solidFill>
                <a:srgbClr val="01217D"/>
              </a:solidFill>
            </c:spPr>
            <c:extLst>
              <c:ext xmlns:c16="http://schemas.microsoft.com/office/drawing/2014/chart" uri="{C3380CC4-5D6E-409C-BE32-E72D297353CC}">
                <c16:uniqueId val="{00000041-C570-495F-857C-374A0118095E}"/>
              </c:ext>
            </c:extLst>
          </c:dPt>
          <c:dPt>
            <c:idx val="33"/>
            <c:bubble3D val="0"/>
            <c:spPr>
              <a:solidFill>
                <a:srgbClr val="652B55"/>
              </a:solidFill>
            </c:spPr>
            <c:extLst>
              <c:ext xmlns:c16="http://schemas.microsoft.com/office/drawing/2014/chart" uri="{C3380CC4-5D6E-409C-BE32-E72D297353CC}">
                <c16:uniqueId val="{00000043-C570-495F-857C-374A0118095E}"/>
              </c:ext>
            </c:extLst>
          </c:dPt>
          <c:dPt>
            <c:idx val="34"/>
            <c:bubble3D val="0"/>
            <c:spPr>
              <a:solidFill>
                <a:srgbClr val="FF487E"/>
              </a:solidFill>
            </c:spPr>
            <c:extLst>
              <c:ext xmlns:c16="http://schemas.microsoft.com/office/drawing/2014/chart" uri="{C3380CC4-5D6E-409C-BE32-E72D297353CC}">
                <c16:uniqueId val="{00000045-C570-495F-857C-374A0118095E}"/>
              </c:ext>
            </c:extLst>
          </c:dPt>
          <c:dPt>
            <c:idx val="35"/>
            <c:bubble3D val="0"/>
            <c:spPr>
              <a:solidFill>
                <a:srgbClr val="5C201C"/>
              </a:solidFill>
            </c:spPr>
            <c:extLst>
              <c:ext xmlns:c16="http://schemas.microsoft.com/office/drawing/2014/chart" uri="{C3380CC4-5D6E-409C-BE32-E72D297353CC}">
                <c16:uniqueId val="{00000047-C570-495F-857C-374A0118095E}"/>
              </c:ext>
            </c:extLst>
          </c:dPt>
          <c:dPt>
            <c:idx val="36"/>
            <c:bubble3D val="0"/>
            <c:spPr>
              <a:solidFill>
                <a:srgbClr val="966108"/>
              </a:solidFill>
            </c:spPr>
            <c:extLst>
              <c:ext xmlns:c16="http://schemas.microsoft.com/office/drawing/2014/chart" uri="{C3380CC4-5D6E-409C-BE32-E72D297353CC}">
                <c16:uniqueId val="{00000049-C570-495F-857C-374A0118095E}"/>
              </c:ext>
            </c:extLst>
          </c:dPt>
          <c:dPt>
            <c:idx val="37"/>
            <c:bubble3D val="0"/>
            <c:spPr>
              <a:solidFill>
                <a:srgbClr val="1095A1"/>
              </a:solidFill>
            </c:spPr>
            <c:extLst>
              <c:ext xmlns:c16="http://schemas.microsoft.com/office/drawing/2014/chart" uri="{C3380CC4-5D6E-409C-BE32-E72D297353CC}">
                <c16:uniqueId val="{0000004B-C570-495F-857C-374A0118095E}"/>
              </c:ext>
            </c:extLst>
          </c:dPt>
          <c:dPt>
            <c:idx val="38"/>
            <c:bubble3D val="0"/>
            <c:spPr>
              <a:solidFill>
                <a:srgbClr val="0235C8"/>
              </a:solidFill>
            </c:spPr>
            <c:extLst>
              <c:ext xmlns:c16="http://schemas.microsoft.com/office/drawing/2014/chart" uri="{C3380CC4-5D6E-409C-BE32-E72D297353CC}">
                <c16:uniqueId val="{0000004D-C570-495F-857C-374A0118095E}"/>
              </c:ext>
            </c:extLst>
          </c:dPt>
          <c:dPt>
            <c:idx val="39"/>
            <c:bubble3D val="0"/>
            <c:spPr>
              <a:solidFill>
                <a:srgbClr val="A14589"/>
              </a:solidFill>
            </c:spPr>
            <c:extLst>
              <c:ext xmlns:c16="http://schemas.microsoft.com/office/drawing/2014/chart" uri="{C3380CC4-5D6E-409C-BE32-E72D297353CC}">
                <c16:uniqueId val="{0000004F-C570-495F-857C-374A0118095E}"/>
              </c:ext>
            </c:extLst>
          </c:dPt>
          <c:dPt>
            <c:idx val="40"/>
            <c:bubble3D val="0"/>
            <c:spPr>
              <a:solidFill>
                <a:srgbClr val="FF74CA"/>
              </a:solidFill>
            </c:spPr>
            <c:extLst>
              <c:ext xmlns:c16="http://schemas.microsoft.com/office/drawing/2014/chart" uri="{C3380CC4-5D6E-409C-BE32-E72D297353CC}">
                <c16:uniqueId val="{00000051-C570-495F-857C-374A0118095E}"/>
              </c:ext>
            </c:extLst>
          </c:dPt>
          <c:dPt>
            <c:idx val="41"/>
            <c:bubble3D val="0"/>
            <c:spPr>
              <a:solidFill>
                <a:srgbClr val="93342D"/>
              </a:solidFill>
            </c:spPr>
            <c:extLst>
              <c:ext xmlns:c16="http://schemas.microsoft.com/office/drawing/2014/chart" uri="{C3380CC4-5D6E-409C-BE32-E72D297353CC}">
                <c16:uniqueId val="{00000053-C570-495F-857C-374A0118095E}"/>
              </c:ext>
            </c:extLst>
          </c:dPt>
          <c:dPt>
            <c:idx val="42"/>
            <c:bubble3D val="0"/>
            <c:spPr>
              <a:solidFill>
                <a:srgbClr val="CF850B"/>
              </a:solidFill>
            </c:spPr>
            <c:extLst>
              <c:ext xmlns:c16="http://schemas.microsoft.com/office/drawing/2014/chart" uri="{C3380CC4-5D6E-409C-BE32-E72D297353CC}">
                <c16:uniqueId val="{00000055-C570-495F-857C-374A0118095E}"/>
              </c:ext>
            </c:extLst>
          </c:dPt>
          <c:dPt>
            <c:idx val="43"/>
            <c:bubble3D val="0"/>
            <c:spPr>
              <a:solidFill>
                <a:srgbClr val="16CEDD"/>
              </a:solidFill>
            </c:spPr>
            <c:extLst>
              <c:ext xmlns:c16="http://schemas.microsoft.com/office/drawing/2014/chart" uri="{C3380CC4-5D6E-409C-BE32-E72D297353CC}">
                <c16:uniqueId val="{00000057-C570-495F-857C-374A0118095E}"/>
              </c:ext>
            </c:extLst>
          </c:dPt>
          <c:dPt>
            <c:idx val="44"/>
            <c:bubble3D val="0"/>
            <c:spPr>
              <a:solidFill>
                <a:srgbClr val="034913"/>
              </a:solidFill>
            </c:spPr>
            <c:extLst>
              <c:ext xmlns:c16="http://schemas.microsoft.com/office/drawing/2014/chart" uri="{C3380CC4-5D6E-409C-BE32-E72D297353CC}">
                <c16:uniqueId val="{00000059-C570-495F-857C-374A0118095E}"/>
              </c:ext>
            </c:extLst>
          </c:dPt>
          <c:dPt>
            <c:idx val="45"/>
            <c:bubble3D val="0"/>
            <c:spPr>
              <a:solidFill>
                <a:srgbClr val="DE5FBC"/>
              </a:solidFill>
            </c:spPr>
            <c:extLst>
              <c:ext xmlns:c16="http://schemas.microsoft.com/office/drawing/2014/chart" uri="{C3380CC4-5D6E-409C-BE32-E72D297353CC}">
                <c16:uniqueId val="{0000005B-C570-495F-857C-374A0118095E}"/>
              </c:ext>
            </c:extLst>
          </c:dPt>
          <c:dPt>
            <c:idx val="46"/>
            <c:bubble3D val="0"/>
            <c:spPr>
              <a:solidFill>
                <a:srgbClr val="FFA016"/>
              </a:solidFill>
            </c:spPr>
            <c:extLst>
              <c:ext xmlns:c16="http://schemas.microsoft.com/office/drawing/2014/chart" uri="{C3380CC4-5D6E-409C-BE32-E72D297353CC}">
                <c16:uniqueId val="{0000005D-C570-495F-857C-374A0118095E}"/>
              </c:ext>
            </c:extLst>
          </c:dPt>
          <c:dPt>
            <c:idx val="47"/>
            <c:bubble3D val="0"/>
            <c:spPr>
              <a:solidFill>
                <a:srgbClr val="CA483E"/>
              </a:solidFill>
            </c:spPr>
            <c:extLst>
              <c:ext xmlns:c16="http://schemas.microsoft.com/office/drawing/2014/chart" uri="{C3380CC4-5D6E-409C-BE32-E72D297353CC}">
                <c16:uniqueId val="{0000005F-C570-495F-857C-374A0118095E}"/>
              </c:ext>
            </c:extLst>
          </c:dPt>
          <c:dPt>
            <c:idx val="48"/>
            <c:bubble3D val="0"/>
            <c:spPr>
              <a:solidFill>
                <a:srgbClr val="08AA0E"/>
              </a:solidFill>
            </c:spPr>
            <c:extLst>
              <c:ext xmlns:c16="http://schemas.microsoft.com/office/drawing/2014/chart" uri="{C3380CC4-5D6E-409C-BE32-E72D297353CC}">
                <c16:uniqueId val="{00000061-C570-495F-857C-374A0118095E}"/>
              </c:ext>
            </c:extLst>
          </c:dPt>
          <c:cat>
            <c:strRef>
              <c:f>' Plastic Products-Industrial'!$B$59:$B$107</c:f>
              <c:strCache>
                <c:ptCount val="49"/>
                <c:pt idx="0">
                  <c:v>Security Name</c:v>
                </c:pt>
                <c:pt idx="1">
                  <c:v>SUPREMEIND</c:v>
                </c:pt>
                <c:pt idx="2">
                  <c:v>ASTRAL</c:v>
                </c:pt>
                <c:pt idx="3">
                  <c:v>FINOLEXIND</c:v>
                </c:pt>
                <c:pt idx="4">
                  <c:v>PRINCEPIPE</c:v>
                </c:pt>
                <c:pt idx="5">
                  <c:v>JAICORPLTD</c:v>
                </c:pt>
                <c:pt idx="6">
                  <c:v>JISLJALEQS</c:v>
                </c:pt>
                <c:pt idx="7">
                  <c:v>TIMETECHNO</c:v>
                </c:pt>
                <c:pt idx="8">
                  <c:v>GRWRHITECH</c:v>
                </c:pt>
                <c:pt idx="9">
                  <c:v>APOLLOPIPES</c:v>
                </c:pt>
                <c:pt idx="10">
                  <c:v>KINGFA</c:v>
                </c:pt>
                <c:pt idx="11">
                  <c:v>SHAILY</c:v>
                </c:pt>
                <c:pt idx="12">
                  <c:v>KRITIIND</c:v>
                </c:pt>
                <c:pt idx="13">
                  <c:v>INTELLCAP</c:v>
                </c:pt>
                <c:pt idx="14">
                  <c:v>SHISHIND</c:v>
                </c:pt>
                <c:pt idx="15">
                  <c:v>DHABRIYA</c:v>
                </c:pt>
                <c:pt idx="16">
                  <c:v>PREMIERPOL</c:v>
                </c:pt>
                <c:pt idx="17">
                  <c:v>KAKA</c:v>
                </c:pt>
                <c:pt idx="18">
                  <c:v>CAPRIHANS</c:v>
                </c:pt>
                <c:pt idx="19">
                  <c:v>CPL</c:v>
                </c:pt>
                <c:pt idx="20">
                  <c:v>TEXMOPIPES</c:v>
                </c:pt>
                <c:pt idx="21">
                  <c:v>NATPLASTI</c:v>
                </c:pt>
                <c:pt idx="22">
                  <c:v>GMPL</c:v>
                </c:pt>
                <c:pt idx="23">
                  <c:v>SPL</c:v>
                </c:pt>
                <c:pt idx="24">
                  <c:v>HINDADH</c:v>
                </c:pt>
                <c:pt idx="25">
                  <c:v>TAINWALCHM</c:v>
                </c:pt>
                <c:pt idx="26">
                  <c:v>RUNGTAIR</c:v>
                </c:pt>
                <c:pt idx="27">
                  <c:v>ECOPLAST</c:v>
                </c:pt>
                <c:pt idx="28">
                  <c:v>DUTRON</c:v>
                </c:pt>
                <c:pt idx="29">
                  <c:v>BRIGHTBR</c:v>
                </c:pt>
                <c:pt idx="30">
                  <c:v>SINTEXPLAST</c:v>
                </c:pt>
                <c:pt idx="31">
                  <c:v>CANDOUR</c:v>
                </c:pt>
                <c:pt idx="32">
                  <c:v>AIKPIPES</c:v>
                </c:pt>
                <c:pt idx="33">
                  <c:v>NATPLAS</c:v>
                </c:pt>
                <c:pt idx="34">
                  <c:v>AXELPOLY</c:v>
                </c:pt>
                <c:pt idx="35">
                  <c:v>SRIKPRIND</c:v>
                </c:pt>
                <c:pt idx="36">
                  <c:v>DUROPACK</c:v>
                </c:pt>
                <c:pt idx="37">
                  <c:v>KISAN</c:v>
                </c:pt>
                <c:pt idx="38">
                  <c:v>TEXELIN</c:v>
                </c:pt>
                <c:pt idx="39">
                  <c:v>KUNSTOFF</c:v>
                </c:pt>
                <c:pt idx="40">
                  <c:v>ALFAICA</c:v>
                </c:pt>
                <c:pt idx="41">
                  <c:v>COMMAND</c:v>
                </c:pt>
                <c:pt idx="42">
                  <c:v>POLYMAC</c:v>
                </c:pt>
                <c:pt idx="43">
                  <c:v>TIJARIA</c:v>
                </c:pt>
                <c:pt idx="44">
                  <c:v>PADALPO</c:v>
                </c:pt>
                <c:pt idx="45">
                  <c:v>STURDY</c:v>
                </c:pt>
                <c:pt idx="46">
                  <c:v>BLOOM</c:v>
                </c:pt>
                <c:pt idx="47">
                  <c:v>INNOCORP</c:v>
                </c:pt>
                <c:pt idx="48">
                  <c:v>AMERISE</c:v>
                </c:pt>
              </c:strCache>
            </c:strRef>
          </c:cat>
          <c:val>
            <c:numRef>
              <c:f>' Plastic Products-Industrial'!$C$59:$C$107</c:f>
              <c:numCache>
                <c:formatCode>0</c:formatCode>
                <c:ptCount val="49"/>
                <c:pt idx="0" formatCode="[$₹]#,##0">
                  <c:v>0</c:v>
                </c:pt>
                <c:pt idx="1">
                  <c:v>50951.547659999997</c:v>
                </c:pt>
                <c:pt idx="2">
                  <c:v>48325.997300000003</c:v>
                </c:pt>
                <c:pt idx="3">
                  <c:v>13915.76</c:v>
                </c:pt>
                <c:pt idx="4">
                  <c:v>7573.4285</c:v>
                </c:pt>
                <c:pt idx="5">
                  <c:v>6768.6539380000004</c:v>
                </c:pt>
                <c:pt idx="6">
                  <c:v>4354.2644203999998</c:v>
                </c:pt>
                <c:pt idx="7">
                  <c:v>4016.132177</c:v>
                </c:pt>
                <c:pt idx="8">
                  <c:v>3852.2788045000002</c:v>
                </c:pt>
                <c:pt idx="9">
                  <c:v>2840.5005277</c:v>
                </c:pt>
                <c:pt idx="10">
                  <c:v>2592.002</c:v>
                </c:pt>
                <c:pt idx="11">
                  <c:v>1477.1627814999999</c:v>
                </c:pt>
                <c:pt idx="12">
                  <c:v>647.32593599999996</c:v>
                </c:pt>
                <c:pt idx="13">
                  <c:v>546.02869999999996</c:v>
                </c:pt>
                <c:pt idx="14">
                  <c:v>389.97965629999999</c:v>
                </c:pt>
                <c:pt idx="15">
                  <c:v>381.60879999999997</c:v>
                </c:pt>
                <c:pt idx="16">
                  <c:v>324.51493599999998</c:v>
                </c:pt>
                <c:pt idx="17">
                  <c:v>319.0976</c:v>
                </c:pt>
                <c:pt idx="18">
                  <c:v>277.52080000000001</c:v>
                </c:pt>
                <c:pt idx="19">
                  <c:v>254.31207910000001</c:v>
                </c:pt>
                <c:pt idx="20">
                  <c:v>236.7715</c:v>
                </c:pt>
                <c:pt idx="21">
                  <c:v>234.95779999999999</c:v>
                </c:pt>
                <c:pt idx="22">
                  <c:v>213.20009999999999</c:v>
                </c:pt>
                <c:pt idx="23">
                  <c:v>182.66560000000001</c:v>
                </c:pt>
                <c:pt idx="24">
                  <c:v>166.6891</c:v>
                </c:pt>
                <c:pt idx="25">
                  <c:v>135.9633</c:v>
                </c:pt>
                <c:pt idx="26">
                  <c:v>125.5152631</c:v>
                </c:pt>
                <c:pt idx="27">
                  <c:v>109.875</c:v>
                </c:pt>
                <c:pt idx="28">
                  <c:v>99.66</c:v>
                </c:pt>
                <c:pt idx="29">
                  <c:v>88.21405</c:v>
                </c:pt>
                <c:pt idx="30">
                  <c:v>85.880430000000004</c:v>
                </c:pt>
                <c:pt idx="31">
                  <c:v>84.686300000000003</c:v>
                </c:pt>
                <c:pt idx="32">
                  <c:v>80.1738</c:v>
                </c:pt>
                <c:pt idx="33">
                  <c:v>61.223100000000002</c:v>
                </c:pt>
                <c:pt idx="34">
                  <c:v>57.240609999999997</c:v>
                </c:pt>
                <c:pt idx="35">
                  <c:v>54.796289999999999</c:v>
                </c:pt>
                <c:pt idx="36">
                  <c:v>49.933</c:v>
                </c:pt>
                <c:pt idx="37">
                  <c:v>47.238979999999998</c:v>
                </c:pt>
                <c:pt idx="38">
                  <c:v>46.518778599999997</c:v>
                </c:pt>
                <c:pt idx="39">
                  <c:v>26.188890000000001</c:v>
                </c:pt>
                <c:pt idx="40">
                  <c:v>25.456040000000002</c:v>
                </c:pt>
                <c:pt idx="41">
                  <c:v>24.37942</c:v>
                </c:pt>
                <c:pt idx="42">
                  <c:v>19.91058</c:v>
                </c:pt>
                <c:pt idx="43">
                  <c:v>18.46414</c:v>
                </c:pt>
                <c:pt idx="44">
                  <c:v>14.19909</c:v>
                </c:pt>
                <c:pt idx="45">
                  <c:v>8.7727085000000002</c:v>
                </c:pt>
                <c:pt idx="46">
                  <c:v>6.3841999999999999</c:v>
                </c:pt>
                <c:pt idx="47">
                  <c:v>5.0348480000000002</c:v>
                </c:pt>
                <c:pt idx="48">
                  <c:v>5.0212440000000003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C570-495F-857C-374A01180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Products-Industrial'!$K$59</c:f>
              <c:strCache>
                <c:ptCount val="1"/>
                <c:pt idx="0">
                  <c:v>PROFIT_23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B5-4C19-9CE9-CDF2C84767D6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B5-4C19-9CE9-CDF2C8476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Products-Industrial'!$J$60:$J$70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Products-Industrial'!$K$60:$K$70</c:f>
              <c:numCache>
                <c:formatCode>General</c:formatCode>
                <c:ptCount val="11"/>
                <c:pt idx="0">
                  <c:v>865</c:v>
                </c:pt>
                <c:pt idx="1">
                  <c:v>459</c:v>
                </c:pt>
                <c:pt idx="2">
                  <c:v>250</c:v>
                </c:pt>
                <c:pt idx="3">
                  <c:v>121</c:v>
                </c:pt>
                <c:pt idx="4">
                  <c:v>-14</c:v>
                </c:pt>
                <c:pt idx="5">
                  <c:v>-66</c:v>
                </c:pt>
                <c:pt idx="6">
                  <c:v>223</c:v>
                </c:pt>
                <c:pt idx="7">
                  <c:v>166</c:v>
                </c:pt>
                <c:pt idx="8">
                  <c:v>24</c:v>
                </c:pt>
                <c:pt idx="9">
                  <c:v>81</c:v>
                </c:pt>
                <c:pt idx="10">
                  <c:v>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BB5-4C19-9CE9-CDF2C847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454695"/>
        <c:axId val="1300427131"/>
      </c:barChart>
      <c:catAx>
        <c:axId val="1956454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0427131"/>
        <c:crosses val="autoZero"/>
        <c:auto val="1"/>
        <c:lblAlgn val="ctr"/>
        <c:lblOffset val="100"/>
        <c:noMultiLvlLbl val="1"/>
      </c:catAx>
      <c:valAx>
        <c:axId val="13004271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4546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Products-Industrial'!$O$59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78-4F58-AAA4-4E12FF54DA70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78-4F58-AAA4-4E12FF54DA70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178-4F58-AAA4-4E12FF54DA70}"/>
              </c:ext>
            </c:extLst>
          </c:dPt>
          <c:dPt>
            <c:idx val="8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78-4F58-AAA4-4E12FF54D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Products-Industrial'!$N$60:$N$70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Products-Industrial'!$O$60:$O$70</c:f>
              <c:numCache>
                <c:formatCode>0%</c:formatCode>
                <c:ptCount val="11"/>
                <c:pt idx="0">
                  <c:v>0.13126841838283765</c:v>
                </c:pt>
                <c:pt idx="1">
                  <c:v>0.19259978683993229</c:v>
                </c:pt>
                <c:pt idx="2">
                  <c:v>9.2052001722385146E-2</c:v>
                </c:pt>
                <c:pt idx="3">
                  <c:v>0.15455145958763383</c:v>
                </c:pt>
                <c:pt idx="4">
                  <c:v>-2.3561352442750261E-3</c:v>
                </c:pt>
                <c:pt idx="5">
                  <c:v>-6.3988682159970667E-2</c:v>
                </c:pt>
                <c:pt idx="6">
                  <c:v>6.6809481031940177E-2</c:v>
                </c:pt>
                <c:pt idx="7">
                  <c:v>0.11298512208788436</c:v>
                </c:pt>
                <c:pt idx="8">
                  <c:v>0.26274380576597967</c:v>
                </c:pt>
                <c:pt idx="9">
                  <c:v>0.17856760994506349</c:v>
                </c:pt>
                <c:pt idx="10">
                  <c:v>0.13589119150524764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178-4F58-AAA4-4E12FF54D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248061"/>
        <c:axId val="627551286"/>
      </c:barChart>
      <c:catAx>
        <c:axId val="8322480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27551286"/>
        <c:crosses val="autoZero"/>
        <c:auto val="1"/>
        <c:lblAlgn val="ctr"/>
        <c:lblOffset val="100"/>
        <c:noMultiLvlLbl val="1"/>
      </c:catAx>
      <c:valAx>
        <c:axId val="627551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22480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 MARGIN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Products-Industrial'!$C$114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07-46BC-B20D-01CA7BE7AEEC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07-46BC-B20D-01CA7BE7AEEC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07-46BC-B20D-01CA7BE7AEEC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C07-46BC-B20D-01CA7BE7AE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Products-Industrial'!$B$115:$B$125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Products-Industrial'!$C$115:$C$125</c:f>
              <c:numCache>
                <c:formatCode>0%</c:formatCode>
                <c:ptCount val="11"/>
                <c:pt idx="0">
                  <c:v>9.4011520486903602E-2</c:v>
                </c:pt>
                <c:pt idx="1">
                  <c:v>8.8987979837146181E-2</c:v>
                </c:pt>
                <c:pt idx="2">
                  <c:v>5.6856947919035707E-2</c:v>
                </c:pt>
                <c:pt idx="3">
                  <c:v>4.4649446494464944E-2</c:v>
                </c:pt>
                <c:pt idx="4">
                  <c:v>-0.02</c:v>
                </c:pt>
                <c:pt idx="5">
                  <c:v>-0.01</c:v>
                </c:pt>
                <c:pt idx="6">
                  <c:v>5.1993471671718347E-2</c:v>
                </c:pt>
                <c:pt idx="7">
                  <c:v>0.11543810848400557</c:v>
                </c:pt>
                <c:pt idx="8">
                  <c:v>2.6229508196721311E-2</c:v>
                </c:pt>
                <c:pt idx="9">
                  <c:v>5.7733428367783321E-2</c:v>
                </c:pt>
                <c:pt idx="10">
                  <c:v>5.7660626029654036E-2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C07-46BC-B20D-01CA7BE7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565156"/>
        <c:axId val="1996648023"/>
      </c:barChart>
      <c:catAx>
        <c:axId val="16185651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6648023"/>
        <c:crosses val="autoZero"/>
        <c:auto val="1"/>
        <c:lblAlgn val="ctr"/>
        <c:lblOffset val="100"/>
        <c:noMultiLvlLbl val="1"/>
      </c:catAx>
      <c:valAx>
        <c:axId val="19966480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MARGIN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85651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Products-Industrial'!$G$114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78-420B-B136-CE1D315FEAE5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78-420B-B136-CE1D315FEA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Products-Industrial'!$F$115:$F$125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Products-Industrial'!$G$115:$G$125</c:f>
              <c:numCache>
                <c:formatCode>0.0</c:formatCode>
                <c:ptCount val="11"/>
                <c:pt idx="0">
                  <c:v>2.8507596508167969</c:v>
                </c:pt>
                <c:pt idx="1">
                  <c:v>1.7150304083405734</c:v>
                </c:pt>
                <c:pt idx="2">
                  <c:v>2.545774647887324</c:v>
                </c:pt>
                <c:pt idx="3">
                  <c:v>2.6627078384798102</c:v>
                </c:pt>
                <c:pt idx="4">
                  <c:v>23.727272727272727</c:v>
                </c:pt>
                <c:pt idx="5">
                  <c:v>1.4487554904831625</c:v>
                </c:pt>
                <c:pt idx="6">
                  <c:v>2.215940685820204</c:v>
                </c:pt>
                <c:pt idx="7">
                  <c:v>3.0091743119266057</c:v>
                </c:pt>
                <c:pt idx="8">
                  <c:v>1.6582914572864322</c:v>
                </c:pt>
                <c:pt idx="9">
                  <c:v>1.6708860759493671</c:v>
                </c:pt>
                <c:pt idx="10">
                  <c:v>1.1208333333333333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A78-420B-B136-CE1D315F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506090"/>
        <c:axId val="41882827"/>
      </c:barChart>
      <c:catAx>
        <c:axId val="14755060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882827"/>
        <c:crosses val="autoZero"/>
        <c:auto val="1"/>
        <c:lblAlgn val="ctr"/>
        <c:lblOffset val="100"/>
        <c:noMultiLvlLbl val="1"/>
      </c:catAx>
      <c:valAx>
        <c:axId val="418828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55060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Products-Industrial'!$K$114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FF-4B07-92F2-573F6DA6B1FF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FF-4B07-92F2-573F6DA6B1FF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FF-4B07-92F2-573F6DA6B1FF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FF-4B07-92F2-573F6DA6B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Products-Industrial'!$J$115:$J$125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Products-Industrial'!$K$115:$K$125</c:f>
              <c:numCache>
                <c:formatCode>0</c:formatCode>
                <c:ptCount val="11"/>
                <c:pt idx="0">
                  <c:v>21.064558200195631</c:v>
                </c:pt>
                <c:pt idx="1">
                  <c:v>22.715199689802247</c:v>
                </c:pt>
                <c:pt idx="2">
                  <c:v>24.737320900614055</c:v>
                </c:pt>
                <c:pt idx="3">
                  <c:v>56.164206642066418</c:v>
                </c:pt>
                <c:pt idx="4">
                  <c:v>28.457627118644069</c:v>
                </c:pt>
                <c:pt idx="5">
                  <c:v>127.53088567948495</c:v>
                </c:pt>
                <c:pt idx="6">
                  <c:v>82.888785264630457</c:v>
                </c:pt>
                <c:pt idx="7">
                  <c:v>3.8073713490959666</c:v>
                </c:pt>
                <c:pt idx="8">
                  <c:v>26.327868852459019</c:v>
                </c:pt>
                <c:pt idx="9">
                  <c:v>86.111903064861011</c:v>
                </c:pt>
                <c:pt idx="10">
                  <c:v>64.942339373970356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91FF-4B07-92F2-573F6DA6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066424"/>
        <c:axId val="80705204"/>
      </c:barChart>
      <c:catAx>
        <c:axId val="1787066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705204"/>
        <c:crosses val="autoZero"/>
        <c:auto val="1"/>
        <c:lblAlgn val="ctr"/>
        <c:lblOffset val="100"/>
        <c:noMultiLvlLbl val="1"/>
      </c:catAx>
      <c:valAx>
        <c:axId val="807052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70664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Products-Industrial'!$C$146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FC8-4B3F-8262-E1144D04810A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FC8-4B3F-8262-E1144D04810A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FC8-4B3F-8262-E1144D0481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Products-Industrial'!$B$147:$B$157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Products-Industrial'!$C$147:$C$157</c:f>
              <c:numCache>
                <c:formatCode>0.00</c:formatCode>
                <c:ptCount val="11"/>
                <c:pt idx="0">
                  <c:v>0</c:v>
                </c:pt>
                <c:pt idx="1">
                  <c:v>2.4579560155239329E-2</c:v>
                </c:pt>
                <c:pt idx="2">
                  <c:v>0.10728125637364878</c:v>
                </c:pt>
                <c:pt idx="3">
                  <c:v>3.7292817679558013E-2</c:v>
                </c:pt>
                <c:pt idx="4">
                  <c:v>0</c:v>
                </c:pt>
                <c:pt idx="5">
                  <c:v>0.54467101114147576</c:v>
                </c:pt>
                <c:pt idx="6">
                  <c:v>0.31945589447650452</c:v>
                </c:pt>
                <c:pt idx="7">
                  <c:v>1.8691588785046728E-2</c:v>
                </c:pt>
                <c:pt idx="8">
                  <c:v>9.6280087527352301E-2</c:v>
                </c:pt>
                <c:pt idx="9">
                  <c:v>4.716981132075472E-2</c:v>
                </c:pt>
                <c:pt idx="10">
                  <c:v>0.48936170212765956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0FC8-4B3F-8262-E1144D04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816237"/>
        <c:axId val="1346178933"/>
      </c:barChart>
      <c:catAx>
        <c:axId val="5428162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6178933"/>
        <c:crosses val="autoZero"/>
        <c:auto val="1"/>
        <c:lblAlgn val="ctr"/>
        <c:lblOffset val="100"/>
        <c:noMultiLvlLbl val="1"/>
      </c:catAx>
      <c:valAx>
        <c:axId val="13461789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281623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 Plastic Products-Industrial'!$G$146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0F-41EE-9191-0405067D1B18}"/>
              </c:ext>
            </c:extLst>
          </c:dPt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0F-41EE-9191-0405067D1B18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0F-41EE-9191-0405067D1B18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0F-41EE-9191-0405067D1B18}"/>
              </c:ext>
            </c:extLst>
          </c:dPt>
          <c:dPt>
            <c:idx val="7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70F-41EE-9191-0405067D1B18}"/>
              </c:ext>
            </c:extLst>
          </c:dPt>
          <c:dPt>
            <c:idx val="9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70F-41EE-9191-0405067D1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Plastic Products-Industrial'!$F$147:$F$157</c:f>
              <c:strCache>
                <c:ptCount val="11"/>
                <c:pt idx="0">
                  <c:v>SUPREMEIND</c:v>
                </c:pt>
                <c:pt idx="1">
                  <c:v>ASTRAL</c:v>
                </c:pt>
                <c:pt idx="2">
                  <c:v>FINOLEXIND</c:v>
                </c:pt>
                <c:pt idx="3">
                  <c:v>PRINCEPIPE</c:v>
                </c:pt>
                <c:pt idx="4">
                  <c:v>JAICORPLTD</c:v>
                </c:pt>
                <c:pt idx="5">
                  <c:v>JISLJALEQS</c:v>
                </c:pt>
                <c:pt idx="6">
                  <c:v>TIMETECHNO</c:v>
                </c:pt>
                <c:pt idx="7">
                  <c:v>GRWRHITECH</c:v>
                </c:pt>
                <c:pt idx="8">
                  <c:v>APOLLOPIPES</c:v>
                </c:pt>
                <c:pt idx="9">
                  <c:v>KINGFA</c:v>
                </c:pt>
                <c:pt idx="10">
                  <c:v>SHAILY</c:v>
                </c:pt>
              </c:strCache>
            </c:strRef>
          </c:cat>
          <c:val>
            <c:numRef>
              <c:f>' Plastic Products-Industrial'!$G$147:$G$157</c:f>
              <c:numCache>
                <c:formatCode>0</c:formatCode>
                <c:ptCount val="11"/>
                <c:pt idx="0">
                  <c:v>117</c:v>
                </c:pt>
                <c:pt idx="1">
                  <c:v>15.775</c:v>
                </c:pt>
                <c:pt idx="2">
                  <c:v>677.83333333333337</c:v>
                </c:pt>
                <c:pt idx="3">
                  <c:v>22.636363636363637</c:v>
                </c:pt>
                <c:pt idx="4">
                  <c:v>176</c:v>
                </c:pt>
                <c:pt idx="5">
                  <c:v>0.75692963752665243</c:v>
                </c:pt>
                <c:pt idx="6">
                  <c:v>666.5</c:v>
                </c:pt>
                <c:pt idx="7">
                  <c:v>184.66666666666666</c:v>
                </c:pt>
                <c:pt idx="8">
                  <c:v>4.4831460674157304</c:v>
                </c:pt>
                <c:pt idx="9">
                  <c:v>1321</c:v>
                </c:pt>
                <c:pt idx="10">
                  <c:v>3.2777777777777777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770F-41EE-9191-0405067D1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304205"/>
        <c:axId val="1558128286"/>
      </c:barChart>
      <c:catAx>
        <c:axId val="8853042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8128286"/>
        <c:crosses val="autoZero"/>
        <c:auto val="1"/>
        <c:lblAlgn val="ctr"/>
        <c:lblOffset val="100"/>
        <c:noMultiLvlLbl val="1"/>
      </c:catAx>
      <c:valAx>
        <c:axId val="1558128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53042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76200</xdr:rowOff>
    </xdr:from>
    <xdr:ext cx="7543800" cy="32480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F4BBDD25-925F-487F-ABB3-4B49B836EF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646920"/>
          <a:ext cx="7543800" cy="3248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72</xdr:row>
      <xdr:rowOff>95250</xdr:rowOff>
    </xdr:from>
    <xdr:ext cx="4905375" cy="30384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8A1D2C69-D8FB-4C61-ACE2-178DE34CC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542925</xdr:colOff>
      <xdr:row>87</xdr:row>
      <xdr:rowOff>161925</xdr:rowOff>
    </xdr:from>
    <xdr:ext cx="4905375" cy="30384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84CF199B-B706-4166-91FD-DA89177A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647700</xdr:colOff>
      <xdr:row>72</xdr:row>
      <xdr:rowOff>95250</xdr:rowOff>
    </xdr:from>
    <xdr:ext cx="4905375" cy="30384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4DD63518-55CC-4843-B193-1D58ECC51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13</xdr:col>
      <xdr:colOff>752475</xdr:colOff>
      <xdr:row>72</xdr:row>
      <xdr:rowOff>95250</xdr:rowOff>
    </xdr:from>
    <xdr:ext cx="4905375" cy="30384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1C6E9C72-6607-408B-B659-FFCFAB63D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66675</xdr:colOff>
      <xdr:row>127</xdr:row>
      <xdr:rowOff>104775</xdr:rowOff>
    </xdr:from>
    <xdr:ext cx="4400550" cy="27146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90CD30A5-7E09-4340-A9B1-57D2E43A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628650</xdr:colOff>
      <xdr:row>127</xdr:row>
      <xdr:rowOff>104775</xdr:rowOff>
    </xdr:from>
    <xdr:ext cx="4400550" cy="27146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E6C3C07-4425-4E43-9F73-AFFD18C4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9</xdr:col>
      <xdr:colOff>228600</xdr:colOff>
      <xdr:row>127</xdr:row>
      <xdr:rowOff>104775</xdr:rowOff>
    </xdr:from>
    <xdr:ext cx="4400550" cy="27146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5E3738E5-7281-4F8B-B63F-1876EEC2D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171450</xdr:colOff>
      <xdr:row>159</xdr:row>
      <xdr:rowOff>47625</xdr:rowOff>
    </xdr:from>
    <xdr:ext cx="4295775" cy="264795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5E38B221-9447-4446-A40A-7BF79DAFE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628650</xdr:colOff>
      <xdr:row>159</xdr:row>
      <xdr:rowOff>47625</xdr:rowOff>
    </xdr:from>
    <xdr:ext cx="4295775" cy="264795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31FE24FF-2076-40BA-9900-0AF017C7A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9</xdr:col>
      <xdr:colOff>123825</xdr:colOff>
      <xdr:row>159</xdr:row>
      <xdr:rowOff>47625</xdr:rowOff>
    </xdr:from>
    <xdr:ext cx="4343400" cy="264795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225C224F-7DE9-496D-A369-7594A4832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66675</xdr:colOff>
      <xdr:row>191</xdr:row>
      <xdr:rowOff>57150</xdr:rowOff>
    </xdr:from>
    <xdr:ext cx="5715000" cy="353377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9BD273B3-5DAA-4877-8CDA-C9FA8670D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6</xdr:col>
      <xdr:colOff>28575</xdr:colOff>
      <xdr:row>191</xdr:row>
      <xdr:rowOff>57150</xdr:rowOff>
    </xdr:from>
    <xdr:ext cx="5715000" cy="35337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1ABB78E4-C55F-438A-AF7C-83A1326A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219075</xdr:colOff>
      <xdr:row>227</xdr:row>
      <xdr:rowOff>76200</xdr:rowOff>
    </xdr:from>
    <xdr:ext cx="4648200" cy="28670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2FEFC47D-383E-4485-B477-2B3779F22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66675</xdr:colOff>
      <xdr:row>227</xdr:row>
      <xdr:rowOff>76200</xdr:rowOff>
    </xdr:from>
    <xdr:ext cx="4648200" cy="28670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21388AE2-EA9A-4254-A79B-B62F85E91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9</xdr:col>
      <xdr:colOff>876300</xdr:colOff>
      <xdr:row>227</xdr:row>
      <xdr:rowOff>76200</xdr:rowOff>
    </xdr:from>
    <xdr:ext cx="4648200" cy="286702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7E91C842-EB61-4002-819F-B6A6C7EB2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lastic%20Products%20(6).xlsx" TargetMode="External"/><Relationship Id="rId1" Type="http://schemas.openxmlformats.org/officeDocument/2006/relationships/externalLinkPath" Target="/Users/profi/Downloads/Plastic%20Products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Plastic Products-Industrial"/>
      <sheetName val="Sheet1"/>
      <sheetName val="Sheet3"/>
      <sheetName val="Plastic Products"/>
      <sheetName val="Astral"/>
      <sheetName val="supreme"/>
      <sheetName val="Prince"/>
    </sheetNames>
    <sheetDataSet>
      <sheetData sheetId="0">
        <row r="59">
          <cell r="B59" t="str">
            <v>Security Name</v>
          </cell>
          <cell r="C59" t="str">
            <v>Marketcap</v>
          </cell>
          <cell r="G59" t="str">
            <v>SALES_23</v>
          </cell>
          <cell r="K59" t="str">
            <v>PROFIT_23</v>
          </cell>
          <cell r="O59" t="str">
            <v>SALES_5Y_GR</v>
          </cell>
        </row>
        <row r="60">
          <cell r="B60" t="str">
            <v>SUPREMEIND</v>
          </cell>
          <cell r="C60">
            <v>50951.547659999997</v>
          </cell>
          <cell r="F60" t="str">
            <v>SUPREMEIND</v>
          </cell>
          <cell r="G60">
            <v>9201</v>
          </cell>
          <cell r="J60" t="str">
            <v>SUPREMEIND</v>
          </cell>
          <cell r="K60">
            <v>865</v>
          </cell>
          <cell r="N60" t="str">
            <v>SUPREMEIND</v>
          </cell>
          <cell r="O60">
            <v>0.13126841838283765</v>
          </cell>
        </row>
        <row r="61">
          <cell r="B61" t="str">
            <v>ASTRAL</v>
          </cell>
          <cell r="C61">
            <v>48325.997300000003</v>
          </cell>
          <cell r="F61" t="str">
            <v>JISLJALEQS</v>
          </cell>
          <cell r="G61">
            <v>5747</v>
          </cell>
          <cell r="J61" t="str">
            <v>ASTRAL</v>
          </cell>
          <cell r="K61">
            <v>459</v>
          </cell>
          <cell r="N61" t="str">
            <v>ASTRAL</v>
          </cell>
          <cell r="O61">
            <v>0.19259978683993229</v>
          </cell>
        </row>
        <row r="62">
          <cell r="B62" t="str">
            <v>FINOLEXIND</v>
          </cell>
          <cell r="C62">
            <v>13915.76</v>
          </cell>
          <cell r="F62" t="str">
            <v>ASTRAL</v>
          </cell>
          <cell r="G62">
            <v>5158</v>
          </cell>
          <cell r="J62" t="str">
            <v>FINOLEXIND</v>
          </cell>
          <cell r="K62">
            <v>250</v>
          </cell>
          <cell r="N62" t="str">
            <v>FINOLEXIND</v>
          </cell>
          <cell r="O62">
            <v>9.2052001722385146E-2</v>
          </cell>
        </row>
        <row r="63">
          <cell r="B63" t="str">
            <v>PRINCEPIPE</v>
          </cell>
          <cell r="C63">
            <v>7573.4285</v>
          </cell>
          <cell r="F63" t="str">
            <v>FINOLEXIND</v>
          </cell>
          <cell r="G63">
            <v>4397</v>
          </cell>
          <cell r="J63" t="str">
            <v>PRINCEPIPE</v>
          </cell>
          <cell r="K63">
            <v>121</v>
          </cell>
          <cell r="N63" t="str">
            <v>PRINCEPIPE</v>
          </cell>
          <cell r="O63">
            <v>0.15455145958763383</v>
          </cell>
        </row>
        <row r="64">
          <cell r="B64" t="str">
            <v>JAICORPLTD</v>
          </cell>
          <cell r="C64">
            <v>6768.6539380000004</v>
          </cell>
          <cell r="F64" t="str">
            <v>TIMETECHNO</v>
          </cell>
          <cell r="G64">
            <v>4289</v>
          </cell>
          <cell r="J64" t="str">
            <v>JAICORPLTD</v>
          </cell>
          <cell r="K64">
            <v>-14</v>
          </cell>
          <cell r="N64" t="str">
            <v>JAICORPLTD</v>
          </cell>
          <cell r="O64">
            <v>-2.3561352442750261E-3</v>
          </cell>
        </row>
        <row r="65">
          <cell r="B65" t="str">
            <v>JISLJALEQS</v>
          </cell>
          <cell r="C65">
            <v>4354.2644203999998</v>
          </cell>
          <cell r="F65" t="str">
            <v>PRINCEPIPE</v>
          </cell>
          <cell r="G65">
            <v>2710</v>
          </cell>
          <cell r="J65" t="str">
            <v>JISLJALEQS</v>
          </cell>
          <cell r="K65">
            <v>-66</v>
          </cell>
          <cell r="N65" t="str">
            <v>JISLJALEQS</v>
          </cell>
          <cell r="O65">
            <v>-6.3988682159970667E-2</v>
          </cell>
        </row>
        <row r="66">
          <cell r="B66" t="str">
            <v>TIMETECHNO</v>
          </cell>
          <cell r="C66">
            <v>4016.132177</v>
          </cell>
          <cell r="F66" t="str">
            <v>GRWRHITECH</v>
          </cell>
          <cell r="G66">
            <v>1438</v>
          </cell>
          <cell r="J66" t="str">
            <v>TIMETECHNO</v>
          </cell>
          <cell r="K66">
            <v>223</v>
          </cell>
          <cell r="N66" t="str">
            <v>TIMETECHNO</v>
          </cell>
          <cell r="O66">
            <v>6.6809481031940177E-2</v>
          </cell>
        </row>
        <row r="67">
          <cell r="B67" t="str">
            <v>GRWRHITECH</v>
          </cell>
          <cell r="C67">
            <v>3852.2788045000002</v>
          </cell>
          <cell r="F67" t="str">
            <v>KINGFA</v>
          </cell>
          <cell r="G67">
            <v>1403</v>
          </cell>
          <cell r="J67" t="str">
            <v>GRWRHITECH</v>
          </cell>
          <cell r="K67">
            <v>166</v>
          </cell>
          <cell r="N67" t="str">
            <v>GRWRHITECH</v>
          </cell>
          <cell r="O67">
            <v>0.11298512208788436</v>
          </cell>
        </row>
        <row r="68">
          <cell r="B68" t="str">
            <v>APOLLOPIPES</v>
          </cell>
          <cell r="C68">
            <v>2840.5005277</v>
          </cell>
          <cell r="F68" t="str">
            <v>APOLLOPIPES</v>
          </cell>
          <cell r="G68">
            <v>915</v>
          </cell>
          <cell r="J68" t="str">
            <v>APOLLOPIPES</v>
          </cell>
          <cell r="K68">
            <v>24</v>
          </cell>
          <cell r="N68" t="str">
            <v>APOLLOPIPES</v>
          </cell>
          <cell r="O68">
            <v>0.26274380576597967</v>
          </cell>
        </row>
        <row r="69">
          <cell r="B69" t="str">
            <v>KINGFA</v>
          </cell>
          <cell r="C69">
            <v>2592.002</v>
          </cell>
          <cell r="F69" t="str">
            <v>SHAILY</v>
          </cell>
          <cell r="G69">
            <v>607</v>
          </cell>
          <cell r="J69" t="str">
            <v>KINGFA</v>
          </cell>
          <cell r="K69">
            <v>81</v>
          </cell>
          <cell r="N69" t="str">
            <v>KINGFA</v>
          </cell>
          <cell r="O69">
            <v>0.17856760994506349</v>
          </cell>
        </row>
        <row r="70">
          <cell r="B70" t="str">
            <v>SHAILY</v>
          </cell>
          <cell r="C70">
            <v>1477.1627814999999</v>
          </cell>
          <cell r="F70" t="str">
            <v>JAICORPLTD</v>
          </cell>
          <cell r="G70">
            <v>590</v>
          </cell>
          <cell r="J70" t="str">
            <v>SHAILY</v>
          </cell>
          <cell r="K70">
            <v>35</v>
          </cell>
          <cell r="N70" t="str">
            <v>SHAILY</v>
          </cell>
          <cell r="O70">
            <v>0.13589119150524764</v>
          </cell>
        </row>
        <row r="71">
          <cell r="B71" t="str">
            <v>KRITIIND</v>
          </cell>
          <cell r="C71">
            <v>647.32593599999996</v>
          </cell>
        </row>
        <row r="72">
          <cell r="B72" t="str">
            <v>INTELLCAP</v>
          </cell>
          <cell r="C72">
            <v>546.02869999999996</v>
          </cell>
        </row>
        <row r="73">
          <cell r="B73" t="str">
            <v>SHISHIND</v>
          </cell>
          <cell r="C73">
            <v>389.97965629999999</v>
          </cell>
        </row>
        <row r="74">
          <cell r="B74" t="str">
            <v>DHABRIYA</v>
          </cell>
          <cell r="C74">
            <v>381.60879999999997</v>
          </cell>
        </row>
        <row r="75">
          <cell r="B75" t="str">
            <v>PREMIERPOL</v>
          </cell>
          <cell r="C75">
            <v>324.51493599999998</v>
          </cell>
        </row>
        <row r="76">
          <cell r="B76" t="str">
            <v>KAKA</v>
          </cell>
          <cell r="C76">
            <v>319.0976</v>
          </cell>
        </row>
        <row r="77">
          <cell r="B77" t="str">
            <v>CAPRIHANS</v>
          </cell>
          <cell r="C77">
            <v>277.52080000000001</v>
          </cell>
        </row>
        <row r="78">
          <cell r="B78" t="str">
            <v>CPL</v>
          </cell>
          <cell r="C78">
            <v>254.31207910000001</v>
          </cell>
        </row>
        <row r="79">
          <cell r="B79" t="str">
            <v>TEXMOPIPES</v>
          </cell>
          <cell r="C79">
            <v>236.7715</v>
          </cell>
        </row>
        <row r="80">
          <cell r="B80" t="str">
            <v>NATPLASTI</v>
          </cell>
          <cell r="C80">
            <v>234.95779999999999</v>
          </cell>
        </row>
        <row r="81">
          <cell r="B81" t="str">
            <v>GMPL</v>
          </cell>
          <cell r="C81">
            <v>213.20009999999999</v>
          </cell>
        </row>
        <row r="82">
          <cell r="B82" t="str">
            <v>SPL</v>
          </cell>
          <cell r="C82">
            <v>182.66560000000001</v>
          </cell>
        </row>
        <row r="83">
          <cell r="B83" t="str">
            <v>HINDADH</v>
          </cell>
          <cell r="C83">
            <v>166.6891</v>
          </cell>
        </row>
        <row r="84">
          <cell r="B84" t="str">
            <v>TAINWALCHM</v>
          </cell>
          <cell r="C84">
            <v>135.9633</v>
          </cell>
        </row>
        <row r="85">
          <cell r="B85" t="str">
            <v>RUNGTAIR</v>
          </cell>
          <cell r="C85">
            <v>125.5152631</v>
          </cell>
        </row>
        <row r="86">
          <cell r="B86" t="str">
            <v>ECOPLAST</v>
          </cell>
          <cell r="C86">
            <v>109.875</v>
          </cell>
        </row>
        <row r="87">
          <cell r="B87" t="str">
            <v>DUTRON</v>
          </cell>
          <cell r="C87">
            <v>99.66</v>
          </cell>
        </row>
        <row r="88">
          <cell r="B88" t="str">
            <v>BRIGHTBR</v>
          </cell>
          <cell r="C88">
            <v>88.21405</v>
          </cell>
        </row>
        <row r="89">
          <cell r="B89" t="str">
            <v>SINTEXPLAST</v>
          </cell>
          <cell r="C89">
            <v>85.880430000000004</v>
          </cell>
        </row>
        <row r="90">
          <cell r="B90" t="str">
            <v>CANDOUR</v>
          </cell>
          <cell r="C90">
            <v>84.686300000000003</v>
          </cell>
        </row>
        <row r="91">
          <cell r="B91" t="str">
            <v>AIKPIPES</v>
          </cell>
          <cell r="C91">
            <v>80.1738</v>
          </cell>
        </row>
        <row r="92">
          <cell r="B92" t="str">
            <v>NATPLAS</v>
          </cell>
          <cell r="C92">
            <v>61.223100000000002</v>
          </cell>
        </row>
        <row r="93">
          <cell r="B93" t="str">
            <v>AXELPOLY</v>
          </cell>
          <cell r="C93">
            <v>57.240609999999997</v>
          </cell>
        </row>
        <row r="94">
          <cell r="B94" t="str">
            <v>SRIKPRIND</v>
          </cell>
          <cell r="C94">
            <v>54.796289999999999</v>
          </cell>
        </row>
        <row r="95">
          <cell r="B95" t="str">
            <v>DUROPACK</v>
          </cell>
          <cell r="C95">
            <v>49.933</v>
          </cell>
        </row>
        <row r="96">
          <cell r="B96" t="str">
            <v>KISAN</v>
          </cell>
          <cell r="C96">
            <v>47.238979999999998</v>
          </cell>
        </row>
        <row r="97">
          <cell r="B97" t="str">
            <v>TEXELIN</v>
          </cell>
          <cell r="C97">
            <v>46.518778599999997</v>
          </cell>
        </row>
        <row r="98">
          <cell r="B98" t="str">
            <v>KUNSTOFF</v>
          </cell>
          <cell r="C98">
            <v>26.188890000000001</v>
          </cell>
        </row>
        <row r="99">
          <cell r="B99" t="str">
            <v>ALFAICA</v>
          </cell>
          <cell r="C99">
            <v>25.456040000000002</v>
          </cell>
        </row>
        <row r="100">
          <cell r="B100" t="str">
            <v>COMMAND</v>
          </cell>
          <cell r="C100">
            <v>24.37942</v>
          </cell>
        </row>
        <row r="101">
          <cell r="B101" t="str">
            <v>POLYMAC</v>
          </cell>
          <cell r="C101">
            <v>19.91058</v>
          </cell>
        </row>
        <row r="102">
          <cell r="B102" t="str">
            <v>TIJARIA</v>
          </cell>
          <cell r="C102">
            <v>18.46414</v>
          </cell>
        </row>
        <row r="103">
          <cell r="B103" t="str">
            <v>PADALPO</v>
          </cell>
          <cell r="C103">
            <v>14.19909</v>
          </cell>
        </row>
        <row r="104">
          <cell r="B104" t="str">
            <v>STURDY</v>
          </cell>
          <cell r="C104">
            <v>8.7727085000000002</v>
          </cell>
        </row>
        <row r="105">
          <cell r="B105" t="str">
            <v>BLOOM</v>
          </cell>
          <cell r="C105">
            <v>6.3841999999999999</v>
          </cell>
        </row>
        <row r="106">
          <cell r="B106" t="str">
            <v>INNOCORP</v>
          </cell>
          <cell r="C106">
            <v>5.0348480000000002</v>
          </cell>
        </row>
        <row r="107">
          <cell r="B107" t="str">
            <v>AMERISE</v>
          </cell>
          <cell r="C107">
            <v>5.0212440000000003</v>
          </cell>
        </row>
        <row r="114">
          <cell r="C114" t="str">
            <v>MARGIN</v>
          </cell>
          <cell r="G114" t="str">
            <v>CUR. RATIO</v>
          </cell>
          <cell r="K114" t="str">
            <v>TR.DAYS</v>
          </cell>
        </row>
        <row r="115">
          <cell r="B115" t="str">
            <v>SUPREMEIND</v>
          </cell>
          <cell r="C115">
            <v>9.4011520486903602E-2</v>
          </cell>
          <cell r="F115" t="str">
            <v>SUPREMEIND</v>
          </cell>
          <cell r="G115">
            <v>2.8507596508167969</v>
          </cell>
          <cell r="J115" t="str">
            <v>SUPREMEIND</v>
          </cell>
          <cell r="K115">
            <v>21.064558200195631</v>
          </cell>
        </row>
        <row r="116">
          <cell r="B116" t="str">
            <v>ASTRAL</v>
          </cell>
          <cell r="C116">
            <v>8.8987979837146181E-2</v>
          </cell>
          <cell r="F116" t="str">
            <v>ASTRAL</v>
          </cell>
          <cell r="G116">
            <v>1.7150304083405734</v>
          </cell>
          <cell r="J116" t="str">
            <v>ASTRAL</v>
          </cell>
          <cell r="K116">
            <v>22.715199689802247</v>
          </cell>
        </row>
        <row r="117">
          <cell r="B117" t="str">
            <v>FINOLEXIND</v>
          </cell>
          <cell r="C117">
            <v>5.6856947919035707E-2</v>
          </cell>
          <cell r="F117" t="str">
            <v>FINOLEXIND</v>
          </cell>
          <cell r="G117">
            <v>2.545774647887324</v>
          </cell>
          <cell r="J117" t="str">
            <v>FINOLEXIND</v>
          </cell>
          <cell r="K117">
            <v>24.737320900614055</v>
          </cell>
        </row>
        <row r="118">
          <cell r="B118" t="str">
            <v>PRINCEPIPE</v>
          </cell>
          <cell r="C118">
            <v>4.4649446494464944E-2</v>
          </cell>
          <cell r="F118" t="str">
            <v>PRINCEPIPE</v>
          </cell>
          <cell r="G118">
            <v>2.6627078384798102</v>
          </cell>
          <cell r="J118" t="str">
            <v>PRINCEPIPE</v>
          </cell>
          <cell r="K118">
            <v>56.164206642066418</v>
          </cell>
        </row>
        <row r="119">
          <cell r="B119" t="str">
            <v>JAICORPLTD</v>
          </cell>
          <cell r="C119">
            <v>-0.02</v>
          </cell>
          <cell r="F119" t="str">
            <v>JAICORPLTD</v>
          </cell>
          <cell r="G119">
            <v>23.727272727272727</v>
          </cell>
          <cell r="J119" t="str">
            <v>JAICORPLTD</v>
          </cell>
          <cell r="K119">
            <v>28.457627118644069</v>
          </cell>
        </row>
        <row r="120">
          <cell r="B120" t="str">
            <v>JISLJALEQS</v>
          </cell>
          <cell r="C120">
            <v>-0.01</v>
          </cell>
          <cell r="F120" t="str">
            <v>JISLJALEQS</v>
          </cell>
          <cell r="G120">
            <v>1.4487554904831625</v>
          </cell>
          <cell r="J120" t="str">
            <v>JISLJALEQS</v>
          </cell>
          <cell r="K120">
            <v>127.53088567948495</v>
          </cell>
        </row>
        <row r="121">
          <cell r="B121" t="str">
            <v>TIMETECHNO</v>
          </cell>
          <cell r="C121">
            <v>5.1993471671718347E-2</v>
          </cell>
          <cell r="F121" t="str">
            <v>TIMETECHNO</v>
          </cell>
          <cell r="G121">
            <v>2.215940685820204</v>
          </cell>
          <cell r="J121" t="str">
            <v>TIMETECHNO</v>
          </cell>
          <cell r="K121">
            <v>82.888785264630457</v>
          </cell>
        </row>
        <row r="122">
          <cell r="B122" t="str">
            <v>GRWRHITECH</v>
          </cell>
          <cell r="C122">
            <v>0.11543810848400557</v>
          </cell>
          <cell r="F122" t="str">
            <v>GRWRHITECH</v>
          </cell>
          <cell r="G122">
            <v>3.0091743119266057</v>
          </cell>
          <cell r="J122" t="str">
            <v>GRWRHITECH</v>
          </cell>
          <cell r="K122">
            <v>3.8073713490959666</v>
          </cell>
        </row>
        <row r="123">
          <cell r="B123" t="str">
            <v>APOLLOPIPES</v>
          </cell>
          <cell r="C123">
            <v>2.6229508196721311E-2</v>
          </cell>
          <cell r="F123" t="str">
            <v>APOLLOPIPES</v>
          </cell>
          <cell r="G123">
            <v>1.6582914572864322</v>
          </cell>
          <cell r="J123" t="str">
            <v>APOLLOPIPES</v>
          </cell>
          <cell r="K123">
            <v>26.327868852459019</v>
          </cell>
        </row>
        <row r="124">
          <cell r="B124" t="str">
            <v>KINGFA</v>
          </cell>
          <cell r="C124">
            <v>5.7733428367783321E-2</v>
          </cell>
          <cell r="F124" t="str">
            <v>KINGFA</v>
          </cell>
          <cell r="G124">
            <v>1.6708860759493671</v>
          </cell>
          <cell r="J124" t="str">
            <v>KINGFA</v>
          </cell>
          <cell r="K124">
            <v>86.111903064861011</v>
          </cell>
        </row>
        <row r="125">
          <cell r="B125" t="str">
            <v>SHAILY</v>
          </cell>
          <cell r="C125">
            <v>5.7660626029654036E-2</v>
          </cell>
          <cell r="F125" t="str">
            <v>SHAILY</v>
          </cell>
          <cell r="G125">
            <v>1.1208333333333333</v>
          </cell>
          <cell r="J125" t="str">
            <v>SHAILY</v>
          </cell>
          <cell r="K125">
            <v>64.942339373970356</v>
          </cell>
        </row>
        <row r="146">
          <cell r="C146" t="str">
            <v>DEBT2EQUITY</v>
          </cell>
          <cell r="G146" t="str">
            <v>ICR</v>
          </cell>
          <cell r="K146" t="str">
            <v>DEBTRATIO</v>
          </cell>
        </row>
        <row r="147">
          <cell r="B147" t="str">
            <v>SUPREMEIND</v>
          </cell>
          <cell r="C147">
            <v>0</v>
          </cell>
          <cell r="F147" t="str">
            <v>SUPREMEIND</v>
          </cell>
          <cell r="G147">
            <v>117</v>
          </cell>
          <cell r="J147" t="str">
            <v>SUPREMEIND</v>
          </cell>
          <cell r="K147">
            <v>0.2024360000138547</v>
          </cell>
        </row>
        <row r="148">
          <cell r="B148" t="str">
            <v>ASTRAL</v>
          </cell>
          <cell r="C148">
            <v>2.4579560155239329E-2</v>
          </cell>
          <cell r="F148" t="str">
            <v>ASTRAL</v>
          </cell>
          <cell r="G148">
            <v>15.775</v>
          </cell>
          <cell r="J148" t="str">
            <v>ASTRAL</v>
          </cell>
          <cell r="K148">
            <v>0.28535120147874304</v>
          </cell>
        </row>
        <row r="149">
          <cell r="B149" t="str">
            <v>FINOLEXIND</v>
          </cell>
          <cell r="C149">
            <v>0.10728125637364878</v>
          </cell>
          <cell r="F149" t="str">
            <v>FINOLEXIND</v>
          </cell>
          <cell r="G149">
            <v>677.83333333333337</v>
          </cell>
          <cell r="J149" t="str">
            <v>FINOLEXIND</v>
          </cell>
          <cell r="K149">
            <v>0.21988862370723947</v>
          </cell>
        </row>
        <row r="150">
          <cell r="B150" t="str">
            <v>PRINCEPIPE</v>
          </cell>
          <cell r="C150">
            <v>3.7292817679558013E-2</v>
          </cell>
          <cell r="F150" t="str">
            <v>PRINCEPIPE</v>
          </cell>
          <cell r="G150">
            <v>22.636363636363637</v>
          </cell>
          <cell r="J150" t="str">
            <v>PRINCEPIPE</v>
          </cell>
          <cell r="K150">
            <v>0.24148768988999475</v>
          </cell>
        </row>
        <row r="151">
          <cell r="B151" t="str">
            <v>JAICORPLTD</v>
          </cell>
          <cell r="C151">
            <v>0</v>
          </cell>
          <cell r="F151" t="str">
            <v>JAICORPLTD</v>
          </cell>
          <cell r="G151">
            <v>176</v>
          </cell>
          <cell r="J151" t="str">
            <v>JAICORPLTD</v>
          </cell>
          <cell r="K151">
            <v>2.5862068965517241E-2</v>
          </cell>
        </row>
        <row r="152">
          <cell r="B152" t="str">
            <v>JISLJALEQS</v>
          </cell>
          <cell r="C152">
            <v>0.54467101114147576</v>
          </cell>
          <cell r="F152" t="str">
            <v>JISLJALEQS</v>
          </cell>
          <cell r="G152">
            <v>0.75692963752665243</v>
          </cell>
          <cell r="J152" t="str">
            <v>JISLJALEQS</v>
          </cell>
          <cell r="K152">
            <v>0.43213560940670886</v>
          </cell>
        </row>
        <row r="153">
          <cell r="B153" t="str">
            <v>TIMETECHNO</v>
          </cell>
          <cell r="C153">
            <v>0.31945589447650452</v>
          </cell>
          <cell r="F153" t="str">
            <v>TIMETECHNO</v>
          </cell>
          <cell r="G153">
            <v>666.5</v>
          </cell>
          <cell r="J153" t="str">
            <v>TIMETECHNO</v>
          </cell>
          <cell r="K153">
            <v>0.38001533350370559</v>
          </cell>
        </row>
        <row r="154">
          <cell r="B154" t="str">
            <v>GRWRHITECH</v>
          </cell>
          <cell r="C154">
            <v>1.8691588785046728E-2</v>
          </cell>
          <cell r="F154" t="str">
            <v>GRWRHITECH</v>
          </cell>
          <cell r="G154">
            <v>184.66666666666666</v>
          </cell>
          <cell r="J154" t="str">
            <v>GRWRHITECH</v>
          </cell>
          <cell r="K154">
            <v>0.12884267631103075</v>
          </cell>
        </row>
        <row r="155">
          <cell r="B155" t="str">
            <v>APOLLOPIPES</v>
          </cell>
          <cell r="C155">
            <v>9.6280087527352301E-2</v>
          </cell>
          <cell r="F155" t="str">
            <v>APOLLOPIPES</v>
          </cell>
          <cell r="G155">
            <v>4.4831460674157304</v>
          </cell>
          <cell r="J155" t="str">
            <v>APOLLOPIPES</v>
          </cell>
          <cell r="K155">
            <v>0.30966767371601206</v>
          </cell>
        </row>
        <row r="156">
          <cell r="B156" t="str">
            <v>KINGFA</v>
          </cell>
          <cell r="C156">
            <v>4.716981132075472E-2</v>
          </cell>
          <cell r="F156" t="str">
            <v>KINGFA</v>
          </cell>
          <cell r="G156">
            <v>1321</v>
          </cell>
          <cell r="J156" t="str">
            <v>KINGFA</v>
          </cell>
          <cell r="K156">
            <v>0.43071965628356607</v>
          </cell>
        </row>
        <row r="157">
          <cell r="B157" t="str">
            <v>SHAILY</v>
          </cell>
          <cell r="C157">
            <v>0.48936170212765956</v>
          </cell>
          <cell r="F157" t="str">
            <v>SHAILY</v>
          </cell>
          <cell r="G157">
            <v>3.2777777777777777</v>
          </cell>
          <cell r="J157" t="str">
            <v>SHAILY</v>
          </cell>
          <cell r="K157">
            <v>0.44210526315789472</v>
          </cell>
        </row>
        <row r="178">
          <cell r="C178" t="str">
            <v>ROE</v>
          </cell>
          <cell r="D178" t="str">
            <v>ROA</v>
          </cell>
          <cell r="J178" t="str">
            <v>ROPE</v>
          </cell>
        </row>
        <row r="179">
          <cell r="B179" t="str">
            <v>SUPREMEIND</v>
          </cell>
          <cell r="C179">
            <v>0.18782666096310563</v>
          </cell>
          <cell r="D179">
            <v>0.1498037830217761</v>
          </cell>
          <cell r="I179" t="str">
            <v>SUPREMEIND</v>
          </cell>
          <cell r="J179">
            <v>34.041715859897678</v>
          </cell>
        </row>
        <row r="180">
          <cell r="B180" t="str">
            <v>ASTRAL</v>
          </cell>
          <cell r="C180">
            <v>0.14844760672703752</v>
          </cell>
          <cell r="D180">
            <v>0.1060536044362292</v>
          </cell>
          <cell r="I180" t="str">
            <v>ASTRAL</v>
          </cell>
          <cell r="J180">
            <v>17.653846153846153</v>
          </cell>
        </row>
        <row r="181">
          <cell r="B181" t="str">
            <v>FINOLEXIND</v>
          </cell>
          <cell r="C181">
            <v>5.0989190291658167E-2</v>
          </cell>
          <cell r="D181">
            <v>3.9777247414478918E-2</v>
          </cell>
          <cell r="I181" t="str">
            <v>FINOLEXIND</v>
          </cell>
          <cell r="J181">
            <v>2.0161290322580645</v>
          </cell>
        </row>
        <row r="182">
          <cell r="B182" t="str">
            <v>PRINCEPIPE</v>
          </cell>
          <cell r="C182">
            <v>8.3563535911602205E-2</v>
          </cell>
          <cell r="D182">
            <v>6.3383970665269782E-2</v>
          </cell>
          <cell r="I182" t="str">
            <v>PRINCEPIPE</v>
          </cell>
          <cell r="J182">
            <v>1.1000000000000001</v>
          </cell>
        </row>
        <row r="183">
          <cell r="B183" t="str">
            <v>JAICORPLTD</v>
          </cell>
          <cell r="C183">
            <v>-0.01</v>
          </cell>
          <cell r="D183">
            <v>-0.01</v>
          </cell>
          <cell r="I183" t="str">
            <v>JAICORPLTD</v>
          </cell>
          <cell r="J183">
            <v>-1</v>
          </cell>
        </row>
        <row r="184">
          <cell r="B184" t="str">
            <v>JISLJALEQS</v>
          </cell>
          <cell r="C184">
            <v>-1.4E-2</v>
          </cell>
          <cell r="D184">
            <v>-0.01</v>
          </cell>
          <cell r="I184" t="str">
            <v>JISLJALEQS</v>
          </cell>
          <cell r="J184">
            <v>-0.5</v>
          </cell>
        </row>
        <row r="185">
          <cell r="B185" t="str">
            <v>TIMETECHNO</v>
          </cell>
          <cell r="C185">
            <v>9.1920857378400653E-2</v>
          </cell>
          <cell r="D185">
            <v>5.6989522105801174E-2</v>
          </cell>
          <cell r="I185" t="str">
            <v>TIMETECHNO</v>
          </cell>
          <cell r="J185">
            <v>10.136363636363637</v>
          </cell>
        </row>
        <row r="186">
          <cell r="B186" t="str">
            <v>GRWRHITECH</v>
          </cell>
          <cell r="C186">
            <v>8.6188992731048811E-2</v>
          </cell>
          <cell r="D186">
            <v>7.5045207956600357E-2</v>
          </cell>
          <cell r="I186" t="str">
            <v>GRWRHITECH</v>
          </cell>
          <cell r="J186">
            <v>7.2173913043478262</v>
          </cell>
        </row>
        <row r="187">
          <cell r="B187" t="str">
            <v>APOLLOPIPES</v>
          </cell>
          <cell r="C187">
            <v>5.2516411378555797E-2</v>
          </cell>
          <cell r="D187">
            <v>3.6253776435045321E-2</v>
          </cell>
          <cell r="I187" t="str">
            <v>APOLLOPIPES</v>
          </cell>
          <cell r="J187">
            <v>0.61538461538461542</v>
          </cell>
        </row>
        <row r="188">
          <cell r="B188" t="str">
            <v>KINGFA</v>
          </cell>
          <cell r="C188">
            <v>0.15283018867924528</v>
          </cell>
          <cell r="D188">
            <v>8.7003222341568209E-2</v>
          </cell>
          <cell r="I188" t="str">
            <v>KINGFA</v>
          </cell>
          <cell r="J188">
            <v>6.75</v>
          </cell>
        </row>
        <row r="189">
          <cell r="B189" t="str">
            <v>SHAILY</v>
          </cell>
          <cell r="C189">
            <v>8.2742316784869971E-2</v>
          </cell>
          <cell r="D189">
            <v>4.6052631578947366E-2</v>
          </cell>
          <cell r="I189" t="str">
            <v>SHAILY</v>
          </cell>
          <cell r="J189">
            <v>3.8888888888888888</v>
          </cell>
        </row>
        <row r="213">
          <cell r="F213" t="str">
            <v>10Y CAGR</v>
          </cell>
          <cell r="G213" t="str">
            <v>20Y CAGR</v>
          </cell>
          <cell r="H213" t="str">
            <v>20 Y X TIMES</v>
          </cell>
          <cell r="J213" t="str">
            <v>20 Y DIV YIELD</v>
          </cell>
        </row>
        <row r="214">
          <cell r="B214" t="str">
            <v>SUPREMEIND</v>
          </cell>
          <cell r="F214">
            <v>0.25067495744759727</v>
          </cell>
          <cell r="G214">
            <v>0.2979927506205593</v>
          </cell>
          <cell r="H214">
            <v>184.26605504587155</v>
          </cell>
          <cell r="J214">
            <v>1.2844036697247705</v>
          </cell>
        </row>
        <row r="215">
          <cell r="B215" t="str">
            <v>ASTRAL</v>
          </cell>
          <cell r="F215">
            <v>0.37602330008923635</v>
          </cell>
          <cell r="G215">
            <v>0.38790702680324385</v>
          </cell>
          <cell r="H215">
            <v>189.56842105263158</v>
          </cell>
          <cell r="J215">
            <v>0.33684210526315789</v>
          </cell>
        </row>
        <row r="216">
          <cell r="B216" t="str">
            <v>FINOLEXIND</v>
          </cell>
          <cell r="F216">
            <v>0.20988116106764276</v>
          </cell>
          <cell r="G216">
            <v>0.13959202242955993</v>
          </cell>
          <cell r="H216">
            <v>13.645454545454546</v>
          </cell>
          <cell r="J216">
            <v>9.0909090909090912E-2</v>
          </cell>
        </row>
        <row r="217">
          <cell r="B217" t="str">
            <v>PRINCEPIPE</v>
          </cell>
        </row>
        <row r="218">
          <cell r="B218" t="str">
            <v>JAICORPLTD</v>
          </cell>
          <cell r="F218">
            <v>0.17717414675897025</v>
          </cell>
          <cell r="G218">
            <v>0.21711815164757753</v>
          </cell>
          <cell r="H218">
            <v>50.892617449664428</v>
          </cell>
          <cell r="J218">
            <v>6.7114093959731544E-2</v>
          </cell>
        </row>
        <row r="219">
          <cell r="B219" t="str">
            <v>JISLJALEQS</v>
          </cell>
          <cell r="F219">
            <v>-1.1139336264247901E-2</v>
          </cell>
          <cell r="G219">
            <v>5.7604306875121747E-2</v>
          </cell>
          <cell r="H219">
            <v>3.0652380952380955</v>
          </cell>
          <cell r="J219">
            <v>0</v>
          </cell>
        </row>
        <row r="220">
          <cell r="B220" t="str">
            <v>TIMETECHNO</v>
          </cell>
          <cell r="F220">
            <v>0.16290274959592521</v>
          </cell>
          <cell r="G220">
            <v>3.6110706152734373E-2</v>
          </cell>
          <cell r="H220">
            <v>1.764</v>
          </cell>
          <cell r="J220">
            <v>1.2500000000000001E-2</v>
          </cell>
        </row>
        <row r="221">
          <cell r="B221" t="str">
            <v>GRWRHITECH</v>
          </cell>
          <cell r="F221">
            <v>0.37278499592636893</v>
          </cell>
          <cell r="G221">
            <v>0.18406374174591744</v>
          </cell>
          <cell r="H221">
            <v>29.342806394316163</v>
          </cell>
          <cell r="J221">
            <v>0.17761989342806395</v>
          </cell>
        </row>
        <row r="222">
          <cell r="B222" t="str">
            <v>APOLLOPIPES</v>
          </cell>
        </row>
        <row r="223">
          <cell r="B223" t="str">
            <v>KINGFA</v>
          </cell>
          <cell r="F223">
            <v>0.63958339014965859</v>
          </cell>
          <cell r="G223">
            <v>0.31623844996410777</v>
          </cell>
          <cell r="H223">
            <v>243.60795454545453</v>
          </cell>
          <cell r="J223">
            <v>0</v>
          </cell>
        </row>
        <row r="224">
          <cell r="B224" t="str">
            <v>SHAILY</v>
          </cell>
          <cell r="F224">
            <v>0.41800076423999388</v>
          </cell>
          <cell r="G224">
            <v>0.30809058151080304</v>
          </cell>
          <cell r="H224">
            <v>42.946666666666673</v>
          </cell>
          <cell r="J224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EBCB88-B36D-4C67-B5F1-FB3D8A56108A}" name="Table_1" displayName="Table_1" ref="G11:G35" headerRowCount="0">
  <tableColumns count="1">
    <tableColumn id="1" xr3:uid="{D062D743-138F-4ABC-B4E3-2A89BCAF4786}" name="Column1"/>
  </tableColumns>
  <tableStyleInfo name="suprem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11B2-4087-45C4-B108-FC94F8113645}">
  <sheetPr>
    <outlinePr summaryBelow="0" summaryRight="0"/>
  </sheetPr>
  <dimension ref="A1:Y75"/>
  <sheetViews>
    <sheetView showGridLines="0" tabSelected="1" workbookViewId="0"/>
  </sheetViews>
  <sheetFormatPr defaultColWidth="14" defaultRowHeight="15" customHeight="1" x14ac:dyDescent="0.3"/>
  <sheetData>
    <row r="1" spans="1:23" ht="14.4" x14ac:dyDescent="0.3">
      <c r="B1" s="1" t="s">
        <v>0</v>
      </c>
      <c r="F1" s="1" t="s">
        <v>1</v>
      </c>
      <c r="I1" s="1" t="s">
        <v>2</v>
      </c>
      <c r="S1" s="1" t="s">
        <v>2</v>
      </c>
    </row>
    <row r="2" spans="1:23" ht="14.4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  <c r="T2" s="1" t="s">
        <v>22</v>
      </c>
      <c r="U2" s="1" t="s">
        <v>23</v>
      </c>
      <c r="V2" s="1" t="s">
        <v>24</v>
      </c>
      <c r="W2" s="1" t="s">
        <v>25</v>
      </c>
    </row>
    <row r="3" spans="1:23" ht="15" customHeight="1" x14ac:dyDescent="0.3">
      <c r="B3" s="2" t="s">
        <v>26</v>
      </c>
      <c r="C3" s="3">
        <f ca="1">IFERROR(__xludf.DUMMYFUNCTION("GOOGLEFINANCE(""NSE:""&amp; B3,""PRICE"")"),4799)</f>
        <v>4799</v>
      </c>
      <c r="D3" s="3">
        <f ca="1">IFERROR(__xludf.DUMMYFUNCTION("GOOGLEFINANCE(""NSE:""&amp; B3,""MARKETCAP"")/10000000"),60960.16132)</f>
        <v>60960.161319999999</v>
      </c>
      <c r="E3" s="3">
        <f>C34</f>
        <v>639701</v>
      </c>
      <c r="F3" s="3">
        <f>D35</f>
        <v>10366</v>
      </c>
      <c r="G3" s="3">
        <f t="shared" ref="G3:G4" si="0">F34</f>
        <v>1070</v>
      </c>
      <c r="H3" s="3">
        <f t="shared" ref="H3:H4" si="1">H34</f>
        <v>84.21</v>
      </c>
      <c r="I3" s="3">
        <v>25.4</v>
      </c>
      <c r="J3" s="3">
        <v>5280</v>
      </c>
      <c r="K3" s="3">
        <v>2</v>
      </c>
      <c r="L3" s="3">
        <v>0</v>
      </c>
      <c r="M3" s="3">
        <v>57</v>
      </c>
      <c r="N3" s="3">
        <v>3168</v>
      </c>
      <c r="O3" s="4">
        <v>1247</v>
      </c>
      <c r="P3" s="4">
        <v>511</v>
      </c>
      <c r="Q3" s="4">
        <v>6751</v>
      </c>
      <c r="R3" s="4">
        <v>1445</v>
      </c>
      <c r="S3" s="4">
        <v>159</v>
      </c>
      <c r="T3" s="4">
        <v>-380</v>
      </c>
      <c r="U3" s="4">
        <v>-295</v>
      </c>
      <c r="V3" s="4">
        <f t="shared" ref="V3:V4" si="2">SUM(S3:U3)</f>
        <v>-516</v>
      </c>
      <c r="W3" s="4">
        <v>250</v>
      </c>
    </row>
    <row r="4" spans="1:23" ht="14.4" x14ac:dyDescent="0.3">
      <c r="B4" s="4" t="s">
        <v>27</v>
      </c>
      <c r="C4" s="4">
        <v>2513</v>
      </c>
      <c r="D4" s="5">
        <f ca="1">C4*D3/C3</f>
        <v>31921.83484</v>
      </c>
      <c r="E4" s="5">
        <f>C33</f>
        <v>506501</v>
      </c>
      <c r="F4" s="5">
        <f>D34</f>
        <v>10134</v>
      </c>
      <c r="G4" s="5">
        <f t="shared" si="0"/>
        <v>1090</v>
      </c>
      <c r="H4" s="5">
        <f t="shared" si="1"/>
        <v>85.86</v>
      </c>
      <c r="I4" s="6">
        <v>25.4</v>
      </c>
      <c r="J4" s="4">
        <v>5083</v>
      </c>
      <c r="K4" s="4">
        <v>2</v>
      </c>
      <c r="L4" s="4">
        <v>0</v>
      </c>
      <c r="M4" s="4">
        <v>42</v>
      </c>
      <c r="N4" s="4">
        <v>3287</v>
      </c>
      <c r="O4" s="4">
        <v>1273</v>
      </c>
      <c r="P4" s="4">
        <v>492</v>
      </c>
      <c r="Q4" s="4">
        <v>6555</v>
      </c>
      <c r="R4" s="4">
        <v>1447</v>
      </c>
      <c r="S4" s="4">
        <v>1413</v>
      </c>
      <c r="T4" s="4">
        <v>-608</v>
      </c>
      <c r="U4" s="4">
        <v>-382</v>
      </c>
      <c r="V4" s="4">
        <f t="shared" si="2"/>
        <v>423</v>
      </c>
      <c r="W4" s="4">
        <v>549</v>
      </c>
    </row>
    <row r="5" spans="1:23" ht="15" customHeight="1" x14ac:dyDescent="0.3">
      <c r="B5" s="7" t="s">
        <v>28</v>
      </c>
      <c r="C5" s="8">
        <f t="shared" ref="C5:W5" ca="1" si="3">(C3/C4)-1</f>
        <v>0.90966971746916037</v>
      </c>
      <c r="D5" s="8">
        <f t="shared" ca="1" si="3"/>
        <v>0.90966971746916037</v>
      </c>
      <c r="E5" s="8">
        <f t="shared" si="3"/>
        <v>0.26298072461851008</v>
      </c>
      <c r="F5" s="8">
        <f t="shared" si="3"/>
        <v>2.2893230708506129E-2</v>
      </c>
      <c r="G5" s="8">
        <f t="shared" si="3"/>
        <v>-1.834862385321101E-2</v>
      </c>
      <c r="H5" s="8">
        <f t="shared" si="3"/>
        <v>-1.9217330538085275E-2</v>
      </c>
      <c r="I5" s="9">
        <f t="shared" si="3"/>
        <v>0</v>
      </c>
      <c r="J5" s="10">
        <f t="shared" si="3"/>
        <v>3.8756639779657709E-2</v>
      </c>
      <c r="K5" s="9">
        <f t="shared" si="3"/>
        <v>0</v>
      </c>
      <c r="L5" s="10" t="e">
        <f t="shared" si="3"/>
        <v>#DIV/0!</v>
      </c>
      <c r="M5" s="10">
        <f t="shared" si="3"/>
        <v>0.35714285714285721</v>
      </c>
      <c r="N5" s="10">
        <f t="shared" si="3"/>
        <v>-3.6203224825068436E-2</v>
      </c>
      <c r="O5" s="10">
        <f t="shared" si="3"/>
        <v>-2.0424194815396701E-2</v>
      </c>
      <c r="P5" s="10">
        <f t="shared" si="3"/>
        <v>3.8617886178861749E-2</v>
      </c>
      <c r="Q5" s="10">
        <f t="shared" si="3"/>
        <v>2.990083905415708E-2</v>
      </c>
      <c r="R5" s="10">
        <f t="shared" si="3"/>
        <v>-1.3821700069108767E-3</v>
      </c>
      <c r="S5" s="10">
        <f t="shared" si="3"/>
        <v>-0.88747346072186839</v>
      </c>
      <c r="T5" s="10">
        <f t="shared" si="3"/>
        <v>-0.375</v>
      </c>
      <c r="U5" s="10">
        <f t="shared" si="3"/>
        <v>-0.22774869109947649</v>
      </c>
      <c r="V5" s="10">
        <f t="shared" si="3"/>
        <v>-2.2198581560283688</v>
      </c>
      <c r="W5" s="10">
        <f t="shared" si="3"/>
        <v>-0.54462659380692169</v>
      </c>
    </row>
    <row r="6" spans="1:23" ht="14.4" x14ac:dyDescent="0.3">
      <c r="B6" s="11"/>
      <c r="D6" s="12"/>
    </row>
    <row r="7" spans="1:23" ht="14.4" x14ac:dyDescent="0.3">
      <c r="A7" s="1" t="s">
        <v>29</v>
      </c>
      <c r="B7" s="1" t="s">
        <v>28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3"/>
      <c r="O7" s="13"/>
      <c r="P7" s="13"/>
    </row>
    <row r="8" spans="1:23" ht="14.4" x14ac:dyDescent="0.3">
      <c r="A8" s="13"/>
      <c r="B8" s="14">
        <f>D42</f>
        <v>0.10140202151940003</v>
      </c>
      <c r="C8" s="15">
        <v>0.1</v>
      </c>
      <c r="D8" s="6">
        <f>J63</f>
        <v>88.333333333333329</v>
      </c>
      <c r="E8" s="14">
        <f>L3/(J3+I3)</f>
        <v>0</v>
      </c>
      <c r="F8" s="16">
        <f>G3/(J3+I3)</f>
        <v>0.20168130583933352</v>
      </c>
      <c r="G8" s="15">
        <v>0.25600000000000001</v>
      </c>
      <c r="H8" s="17">
        <f>N3/O3</f>
        <v>2.5404971932638332</v>
      </c>
      <c r="I8" s="5">
        <f>(P3/F3)*365</f>
        <v>17.992957746478872</v>
      </c>
      <c r="J8" s="17">
        <f ca="1">C3/H3</f>
        <v>56.988481178007369</v>
      </c>
      <c r="K8" s="16">
        <f ca="1">H3/C3</f>
        <v>1.7547405709522818E-2</v>
      </c>
      <c r="L8" s="6">
        <f>(J3+I3)/(I3/K3)</f>
        <v>417.74803149606299</v>
      </c>
      <c r="M8" s="17">
        <f ca="1">C3/L8</f>
        <v>11.487786029328609</v>
      </c>
      <c r="N8" s="13"/>
      <c r="O8" s="13"/>
      <c r="P8" s="13"/>
    </row>
    <row r="9" spans="1:23" ht="14.4" x14ac:dyDescent="0.3">
      <c r="A9" s="13"/>
      <c r="B9" s="13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23" ht="14.4" x14ac:dyDescent="0.3">
      <c r="A10" s="1" t="s">
        <v>41</v>
      </c>
      <c r="B10" s="1" t="s">
        <v>42</v>
      </c>
      <c r="C10" s="18" t="s">
        <v>43</v>
      </c>
      <c r="D10" s="18" t="s">
        <v>44</v>
      </c>
      <c r="E10" s="18" t="s">
        <v>45</v>
      </c>
      <c r="F10" s="18" t="s">
        <v>46</v>
      </c>
      <c r="G10" s="18" t="s">
        <v>47</v>
      </c>
      <c r="H10" s="18" t="s">
        <v>10</v>
      </c>
      <c r="I10" s="18" t="s">
        <v>48</v>
      </c>
      <c r="J10" s="18" t="s">
        <v>49</v>
      </c>
      <c r="K10" s="18" t="s">
        <v>50</v>
      </c>
      <c r="L10" s="18" t="s">
        <v>51</v>
      </c>
      <c r="M10" s="18" t="s">
        <v>52</v>
      </c>
      <c r="N10" s="18" t="s">
        <v>12</v>
      </c>
    </row>
    <row r="11" spans="1:23" ht="14.4" x14ac:dyDescent="0.3">
      <c r="B11" s="4" t="s">
        <v>53</v>
      </c>
      <c r="D11" s="5">
        <v>465</v>
      </c>
      <c r="E11" s="5">
        <v>-41</v>
      </c>
      <c r="F11" s="5">
        <v>2.8</v>
      </c>
      <c r="G11" s="5">
        <v>9.6999999999999993</v>
      </c>
      <c r="H11" s="17">
        <v>2.88</v>
      </c>
      <c r="I11" s="16">
        <f t="shared" ref="I11:I35" si="4">F11/D11</f>
        <v>6.021505376344086E-3</v>
      </c>
      <c r="J11" s="6">
        <v>335</v>
      </c>
      <c r="K11" s="6">
        <v>91</v>
      </c>
      <c r="L11" s="17">
        <f t="shared" ref="L11:L35" si="5">J11/H11</f>
        <v>116.31944444444444</v>
      </c>
      <c r="M11" s="17">
        <f t="shared" ref="M11:M35" si="6">K11/H11</f>
        <v>31.597222222222225</v>
      </c>
      <c r="N11" s="4">
        <v>100</v>
      </c>
    </row>
    <row r="12" spans="1:23" ht="14.4" x14ac:dyDescent="0.3">
      <c r="B12" s="4" t="s">
        <v>54</v>
      </c>
      <c r="D12" s="5">
        <v>591</v>
      </c>
      <c r="E12" s="5">
        <v>-42</v>
      </c>
      <c r="F12" s="5">
        <v>11</v>
      </c>
      <c r="G12" s="5">
        <v>10</v>
      </c>
      <c r="H12" s="17">
        <v>11.13</v>
      </c>
      <c r="I12" s="16">
        <f t="shared" si="4"/>
        <v>1.8612521150592216E-2</v>
      </c>
      <c r="J12" s="6">
        <v>121</v>
      </c>
      <c r="K12" s="6">
        <v>38</v>
      </c>
      <c r="L12" s="17">
        <f t="shared" si="5"/>
        <v>10.871518418688229</v>
      </c>
      <c r="M12" s="17">
        <f t="shared" si="6"/>
        <v>3.4141958670260553</v>
      </c>
      <c r="N12" s="4">
        <v>129</v>
      </c>
    </row>
    <row r="13" spans="1:23" ht="14.4" x14ac:dyDescent="0.3">
      <c r="B13" s="4" t="s">
        <v>55</v>
      </c>
      <c r="C13" s="13">
        <v>91913</v>
      </c>
      <c r="D13" s="5">
        <v>693</v>
      </c>
      <c r="E13" s="5">
        <v>-33</v>
      </c>
      <c r="F13" s="5">
        <v>14</v>
      </c>
      <c r="G13" s="5">
        <v>10</v>
      </c>
      <c r="H13" s="17">
        <v>14.26</v>
      </c>
      <c r="I13" s="16">
        <f t="shared" si="4"/>
        <v>2.0202020202020204E-2</v>
      </c>
      <c r="J13" s="6">
        <v>110</v>
      </c>
      <c r="K13" s="6">
        <v>41</v>
      </c>
      <c r="L13" s="17">
        <f t="shared" si="5"/>
        <v>7.713884992987377</v>
      </c>
      <c r="M13" s="17">
        <f t="shared" si="6"/>
        <v>2.8751753155680224</v>
      </c>
      <c r="N13" s="4">
        <v>171</v>
      </c>
    </row>
    <row r="14" spans="1:23" ht="14.4" x14ac:dyDescent="0.3">
      <c r="B14" s="4" t="s">
        <v>56</v>
      </c>
      <c r="C14" s="13">
        <v>100053</v>
      </c>
      <c r="D14" s="5">
        <v>496</v>
      </c>
      <c r="E14" s="5">
        <v>-56</v>
      </c>
      <c r="F14" s="5">
        <v>21</v>
      </c>
      <c r="G14" s="5">
        <v>13.4</v>
      </c>
      <c r="H14" s="17">
        <v>15.73</v>
      </c>
      <c r="I14" s="16">
        <f t="shared" si="4"/>
        <v>4.2338709677419352E-2</v>
      </c>
      <c r="J14" s="6">
        <v>246</v>
      </c>
      <c r="K14" s="6">
        <v>75</v>
      </c>
      <c r="L14" s="17">
        <f t="shared" si="5"/>
        <v>15.638906547997456</v>
      </c>
      <c r="M14" s="17">
        <f t="shared" si="6"/>
        <v>4.7679593134138587</v>
      </c>
      <c r="N14" s="4">
        <v>185</v>
      </c>
    </row>
    <row r="15" spans="1:23" ht="14.4" x14ac:dyDescent="0.3">
      <c r="B15" s="4" t="s">
        <v>57</v>
      </c>
      <c r="C15" s="13">
        <v>95439</v>
      </c>
      <c r="D15" s="5">
        <v>814</v>
      </c>
      <c r="E15" s="5">
        <v>-25</v>
      </c>
      <c r="F15" s="5">
        <v>24</v>
      </c>
      <c r="G15" s="5">
        <v>13.4</v>
      </c>
      <c r="H15" s="17">
        <v>17.66</v>
      </c>
      <c r="I15" s="16">
        <f t="shared" si="4"/>
        <v>2.9484029484029485E-2</v>
      </c>
      <c r="J15" s="6">
        <v>254</v>
      </c>
      <c r="K15" s="6">
        <v>145</v>
      </c>
      <c r="L15" s="17">
        <f t="shared" si="5"/>
        <v>14.382785956964891</v>
      </c>
      <c r="M15" s="17">
        <f t="shared" si="6"/>
        <v>8.210645526613817</v>
      </c>
      <c r="N15" s="4">
        <v>194</v>
      </c>
    </row>
    <row r="16" spans="1:23" ht="14.4" x14ac:dyDescent="0.3">
      <c r="B16" s="4" t="s">
        <v>58</v>
      </c>
      <c r="C16" s="13">
        <v>118115</v>
      </c>
      <c r="D16" s="5">
        <v>982</v>
      </c>
      <c r="E16" s="5">
        <v>-27</v>
      </c>
      <c r="F16" s="5">
        <v>40</v>
      </c>
      <c r="G16" s="5">
        <v>13.8</v>
      </c>
      <c r="H16" s="17">
        <v>28.93</v>
      </c>
      <c r="I16" s="16">
        <f t="shared" si="4"/>
        <v>4.0733197556008148E-2</v>
      </c>
      <c r="J16" s="6">
        <v>385</v>
      </c>
      <c r="K16" s="6">
        <v>212</v>
      </c>
      <c r="L16" s="17">
        <f t="shared" si="5"/>
        <v>13.307984790874524</v>
      </c>
      <c r="M16" s="17">
        <f t="shared" si="6"/>
        <v>7.3280331835464914</v>
      </c>
      <c r="N16" s="4">
        <v>184</v>
      </c>
    </row>
    <row r="17" spans="1:14" ht="14.4" x14ac:dyDescent="0.3">
      <c r="A17" s="13" t="s">
        <v>59</v>
      </c>
      <c r="B17" s="4" t="s">
        <v>60</v>
      </c>
      <c r="C17" s="13">
        <v>130547</v>
      </c>
      <c r="D17" s="5">
        <v>1162</v>
      </c>
      <c r="E17" s="5">
        <v>-33</v>
      </c>
      <c r="F17" s="5">
        <v>50</v>
      </c>
      <c r="G17" s="5">
        <v>27.6</v>
      </c>
      <c r="H17" s="17">
        <v>18.16</v>
      </c>
      <c r="I17" s="16">
        <f t="shared" si="4"/>
        <v>4.3029259896729774E-2</v>
      </c>
      <c r="J17" s="6">
        <v>482</v>
      </c>
      <c r="K17" s="6">
        <v>196</v>
      </c>
      <c r="L17" s="17">
        <f t="shared" si="5"/>
        <v>26.541850220264315</v>
      </c>
      <c r="M17" s="17">
        <f t="shared" si="6"/>
        <v>10.79295154185022</v>
      </c>
      <c r="N17" s="4">
        <v>196</v>
      </c>
    </row>
    <row r="18" spans="1:14" ht="14.4" x14ac:dyDescent="0.3">
      <c r="B18" s="4" t="s">
        <v>61</v>
      </c>
      <c r="C18" s="13">
        <v>139239</v>
      </c>
      <c r="D18" s="5">
        <v>1310</v>
      </c>
      <c r="E18" s="5">
        <v>-39</v>
      </c>
      <c r="F18" s="5">
        <v>51</v>
      </c>
      <c r="G18" s="5">
        <v>27.6</v>
      </c>
      <c r="H18" s="17">
        <v>18.489999999999998</v>
      </c>
      <c r="I18" s="16">
        <f t="shared" si="4"/>
        <v>3.8931297709923665E-2</v>
      </c>
      <c r="J18" s="6">
        <v>420</v>
      </c>
      <c r="K18" s="6">
        <v>151</v>
      </c>
      <c r="L18" s="17">
        <f t="shared" si="5"/>
        <v>22.71498107084911</v>
      </c>
      <c r="M18" s="17">
        <f t="shared" si="6"/>
        <v>8.1665765278528948</v>
      </c>
      <c r="N18" s="4">
        <v>220</v>
      </c>
    </row>
    <row r="19" spans="1:14" ht="14.4" x14ac:dyDescent="0.3">
      <c r="B19" s="4" t="s">
        <v>62</v>
      </c>
      <c r="C19" s="13">
        <v>172746</v>
      </c>
      <c r="D19" s="5">
        <v>1652</v>
      </c>
      <c r="E19" s="5">
        <v>-55</v>
      </c>
      <c r="F19" s="5">
        <v>97</v>
      </c>
      <c r="G19" s="5">
        <v>25.4</v>
      </c>
      <c r="H19" s="17">
        <v>38.33</v>
      </c>
      <c r="I19" s="16">
        <f t="shared" si="4"/>
        <v>5.871670702179177E-2</v>
      </c>
      <c r="J19" s="6">
        <v>257.5</v>
      </c>
      <c r="K19" s="6">
        <v>92.5</v>
      </c>
      <c r="L19" s="17">
        <f t="shared" si="5"/>
        <v>6.717975476128359</v>
      </c>
      <c r="M19" s="17">
        <f t="shared" si="6"/>
        <v>2.4132533263762066</v>
      </c>
      <c r="N19" s="4">
        <v>260</v>
      </c>
    </row>
    <row r="20" spans="1:14" ht="14.4" x14ac:dyDescent="0.3">
      <c r="B20" s="4" t="s">
        <v>63</v>
      </c>
      <c r="C20" s="13">
        <v>191704</v>
      </c>
      <c r="D20" s="5">
        <v>2015</v>
      </c>
      <c r="E20" s="5">
        <v>-33</v>
      </c>
      <c r="F20" s="5">
        <v>145</v>
      </c>
      <c r="G20" s="5">
        <v>25.4</v>
      </c>
      <c r="H20" s="17">
        <v>57.01</v>
      </c>
      <c r="I20" s="16">
        <f t="shared" si="4"/>
        <v>7.1960297766749379E-2</v>
      </c>
      <c r="J20" s="6">
        <v>589.9</v>
      </c>
      <c r="K20" s="6">
        <v>230</v>
      </c>
      <c r="L20" s="17">
        <f t="shared" si="5"/>
        <v>10.34730748991405</v>
      </c>
      <c r="M20" s="17">
        <f t="shared" si="6"/>
        <v>4.0343799333450274</v>
      </c>
      <c r="N20" s="4">
        <v>351</v>
      </c>
    </row>
    <row r="21" spans="1:14" ht="14.4" x14ac:dyDescent="0.3">
      <c r="A21" s="13" t="s">
        <v>64</v>
      </c>
      <c r="B21" s="4" t="s">
        <v>65</v>
      </c>
      <c r="C21" s="13">
        <v>224673</v>
      </c>
      <c r="D21" s="5">
        <v>2469</v>
      </c>
      <c r="E21" s="5">
        <v>-43</v>
      </c>
      <c r="F21" s="5">
        <v>175</v>
      </c>
      <c r="G21" s="5">
        <v>25.4</v>
      </c>
      <c r="H21" s="17">
        <v>13.77</v>
      </c>
      <c r="I21" s="16">
        <f t="shared" si="4"/>
        <v>7.0878898339408664E-2</v>
      </c>
      <c r="J21" s="6">
        <v>186</v>
      </c>
      <c r="K21" s="6">
        <v>140</v>
      </c>
      <c r="L21" s="17">
        <f t="shared" si="5"/>
        <v>13.507625272331156</v>
      </c>
      <c r="M21" s="17">
        <f t="shared" si="6"/>
        <v>10.167029774872912</v>
      </c>
      <c r="N21" s="4">
        <v>463</v>
      </c>
    </row>
    <row r="22" spans="1:14" ht="14.4" x14ac:dyDescent="0.3">
      <c r="B22" s="4" t="s">
        <v>66</v>
      </c>
      <c r="C22" s="13">
        <v>245700</v>
      </c>
      <c r="D22" s="5">
        <v>2965</v>
      </c>
      <c r="E22" s="5">
        <v>-55</v>
      </c>
      <c r="F22" s="5">
        <v>241</v>
      </c>
      <c r="G22" s="5">
        <v>25.4</v>
      </c>
      <c r="H22" s="17">
        <v>18.93</v>
      </c>
      <c r="I22" s="16">
        <f t="shared" si="4"/>
        <v>8.1281618887015183E-2</v>
      </c>
      <c r="J22" s="6">
        <v>237.65</v>
      </c>
      <c r="K22" s="6">
        <v>160.1</v>
      </c>
      <c r="L22" s="17">
        <f t="shared" si="5"/>
        <v>12.554146856840994</v>
      </c>
      <c r="M22" s="17">
        <f t="shared" si="6"/>
        <v>8.4574749075541469</v>
      </c>
      <c r="N22" s="4">
        <v>615</v>
      </c>
    </row>
    <row r="23" spans="1:14" ht="14.4" x14ac:dyDescent="0.3">
      <c r="B23" s="4" t="s">
        <v>67</v>
      </c>
      <c r="C23" s="13">
        <v>281452</v>
      </c>
      <c r="D23" s="5">
        <v>3403</v>
      </c>
      <c r="E23" s="5">
        <v>-52</v>
      </c>
      <c r="F23" s="5">
        <v>272</v>
      </c>
      <c r="G23" s="5">
        <v>25.4</v>
      </c>
      <c r="H23" s="17">
        <v>21.44</v>
      </c>
      <c r="I23" s="16">
        <f t="shared" si="4"/>
        <v>7.9929473993535116E-2</v>
      </c>
      <c r="J23" s="6">
        <v>377</v>
      </c>
      <c r="K23" s="6">
        <v>215</v>
      </c>
      <c r="L23" s="17">
        <f t="shared" si="5"/>
        <v>17.583955223880597</v>
      </c>
      <c r="M23" s="17">
        <f t="shared" si="6"/>
        <v>10.027985074626866</v>
      </c>
      <c r="N23" s="4">
        <v>776</v>
      </c>
    </row>
    <row r="24" spans="1:14" ht="14.4" x14ac:dyDescent="0.3">
      <c r="B24" s="4" t="s">
        <v>68</v>
      </c>
      <c r="C24" s="13">
        <v>285539</v>
      </c>
      <c r="D24" s="5">
        <v>3962</v>
      </c>
      <c r="E24" s="5">
        <v>-76</v>
      </c>
      <c r="F24" s="5">
        <v>281</v>
      </c>
      <c r="G24" s="5">
        <v>25.4</v>
      </c>
      <c r="H24" s="17">
        <v>22.15</v>
      </c>
      <c r="I24" s="16">
        <f t="shared" si="4"/>
        <v>7.0923775870772338E-2</v>
      </c>
      <c r="J24" s="6">
        <v>578.35</v>
      </c>
      <c r="K24" s="6">
        <v>305.25</v>
      </c>
      <c r="L24" s="17">
        <f t="shared" si="5"/>
        <v>26.110609480812645</v>
      </c>
      <c r="M24" s="17">
        <f t="shared" si="6"/>
        <v>13.781038374717834</v>
      </c>
      <c r="N24" s="4">
        <v>938</v>
      </c>
    </row>
    <row r="25" spans="1:14" ht="14.4" x14ac:dyDescent="0.3">
      <c r="B25" s="4" t="s">
        <v>69</v>
      </c>
      <c r="C25" s="13">
        <v>303812</v>
      </c>
      <c r="D25" s="5">
        <v>4255</v>
      </c>
      <c r="E25" s="5">
        <v>-58</v>
      </c>
      <c r="F25" s="5">
        <v>316</v>
      </c>
      <c r="G25" s="5">
        <v>25.4</v>
      </c>
      <c r="H25" s="17">
        <v>24.85</v>
      </c>
      <c r="I25" s="16">
        <f t="shared" si="4"/>
        <v>7.4265569917743829E-2</v>
      </c>
      <c r="J25" s="6">
        <v>745</v>
      </c>
      <c r="K25" s="6">
        <v>517</v>
      </c>
      <c r="L25" s="17">
        <f t="shared" si="5"/>
        <v>29.979879275653921</v>
      </c>
      <c r="M25" s="17">
        <f t="shared" si="6"/>
        <v>20.804828973843058</v>
      </c>
      <c r="N25" s="4">
        <v>1207</v>
      </c>
    </row>
    <row r="26" spans="1:14" ht="14.4" x14ac:dyDescent="0.3">
      <c r="B26" s="4" t="s">
        <v>70</v>
      </c>
      <c r="C26" s="13">
        <v>242968</v>
      </c>
      <c r="D26" s="5">
        <v>2975</v>
      </c>
      <c r="E26" s="5">
        <v>-28</v>
      </c>
      <c r="F26" s="5">
        <v>213</v>
      </c>
      <c r="G26" s="5">
        <v>25.4</v>
      </c>
      <c r="H26" s="17">
        <v>16.78</v>
      </c>
      <c r="I26" s="16">
        <f t="shared" si="4"/>
        <v>7.1596638655462189E-2</v>
      </c>
      <c r="J26" s="6">
        <v>808.1</v>
      </c>
      <c r="K26" s="6">
        <v>540</v>
      </c>
      <c r="L26" s="17">
        <f t="shared" si="5"/>
        <v>48.158522050059595</v>
      </c>
      <c r="M26" s="17">
        <f t="shared" si="6"/>
        <v>32.181168057210961</v>
      </c>
      <c r="N26" s="4">
        <v>1197</v>
      </c>
    </row>
    <row r="27" spans="1:14" ht="14.4" x14ac:dyDescent="0.3">
      <c r="B27" s="4" t="s">
        <v>71</v>
      </c>
      <c r="C27" s="13">
        <v>359930</v>
      </c>
      <c r="D27" s="5">
        <v>4462</v>
      </c>
      <c r="E27" s="5">
        <v>-30</v>
      </c>
      <c r="F27" s="5">
        <v>379</v>
      </c>
      <c r="G27" s="5">
        <v>25.4</v>
      </c>
      <c r="H27" s="17">
        <v>29.86</v>
      </c>
      <c r="I27" s="16">
        <f t="shared" si="4"/>
        <v>8.4939489018377404E-2</v>
      </c>
      <c r="J27" s="6">
        <v>1100</v>
      </c>
      <c r="K27" s="6">
        <v>729</v>
      </c>
      <c r="L27" s="17">
        <f t="shared" si="5"/>
        <v>36.838580040187544</v>
      </c>
      <c r="M27" s="17">
        <f t="shared" si="6"/>
        <v>24.413931681178834</v>
      </c>
      <c r="N27" s="4">
        <v>1258</v>
      </c>
    </row>
    <row r="28" spans="1:14" ht="14.4" x14ac:dyDescent="0.3">
      <c r="B28" s="4" t="s">
        <v>72</v>
      </c>
      <c r="C28" s="13">
        <v>371176</v>
      </c>
      <c r="D28" s="5">
        <v>4966</v>
      </c>
      <c r="E28" s="5">
        <v>-22</v>
      </c>
      <c r="F28" s="5">
        <v>410</v>
      </c>
      <c r="G28" s="5">
        <v>25.4</v>
      </c>
      <c r="H28" s="17">
        <v>32.24</v>
      </c>
      <c r="I28" s="16">
        <f t="shared" si="4"/>
        <v>8.2561417639951673E-2</v>
      </c>
      <c r="J28" s="6">
        <v>1489.55</v>
      </c>
      <c r="K28" s="6">
        <v>1018</v>
      </c>
      <c r="L28" s="17">
        <f t="shared" si="5"/>
        <v>46.201923076923073</v>
      </c>
      <c r="M28" s="17">
        <f t="shared" si="6"/>
        <v>31.575682382133994</v>
      </c>
      <c r="N28" s="4">
        <v>1708</v>
      </c>
    </row>
    <row r="29" spans="1:14" ht="14.4" x14ac:dyDescent="0.3">
      <c r="B29" s="4" t="s">
        <v>73</v>
      </c>
      <c r="C29" s="13">
        <v>397983</v>
      </c>
      <c r="D29" s="5">
        <v>5612</v>
      </c>
      <c r="E29" s="5">
        <v>-26</v>
      </c>
      <c r="F29" s="5">
        <v>449</v>
      </c>
      <c r="G29" s="5">
        <v>25.4</v>
      </c>
      <c r="H29" s="17">
        <v>36.29</v>
      </c>
      <c r="I29" s="16">
        <f t="shared" si="4"/>
        <v>8.0007127583749116E-2</v>
      </c>
      <c r="J29" s="6">
        <v>1434</v>
      </c>
      <c r="K29" s="6">
        <v>935.85</v>
      </c>
      <c r="L29" s="17">
        <f t="shared" si="5"/>
        <v>39.51501791127032</v>
      </c>
      <c r="M29" s="17">
        <f t="shared" si="6"/>
        <v>25.788095894185727</v>
      </c>
      <c r="N29" s="4">
        <v>1967</v>
      </c>
    </row>
    <row r="30" spans="1:14" ht="14.4" x14ac:dyDescent="0.3">
      <c r="B30" s="4" t="s">
        <v>74</v>
      </c>
      <c r="C30" s="13">
        <v>411521</v>
      </c>
      <c r="D30" s="5">
        <v>5512</v>
      </c>
      <c r="E30" s="5">
        <v>-20</v>
      </c>
      <c r="F30" s="5">
        <v>467</v>
      </c>
      <c r="G30" s="5">
        <v>25.4</v>
      </c>
      <c r="H30" s="17">
        <v>36.799999999999997</v>
      </c>
      <c r="I30" s="16">
        <f t="shared" si="4"/>
        <v>8.4724238026124818E-2</v>
      </c>
      <c r="J30" s="6">
        <v>1413</v>
      </c>
      <c r="K30" s="6">
        <v>800</v>
      </c>
      <c r="L30" s="17">
        <f t="shared" si="5"/>
        <v>38.396739130434788</v>
      </c>
      <c r="M30" s="17">
        <f t="shared" si="6"/>
        <v>21.739130434782609</v>
      </c>
      <c r="N30" s="4">
        <v>2107</v>
      </c>
    </row>
    <row r="31" spans="1:14" ht="14.4" x14ac:dyDescent="0.3">
      <c r="B31" s="4" t="s">
        <v>75</v>
      </c>
      <c r="C31" s="13">
        <v>409109</v>
      </c>
      <c r="D31" s="5">
        <v>6357</v>
      </c>
      <c r="E31" s="5">
        <v>-10</v>
      </c>
      <c r="F31" s="5">
        <v>978</v>
      </c>
      <c r="G31" s="5">
        <v>25.4</v>
      </c>
      <c r="H31" s="17">
        <v>77</v>
      </c>
      <c r="I31" s="16">
        <f t="shared" si="4"/>
        <v>0.15384615384615385</v>
      </c>
      <c r="J31" s="6">
        <v>2133</v>
      </c>
      <c r="K31" s="6">
        <v>792</v>
      </c>
      <c r="L31" s="17">
        <f t="shared" si="5"/>
        <v>27.7012987012987</v>
      </c>
      <c r="M31" s="17">
        <f t="shared" si="6"/>
        <v>10.285714285714286</v>
      </c>
      <c r="N31" s="4">
        <v>2844</v>
      </c>
    </row>
    <row r="32" spans="1:14" ht="14.4" x14ac:dyDescent="0.3">
      <c r="A32" s="13"/>
      <c r="B32" s="4" t="s">
        <v>76</v>
      </c>
      <c r="C32" s="13">
        <v>393907</v>
      </c>
      <c r="D32" s="4">
        <v>7772</v>
      </c>
      <c r="E32" s="4">
        <v>-5</v>
      </c>
      <c r="F32" s="4">
        <v>968</v>
      </c>
      <c r="G32" s="4">
        <v>25</v>
      </c>
      <c r="H32" s="17">
        <v>76.239999999999995</v>
      </c>
      <c r="I32" s="16">
        <f t="shared" si="4"/>
        <v>0.12454966546577458</v>
      </c>
      <c r="J32" s="4">
        <v>2047</v>
      </c>
      <c r="K32" s="4">
        <v>1905</v>
      </c>
      <c r="L32" s="17">
        <f t="shared" si="5"/>
        <v>26.849422875131168</v>
      </c>
      <c r="M32" s="17">
        <f t="shared" si="6"/>
        <v>24.98688352570829</v>
      </c>
      <c r="N32" s="4">
        <v>3844</v>
      </c>
    </row>
    <row r="33" spans="1:22" ht="14.4" x14ac:dyDescent="0.3">
      <c r="A33" s="13"/>
      <c r="B33" s="4" t="s">
        <v>77</v>
      </c>
      <c r="C33" s="13">
        <v>506501</v>
      </c>
      <c r="D33" s="4">
        <v>9201</v>
      </c>
      <c r="E33" s="4">
        <v>-8</v>
      </c>
      <c r="F33" s="4">
        <v>866</v>
      </c>
      <c r="G33" s="4">
        <v>25</v>
      </c>
      <c r="H33" s="17">
        <v>68.12</v>
      </c>
      <c r="I33" s="16">
        <f t="shared" si="4"/>
        <v>9.4120204325616783E-2</v>
      </c>
      <c r="J33" s="4">
        <v>2855</v>
      </c>
      <c r="K33" s="4">
        <v>1666</v>
      </c>
      <c r="L33" s="17">
        <f t="shared" si="5"/>
        <v>41.911332941867293</v>
      </c>
      <c r="M33" s="17">
        <f t="shared" si="6"/>
        <v>24.456840869054609</v>
      </c>
      <c r="N33" s="4">
        <v>4402</v>
      </c>
    </row>
    <row r="34" spans="1:22" ht="14.4" x14ac:dyDescent="0.3">
      <c r="A34" s="13"/>
      <c r="B34" s="4" t="s">
        <v>78</v>
      </c>
      <c r="C34" s="13">
        <v>639701</v>
      </c>
      <c r="D34" s="4">
        <v>10134</v>
      </c>
      <c r="E34" s="4">
        <v>-8</v>
      </c>
      <c r="F34" s="4">
        <v>1070</v>
      </c>
      <c r="G34" s="4">
        <v>25</v>
      </c>
      <c r="H34" s="17">
        <v>84.21</v>
      </c>
      <c r="I34" s="16">
        <f t="shared" si="4"/>
        <v>0.10558515887112691</v>
      </c>
      <c r="J34" s="4">
        <v>4888</v>
      </c>
      <c r="K34" s="4">
        <v>2464</v>
      </c>
      <c r="L34" s="17">
        <f t="shared" si="5"/>
        <v>58.045362783517405</v>
      </c>
      <c r="M34" s="17">
        <f t="shared" si="6"/>
        <v>29.260182876142977</v>
      </c>
      <c r="N34" s="4">
        <v>5083</v>
      </c>
      <c r="O34" s="13"/>
    </row>
    <row r="35" spans="1:22" ht="14.4" x14ac:dyDescent="0.3">
      <c r="A35" s="13"/>
      <c r="B35" s="4" t="s">
        <v>79</v>
      </c>
      <c r="C35" s="13">
        <f>C34+173835-148544</f>
        <v>664992</v>
      </c>
      <c r="D35" s="5">
        <f>D34+J53-K53</f>
        <v>10366</v>
      </c>
      <c r="E35" s="4">
        <v>-8</v>
      </c>
      <c r="F35" s="5">
        <f>F34+J59-K59</f>
        <v>1090</v>
      </c>
      <c r="G35" s="4">
        <v>25</v>
      </c>
      <c r="H35" s="17">
        <v>85.86</v>
      </c>
      <c r="I35" s="16">
        <f t="shared" si="4"/>
        <v>0.10515145668531739</v>
      </c>
      <c r="J35" s="4">
        <v>6460</v>
      </c>
      <c r="K35" s="4">
        <v>3826</v>
      </c>
      <c r="L35" s="17">
        <f t="shared" si="5"/>
        <v>75.23876077335197</v>
      </c>
      <c r="M35" s="17">
        <f t="shared" si="6"/>
        <v>44.560913114372234</v>
      </c>
      <c r="N35" s="5">
        <f>N34+J59-K59</f>
        <v>5103</v>
      </c>
      <c r="O35" s="13"/>
    </row>
    <row r="36" spans="1:22" ht="14.4" x14ac:dyDescent="0.3">
      <c r="A36" s="13"/>
      <c r="B36" s="13"/>
      <c r="D36" s="13"/>
      <c r="E36" s="13"/>
      <c r="F36" s="13"/>
      <c r="H36" s="19"/>
      <c r="I36" s="13"/>
      <c r="J36" s="13"/>
      <c r="M36" s="13"/>
      <c r="N36" s="13"/>
      <c r="O36" s="13"/>
    </row>
    <row r="37" spans="1:22" ht="14.4" x14ac:dyDescent="0.3">
      <c r="A37" s="1" t="s">
        <v>80</v>
      </c>
      <c r="B37" s="1" t="s">
        <v>42</v>
      </c>
      <c r="C37" s="18" t="s">
        <v>7</v>
      </c>
      <c r="D37" s="18" t="s">
        <v>44</v>
      </c>
      <c r="E37" s="18" t="s">
        <v>45</v>
      </c>
      <c r="F37" s="18" t="s">
        <v>46</v>
      </c>
      <c r="G37" s="18" t="s">
        <v>47</v>
      </c>
      <c r="H37" s="18" t="s">
        <v>10</v>
      </c>
      <c r="I37" s="18" t="s">
        <v>48</v>
      </c>
      <c r="J37" s="18" t="s">
        <v>81</v>
      </c>
      <c r="K37" s="18" t="s">
        <v>82</v>
      </c>
      <c r="L37" s="18" t="s">
        <v>51</v>
      </c>
      <c r="M37" s="18" t="s">
        <v>52</v>
      </c>
      <c r="N37" s="18" t="s">
        <v>83</v>
      </c>
      <c r="O37" s="18" t="s">
        <v>12</v>
      </c>
    </row>
    <row r="38" spans="1:22" ht="14.4" x14ac:dyDescent="0.3">
      <c r="B38" s="20" t="s">
        <v>84</v>
      </c>
      <c r="C38" s="21">
        <f t="shared" ref="C38:G38" si="7">(C34/C14)^(1/20)-1</f>
        <v>9.7203907820467172E-2</v>
      </c>
      <c r="D38" s="21">
        <f t="shared" si="7"/>
        <v>0.16282660896262158</v>
      </c>
      <c r="E38" s="21">
        <f t="shared" si="7"/>
        <v>-9.2712143808237557E-2</v>
      </c>
      <c r="F38" s="21">
        <f t="shared" si="7"/>
        <v>0.21718957526944882</v>
      </c>
      <c r="G38" s="21">
        <f t="shared" si="7"/>
        <v>3.1672277325899056E-2</v>
      </c>
      <c r="H38" s="21">
        <f>((10*H34)/H14)^(1/20)-1</f>
        <v>0.22020204141177135</v>
      </c>
      <c r="I38" s="22">
        <f>MEDIAN(I14:I34)</f>
        <v>7.4265569917743829E-2</v>
      </c>
      <c r="J38" s="21">
        <f t="shared" ref="J38:K38" si="8">((10*J34)/J14)^(1/20)-1</f>
        <v>0.30289616123087404</v>
      </c>
      <c r="K38" s="21">
        <f t="shared" si="8"/>
        <v>0.33606926015692484</v>
      </c>
      <c r="L38" s="23">
        <f t="shared" ref="L38:M38" si="9">MEDIAN(L14:L34)</f>
        <v>26.541850220264315</v>
      </c>
      <c r="M38" s="23">
        <f t="shared" si="9"/>
        <v>10.79295154185022</v>
      </c>
      <c r="N38" s="17">
        <f t="shared" ref="N38:N42" si="10">AVERAGE(L38:M38)</f>
        <v>18.667400881057269</v>
      </c>
      <c r="O38" s="21">
        <f>(N34/N14)^(1/20)-1</f>
        <v>0.18017774043116241</v>
      </c>
    </row>
    <row r="39" spans="1:22" ht="14.4" x14ac:dyDescent="0.3">
      <c r="B39" s="20" t="s">
        <v>85</v>
      </c>
      <c r="C39" s="21">
        <f t="shared" ref="C39:G39" si="11">(C34/C19)^(1/15)-1</f>
        <v>9.1200614749522346E-2</v>
      </c>
      <c r="D39" s="21">
        <f t="shared" si="11"/>
        <v>0.12854285919924591</v>
      </c>
      <c r="E39" s="21">
        <f t="shared" si="11"/>
        <v>-0.12060939839195572</v>
      </c>
      <c r="F39" s="21">
        <f t="shared" si="11"/>
        <v>0.17356586682961517</v>
      </c>
      <c r="G39" s="21">
        <f t="shared" si="11"/>
        <v>-1.0576635562878911E-3</v>
      </c>
      <c r="H39" s="21">
        <f>((5*H34)/H19)^(1/15)-1</f>
        <v>0.17323854731326893</v>
      </c>
      <c r="I39" s="22">
        <f>MEDIAN(I19:I34)</f>
        <v>8.064437323538215E-2</v>
      </c>
      <c r="J39" s="21">
        <f t="shared" ref="J39:K39" si="12">((5*J34)/J19)^(1/15)-1</f>
        <v>0.35463283375277643</v>
      </c>
      <c r="K39" s="21">
        <f t="shared" si="12"/>
        <v>0.38557891226870455</v>
      </c>
      <c r="L39" s="23">
        <f t="shared" ref="L39:M39" si="13">MEDIAN(L19:L34)</f>
        <v>28.840588988476313</v>
      </c>
      <c r="M39" s="23">
        <f t="shared" si="13"/>
        <v>21.271979704312834</v>
      </c>
      <c r="N39" s="17">
        <f t="shared" si="10"/>
        <v>25.056284346394573</v>
      </c>
      <c r="O39" s="21">
        <f>(N34/N19)^(1/15)-1</f>
        <v>0.21920420195384471</v>
      </c>
    </row>
    <row r="40" spans="1:22" ht="14.4" x14ac:dyDescent="0.3">
      <c r="B40" s="20" t="s">
        <v>86</v>
      </c>
      <c r="C40" s="21">
        <f t="shared" ref="C40:H40" si="14">(C34/C24)^(1/10)-1</f>
        <v>8.400468584884635E-2</v>
      </c>
      <c r="D40" s="21">
        <f t="shared" si="14"/>
        <v>9.8466060208497019E-2</v>
      </c>
      <c r="E40" s="21">
        <f t="shared" si="14"/>
        <v>-0.20158692679218126</v>
      </c>
      <c r="F40" s="21">
        <f t="shared" si="14"/>
        <v>0.14305662676514386</v>
      </c>
      <c r="G40" s="21">
        <f t="shared" si="14"/>
        <v>-1.5860757658807678E-3</v>
      </c>
      <c r="H40" s="21">
        <f t="shared" si="14"/>
        <v>0.1428756865853591</v>
      </c>
      <c r="I40" s="22">
        <f>MEDIAN(I24:I34)</f>
        <v>8.4724238026124818E-2</v>
      </c>
      <c r="J40" s="21">
        <f t="shared" ref="J40:K40" si="15">(J34/J24)^(1/10)-1</f>
        <v>0.23792417933885712</v>
      </c>
      <c r="K40" s="21">
        <f t="shared" si="15"/>
        <v>0.23224908143548761</v>
      </c>
      <c r="L40" s="23">
        <f t="shared" ref="L40:M40" si="16">MEDIAN(L24:L34)</f>
        <v>38.396739130434788</v>
      </c>
      <c r="M40" s="23">
        <f t="shared" si="16"/>
        <v>24.456840869054609</v>
      </c>
      <c r="N40" s="17">
        <f t="shared" si="10"/>
        <v>31.426789999744699</v>
      </c>
      <c r="O40" s="21">
        <f>(N34/N24)^(1/10)-1</f>
        <v>0.18410912292091641</v>
      </c>
    </row>
    <row r="41" spans="1:22" ht="14.4" x14ac:dyDescent="0.3">
      <c r="B41" s="20" t="s">
        <v>87</v>
      </c>
      <c r="C41" s="21">
        <f>(C34/C29)^(1/5)-1</f>
        <v>9.956903621425206E-2</v>
      </c>
      <c r="D41" s="21">
        <f t="shared" ref="D41:H41" si="17">(D33/D28)^(1/5)-1</f>
        <v>0.13126841838283765</v>
      </c>
      <c r="E41" s="21">
        <f t="shared" si="17"/>
        <v>-0.18316664954179762</v>
      </c>
      <c r="F41" s="21">
        <f t="shared" si="17"/>
        <v>0.16130636684846711</v>
      </c>
      <c r="G41" s="21">
        <f t="shared" si="17"/>
        <v>-3.1696358954262926E-3</v>
      </c>
      <c r="H41" s="21">
        <f t="shared" si="17"/>
        <v>0.16138422094979887</v>
      </c>
      <c r="I41" s="22">
        <f>MEDIAN(I29:I34)</f>
        <v>9.9852681598371851E-2</v>
      </c>
      <c r="J41" s="21">
        <f t="shared" ref="J41:K41" si="18">(J33/J28)^(1/5)-1</f>
        <v>0.13896454572870476</v>
      </c>
      <c r="K41" s="21">
        <f t="shared" si="18"/>
        <v>0.1035333023764049</v>
      </c>
      <c r="L41" s="23">
        <f t="shared" ref="L41:M41" si="19">MEDIAN(L29:L34)</f>
        <v>38.955878520852551</v>
      </c>
      <c r="M41" s="23">
        <f t="shared" si="19"/>
        <v>24.721862197381448</v>
      </c>
      <c r="N41" s="17">
        <f t="shared" si="10"/>
        <v>31.838870359116999</v>
      </c>
      <c r="O41" s="21">
        <f>(N34/N29)^(1/5)-1</f>
        <v>0.20910258580035346</v>
      </c>
    </row>
    <row r="42" spans="1:22" ht="14.4" x14ac:dyDescent="0.3">
      <c r="B42" s="4" t="s">
        <v>88</v>
      </c>
      <c r="C42" s="14">
        <f t="shared" ref="C42:H42" si="20">(C34/C33)-1</f>
        <v>0.26298072461851008</v>
      </c>
      <c r="D42" s="14">
        <f t="shared" si="20"/>
        <v>0.10140202151940003</v>
      </c>
      <c r="E42" s="14">
        <f t="shared" si="20"/>
        <v>0</v>
      </c>
      <c r="F42" s="14">
        <f t="shared" si="20"/>
        <v>0.23556581986143188</v>
      </c>
      <c r="G42" s="14">
        <f t="shared" si="20"/>
        <v>0</v>
      </c>
      <c r="H42" s="14">
        <f t="shared" si="20"/>
        <v>0.23620082207868442</v>
      </c>
      <c r="I42" s="22">
        <f>I34</f>
        <v>0.10558515887112691</v>
      </c>
      <c r="J42" s="14">
        <f t="shared" ref="J42:K42" si="21">(J34/J33)-1</f>
        <v>0.71208406304728555</v>
      </c>
      <c r="K42" s="14">
        <f t="shared" si="21"/>
        <v>0.47899159663865554</v>
      </c>
      <c r="L42" s="23">
        <f t="shared" ref="L42:M42" si="22">L34</f>
        <v>58.045362783517405</v>
      </c>
      <c r="M42" s="23">
        <f t="shared" si="22"/>
        <v>29.260182876142977</v>
      </c>
      <c r="N42" s="17">
        <f t="shared" si="10"/>
        <v>43.652772829830191</v>
      </c>
      <c r="O42" s="14">
        <f>(N34/N33)-1</f>
        <v>0.15470240799636525</v>
      </c>
    </row>
    <row r="43" spans="1:22" ht="14.4" x14ac:dyDescent="0.3">
      <c r="A43" s="24"/>
      <c r="B43" s="24"/>
      <c r="C43" s="25"/>
      <c r="D43" s="25"/>
      <c r="E43" s="25"/>
      <c r="F43" s="25"/>
      <c r="N43" s="26">
        <f>AVERAGE(N38:N42)</f>
        <v>30.128423683228743</v>
      </c>
    </row>
    <row r="44" spans="1:22" ht="14.4" x14ac:dyDescent="0.3">
      <c r="A44" s="1" t="s">
        <v>89</v>
      </c>
      <c r="B44" s="1" t="s">
        <v>42</v>
      </c>
      <c r="C44" s="18" t="s">
        <v>7</v>
      </c>
      <c r="D44" s="18" t="s">
        <v>44</v>
      </c>
      <c r="E44" s="18" t="s">
        <v>46</v>
      </c>
      <c r="F44" s="18" t="s">
        <v>10</v>
      </c>
      <c r="G44" s="18" t="s">
        <v>90</v>
      </c>
      <c r="I44" s="1" t="s">
        <v>91</v>
      </c>
      <c r="J44" s="1" t="s">
        <v>92</v>
      </c>
      <c r="K44" s="1" t="s">
        <v>93</v>
      </c>
      <c r="L44" s="1" t="s">
        <v>94</v>
      </c>
      <c r="M44" s="1" t="s">
        <v>95</v>
      </c>
      <c r="P44" s="27" t="s">
        <v>96</v>
      </c>
      <c r="Q44" s="27" t="s">
        <v>95</v>
      </c>
      <c r="R44" s="27" t="s">
        <v>97</v>
      </c>
      <c r="S44" s="27" t="s">
        <v>98</v>
      </c>
    </row>
    <row r="45" spans="1:22" ht="14.4" x14ac:dyDescent="0.3">
      <c r="B45" s="4" t="s">
        <v>99</v>
      </c>
      <c r="C45" s="28">
        <f t="shared" ref="C45:D45" si="23">MEDIAN(C38:C42)</f>
        <v>9.7203907820467172E-2</v>
      </c>
      <c r="D45" s="28">
        <f t="shared" si="23"/>
        <v>0.12854285919924591</v>
      </c>
      <c r="E45" s="28">
        <v>0.13</v>
      </c>
      <c r="F45" s="28">
        <v>0.13</v>
      </c>
      <c r="G45" s="29">
        <f>AVERAGE(I38:I42)</f>
        <v>8.9014404329749913E-2</v>
      </c>
      <c r="I45" s="30">
        <v>20.170000000000002</v>
      </c>
      <c r="J45" s="30">
        <v>27.93</v>
      </c>
      <c r="K45" s="30">
        <v>21.5</v>
      </c>
      <c r="L45" s="30">
        <v>16.260000000000002</v>
      </c>
      <c r="M45" s="31">
        <f>SUM(I45:L45)</f>
        <v>85.86</v>
      </c>
      <c r="P45" s="32">
        <v>84.2</v>
      </c>
      <c r="Q45" s="32">
        <v>85.86</v>
      </c>
      <c r="R45" s="32">
        <v>83</v>
      </c>
      <c r="S45" s="33">
        <f ca="1">R47/-1</f>
        <v>-57.819277108433738</v>
      </c>
    </row>
    <row r="46" spans="1:22" ht="14.4" x14ac:dyDescent="0.3">
      <c r="B46" s="4" t="s">
        <v>100</v>
      </c>
      <c r="C46" s="28">
        <v>0.05</v>
      </c>
      <c r="D46" s="28">
        <v>0.1</v>
      </c>
      <c r="E46" s="28">
        <f>(E50/F34)-1</f>
        <v>-1.0277570093457755E-2</v>
      </c>
      <c r="F46" s="28">
        <v>-0.01</v>
      </c>
      <c r="G46" s="29">
        <v>9.5000000000000001E-2</v>
      </c>
      <c r="P46" s="27" t="s">
        <v>101</v>
      </c>
      <c r="Q46" s="27" t="s">
        <v>102</v>
      </c>
      <c r="R46" s="27" t="s">
        <v>103</v>
      </c>
      <c r="S46" s="34"/>
    </row>
    <row r="47" spans="1:22" ht="14.4" x14ac:dyDescent="0.3">
      <c r="I47" s="1" t="s">
        <v>104</v>
      </c>
      <c r="J47" s="1" t="s">
        <v>105</v>
      </c>
      <c r="K47" s="1" t="s">
        <v>106</v>
      </c>
      <c r="L47" s="1" t="s">
        <v>93</v>
      </c>
      <c r="M47" s="1" t="s">
        <v>107</v>
      </c>
      <c r="N47" s="1" t="s">
        <v>108</v>
      </c>
      <c r="P47" s="32">
        <f>4232/P45</f>
        <v>50.26128266033254</v>
      </c>
      <c r="Q47" s="32">
        <f ca="1">C3/Q45</f>
        <v>55.893314698346146</v>
      </c>
      <c r="R47" s="32">
        <f ca="1">C3/R45</f>
        <v>57.819277108433738</v>
      </c>
      <c r="S47" s="34"/>
    </row>
    <row r="48" spans="1:22" ht="14.4" x14ac:dyDescent="0.3">
      <c r="I48" s="4" t="s">
        <v>8</v>
      </c>
      <c r="J48" s="14">
        <v>0.08</v>
      </c>
      <c r="K48" s="14">
        <v>0.1</v>
      </c>
      <c r="L48" s="14">
        <v>0.11</v>
      </c>
      <c r="M48" s="14">
        <v>0.05</v>
      </c>
      <c r="N48" s="14">
        <v>0.1</v>
      </c>
      <c r="U48" s="35"/>
      <c r="V48" s="35"/>
    </row>
    <row r="49" spans="1:25" ht="14.4" x14ac:dyDescent="0.3">
      <c r="A49" s="1" t="s">
        <v>109</v>
      </c>
      <c r="B49" s="1" t="s">
        <v>42</v>
      </c>
      <c r="C49" s="18" t="s">
        <v>7</v>
      </c>
      <c r="D49" s="18" t="s">
        <v>44</v>
      </c>
      <c r="E49" s="18" t="s">
        <v>46</v>
      </c>
      <c r="F49" s="18" t="s">
        <v>10</v>
      </c>
      <c r="G49" s="18" t="s">
        <v>110</v>
      </c>
      <c r="I49" s="4" t="s">
        <v>9</v>
      </c>
      <c r="J49" s="14">
        <v>0.41</v>
      </c>
      <c r="K49" s="14">
        <v>0.24</v>
      </c>
      <c r="L49" s="14">
        <v>0.26</v>
      </c>
      <c r="M49" s="14">
        <v>0.04</v>
      </c>
      <c r="N49" s="36">
        <v>-0.01</v>
      </c>
    </row>
    <row r="50" spans="1:25" ht="14.4" x14ac:dyDescent="0.3">
      <c r="B50" s="37" t="s">
        <v>111</v>
      </c>
      <c r="C50" s="38">
        <f t="shared" ref="C50:D50" si="24">FV(C46,1,0,-C34,0)</f>
        <v>671686.05</v>
      </c>
      <c r="D50" s="38">
        <f t="shared" si="24"/>
        <v>11147.400000000001</v>
      </c>
      <c r="E50" s="38">
        <f>D50*G46</f>
        <v>1059.0030000000002</v>
      </c>
      <c r="F50" s="38">
        <f>FV(F46,1,0,-H34,0)</f>
        <v>83.367899999999992</v>
      </c>
      <c r="G50" s="39">
        <f t="shared" ref="G50:G52" si="25">F50*30</f>
        <v>2501.0369999999998</v>
      </c>
      <c r="I50" s="4" t="s">
        <v>90</v>
      </c>
      <c r="J50" s="16">
        <v>0.1</v>
      </c>
      <c r="K50" s="16">
        <v>0.106</v>
      </c>
      <c r="L50" s="16">
        <v>0.104</v>
      </c>
      <c r="M50" s="16">
        <v>9.7000000000000003E-2</v>
      </c>
      <c r="N50" s="16">
        <v>9.5000000000000001E-2</v>
      </c>
    </row>
    <row r="51" spans="1:25" ht="14.4" x14ac:dyDescent="0.3">
      <c r="B51" s="37" t="s">
        <v>112</v>
      </c>
      <c r="C51" s="38">
        <f t="shared" ref="C51:D51" si="26">FV(C45,5,0,-C50,0)</f>
        <v>1068078.2155604616</v>
      </c>
      <c r="D51" s="38">
        <f t="shared" si="26"/>
        <v>20406.281378707601</v>
      </c>
      <c r="E51" s="38">
        <f>D51*G45</f>
        <v>1816.4529815109249</v>
      </c>
      <c r="F51" s="38">
        <f>(E51*F50)/E50</f>
        <v>142.99663978034491</v>
      </c>
      <c r="G51" s="39">
        <f t="shared" si="25"/>
        <v>4289.8991934103469</v>
      </c>
    </row>
    <row r="52" spans="1:25" ht="14.4" x14ac:dyDescent="0.3">
      <c r="B52" s="37" t="s">
        <v>113</v>
      </c>
      <c r="C52" s="38">
        <f t="shared" ref="C52:F52" si="27">FV(C45,5,0,-C51,0)</f>
        <v>1698399.2365999261</v>
      </c>
      <c r="D52" s="38">
        <f t="shared" si="27"/>
        <v>37355.465822253485</v>
      </c>
      <c r="E52" s="38">
        <f t="shared" si="27"/>
        <v>3346.6968746800985</v>
      </c>
      <c r="F52" s="38">
        <f t="shared" si="27"/>
        <v>263.46203965299713</v>
      </c>
      <c r="G52" s="39">
        <f t="shared" si="25"/>
        <v>7903.8611895899139</v>
      </c>
      <c r="I52" s="1" t="s">
        <v>114</v>
      </c>
      <c r="J52" s="1" t="s">
        <v>107</v>
      </c>
      <c r="K52" s="1" t="s">
        <v>115</v>
      </c>
      <c r="L52" s="1" t="s">
        <v>80</v>
      </c>
      <c r="M52" s="1" t="s">
        <v>7</v>
      </c>
      <c r="O52" s="1" t="s">
        <v>114</v>
      </c>
      <c r="P52" s="1" t="s">
        <v>94</v>
      </c>
      <c r="Q52" s="1" t="s">
        <v>116</v>
      </c>
      <c r="R52" s="1" t="s">
        <v>80</v>
      </c>
      <c r="S52" s="1" t="s">
        <v>7</v>
      </c>
      <c r="U52" s="1" t="s">
        <v>114</v>
      </c>
      <c r="V52" s="1" t="s">
        <v>93</v>
      </c>
      <c r="W52" s="1" t="s">
        <v>117</v>
      </c>
      <c r="X52" s="1" t="s">
        <v>80</v>
      </c>
      <c r="Y52" s="1" t="s">
        <v>7</v>
      </c>
    </row>
    <row r="53" spans="1:25" ht="14.4" x14ac:dyDescent="0.3">
      <c r="B53" s="13"/>
      <c r="C53" s="40"/>
      <c r="D53" s="40"/>
      <c r="E53" s="40"/>
      <c r="F53" s="19"/>
      <c r="I53" s="4" t="s">
        <v>118</v>
      </c>
      <c r="J53" s="5">
        <v>4909</v>
      </c>
      <c r="K53" s="5">
        <v>4677</v>
      </c>
      <c r="L53" s="14">
        <f t="shared" ref="L53:L60" si="28">(J53/K53)^(1/1)-1</f>
        <v>4.9604447295274801E-2</v>
      </c>
      <c r="M53" s="35">
        <v>0.09</v>
      </c>
      <c r="N53" s="41"/>
      <c r="O53" s="4" t="s">
        <v>118</v>
      </c>
      <c r="P53" s="5">
        <v>2273</v>
      </c>
      <c r="Q53" s="5">
        <v>2309</v>
      </c>
      <c r="R53" s="14">
        <f t="shared" ref="R53:R57" si="29">(P53/Q53)^(1/1)-1</f>
        <v>-1.5591165006496266E-2</v>
      </c>
      <c r="S53" s="35">
        <v>2.3E-3</v>
      </c>
      <c r="U53" s="4" t="s">
        <v>118</v>
      </c>
      <c r="V53" s="5">
        <v>2636</v>
      </c>
      <c r="W53" s="5">
        <v>2369</v>
      </c>
      <c r="X53" s="14">
        <v>0.11270578303081469</v>
      </c>
      <c r="Y53" s="35">
        <v>0.17025931710469622</v>
      </c>
    </row>
    <row r="54" spans="1:25" ht="14.4" x14ac:dyDescent="0.3">
      <c r="I54" s="4" t="s">
        <v>119</v>
      </c>
      <c r="J54" s="5">
        <v>4385</v>
      </c>
      <c r="K54" s="5">
        <v>4147</v>
      </c>
      <c r="L54" s="14">
        <f t="shared" si="28"/>
        <v>5.7390884977091883E-2</v>
      </c>
      <c r="O54" s="4" t="s">
        <v>119</v>
      </c>
      <c r="P54" s="5">
        <v>2046</v>
      </c>
      <c r="Q54" s="5">
        <v>2026</v>
      </c>
      <c r="R54" s="14">
        <f t="shared" si="29"/>
        <v>9.8716683119446369E-3</v>
      </c>
      <c r="U54" s="4" t="s">
        <v>119</v>
      </c>
      <c r="V54" s="5">
        <v>2338</v>
      </c>
      <c r="W54" s="5">
        <v>2121</v>
      </c>
      <c r="X54" s="14">
        <v>0.10231023102310233</v>
      </c>
    </row>
    <row r="55" spans="1:25" ht="14.4" x14ac:dyDescent="0.3">
      <c r="I55" s="4" t="s">
        <v>120</v>
      </c>
      <c r="J55" s="5">
        <f t="shared" ref="J55:K55" si="30">J53-(J66+J67+J68+J69+J72+J73)</f>
        <v>706</v>
      </c>
      <c r="K55" s="5">
        <f t="shared" si="30"/>
        <v>679</v>
      </c>
      <c r="L55" s="14">
        <f t="shared" si="28"/>
        <v>3.9764359351988299E-2</v>
      </c>
      <c r="O55" s="4" t="s">
        <v>121</v>
      </c>
      <c r="P55" s="5">
        <v>2.62</v>
      </c>
      <c r="Q55" s="5">
        <v>1.55</v>
      </c>
      <c r="R55" s="14">
        <f t="shared" si="29"/>
        <v>0.69032258064516139</v>
      </c>
      <c r="U55" s="4" t="s">
        <v>120</v>
      </c>
      <c r="V55" s="5">
        <v>387</v>
      </c>
      <c r="W55" s="5">
        <v>322</v>
      </c>
      <c r="X55" s="14">
        <v>0.20186335403726718</v>
      </c>
    </row>
    <row r="56" spans="1:25" ht="14.4" x14ac:dyDescent="0.3">
      <c r="I56" s="4" t="s">
        <v>121</v>
      </c>
      <c r="J56" s="5">
        <v>6</v>
      </c>
      <c r="K56" s="5">
        <v>3</v>
      </c>
      <c r="L56" s="14">
        <f t="shared" si="28"/>
        <v>1</v>
      </c>
      <c r="O56" s="4" t="s">
        <v>122</v>
      </c>
      <c r="P56" s="5">
        <v>205</v>
      </c>
      <c r="Q56" s="5">
        <v>242</v>
      </c>
      <c r="R56" s="14">
        <f t="shared" si="29"/>
        <v>-0.15289256198347112</v>
      </c>
      <c r="U56" s="4" t="s">
        <v>121</v>
      </c>
      <c r="V56" s="5">
        <v>3.3</v>
      </c>
      <c r="W56" s="5">
        <v>1.7</v>
      </c>
      <c r="X56" s="14">
        <v>0.94117647058823528</v>
      </c>
    </row>
    <row r="57" spans="1:25" ht="14.4" x14ac:dyDescent="0.3">
      <c r="I57" s="4" t="s">
        <v>123</v>
      </c>
      <c r="J57" s="5">
        <f t="shared" ref="J57:K57" si="31">J55-J56</f>
        <v>700</v>
      </c>
      <c r="K57" s="5">
        <f t="shared" si="31"/>
        <v>676</v>
      </c>
      <c r="L57" s="14">
        <f t="shared" si="28"/>
        <v>3.5502958579881616E-2</v>
      </c>
      <c r="O57" s="4" t="s">
        <v>10</v>
      </c>
      <c r="P57" s="31">
        <v>16.260000000000002</v>
      </c>
      <c r="Q57" s="31">
        <v>19.14</v>
      </c>
      <c r="R57" s="14">
        <f t="shared" si="29"/>
        <v>-0.15047021943573657</v>
      </c>
      <c r="U57" s="4" t="s">
        <v>123</v>
      </c>
      <c r="V57" s="5">
        <v>383.7</v>
      </c>
      <c r="W57" s="5">
        <v>320.3</v>
      </c>
      <c r="X57" s="14">
        <v>0.19793943178270368</v>
      </c>
    </row>
    <row r="58" spans="1:25" ht="14.4" x14ac:dyDescent="0.3">
      <c r="C58" s="40"/>
      <c r="D58" s="40"/>
      <c r="E58" s="40"/>
      <c r="F58" s="26"/>
      <c r="I58" s="4" t="s">
        <v>124</v>
      </c>
      <c r="J58" s="5">
        <f t="shared" ref="J58:K58" si="32">J57-J71</f>
        <v>524</v>
      </c>
      <c r="K58" s="5">
        <f t="shared" si="32"/>
        <v>532</v>
      </c>
      <c r="L58" s="14">
        <f t="shared" si="28"/>
        <v>-1.5037593984962405E-2</v>
      </c>
      <c r="O58" s="4" t="s">
        <v>125</v>
      </c>
      <c r="P58" s="16">
        <f t="shared" ref="P58:Q58" si="33">P56/P53</f>
        <v>9.0189177298724152E-2</v>
      </c>
      <c r="Q58" s="16">
        <f t="shared" si="33"/>
        <v>0.10480727587700303</v>
      </c>
      <c r="R58" s="15">
        <f>P58-Q58</f>
        <v>-1.4618098578278879E-2</v>
      </c>
      <c r="U58" s="4" t="s">
        <v>124</v>
      </c>
      <c r="V58" s="5">
        <v>297.7</v>
      </c>
      <c r="W58" s="5">
        <v>248.3</v>
      </c>
      <c r="X58" s="14">
        <v>0.19895287958115171</v>
      </c>
    </row>
    <row r="59" spans="1:25" ht="14.4" x14ac:dyDescent="0.3">
      <c r="I59" s="4" t="s">
        <v>122</v>
      </c>
      <c r="J59" s="5">
        <v>477</v>
      </c>
      <c r="K59" s="5">
        <v>457</v>
      </c>
      <c r="L59" s="14">
        <f t="shared" si="28"/>
        <v>4.3763676148796504E-2</v>
      </c>
      <c r="O59" s="4" t="s">
        <v>31</v>
      </c>
      <c r="P59" s="5">
        <f t="shared" ref="P59:Q59" si="34">(P53-P54+P55)/P55</f>
        <v>87.641221374045799</v>
      </c>
      <c r="Q59" s="5">
        <f t="shared" si="34"/>
        <v>183.58064516129033</v>
      </c>
      <c r="R59" s="14">
        <f>(P59/Q59)^(1/1)-1</f>
        <v>-0.52260097301082065</v>
      </c>
      <c r="U59" s="4" t="s">
        <v>122</v>
      </c>
      <c r="V59" s="5">
        <v>273</v>
      </c>
      <c r="W59" s="5">
        <v>216</v>
      </c>
      <c r="X59" s="14">
        <v>0.26388888888888884</v>
      </c>
    </row>
    <row r="60" spans="1:25" ht="14.4" x14ac:dyDescent="0.3">
      <c r="I60" s="4" t="s">
        <v>10</v>
      </c>
      <c r="J60" s="17">
        <v>37.78</v>
      </c>
      <c r="K60" s="17">
        <v>36.11</v>
      </c>
      <c r="L60" s="14">
        <f t="shared" si="28"/>
        <v>4.6247576848518435E-2</v>
      </c>
      <c r="O60" s="13"/>
      <c r="P60" s="26"/>
      <c r="Q60" s="26"/>
      <c r="R60" s="35"/>
      <c r="U60" s="4" t="s">
        <v>10</v>
      </c>
      <c r="V60" s="17">
        <v>21.52</v>
      </c>
      <c r="W60" s="17">
        <v>16.97</v>
      </c>
      <c r="X60" s="14">
        <v>0.26812021213906911</v>
      </c>
    </row>
    <row r="61" spans="1:25" ht="14.4" x14ac:dyDescent="0.3">
      <c r="I61" s="4" t="s">
        <v>126</v>
      </c>
      <c r="J61" s="30">
        <f t="shared" ref="J61:K61" si="35">(100*J55)/J53</f>
        <v>14.381747810144633</v>
      </c>
      <c r="K61" s="30">
        <f t="shared" si="35"/>
        <v>14.517853324780843</v>
      </c>
      <c r="L61" s="31">
        <f t="shared" ref="L61:L63" si="36">J61-K61</f>
        <v>-0.13610551463620979</v>
      </c>
      <c r="O61" s="13"/>
      <c r="P61" s="42"/>
      <c r="Q61" s="42"/>
      <c r="R61" s="43"/>
      <c r="U61" s="4" t="s">
        <v>126</v>
      </c>
      <c r="V61" s="30">
        <v>14.681335356600911</v>
      </c>
      <c r="W61" s="30">
        <v>13.592233009708737</v>
      </c>
      <c r="X61" s="31">
        <v>1.0891023468921741</v>
      </c>
    </row>
    <row r="62" spans="1:25" ht="14.4" x14ac:dyDescent="0.3">
      <c r="I62" s="4" t="s">
        <v>125</v>
      </c>
      <c r="J62" s="17">
        <f t="shared" ref="J62:K62" si="37">(100*J59)/J53</f>
        <v>9.716846608270524</v>
      </c>
      <c r="K62" s="17">
        <f t="shared" si="37"/>
        <v>9.7712208680778279</v>
      </c>
      <c r="L62" s="31">
        <f t="shared" si="36"/>
        <v>-5.4374259807303815E-2</v>
      </c>
      <c r="O62" s="13"/>
      <c r="P62" s="26"/>
      <c r="Q62" s="26"/>
      <c r="R62" s="43"/>
      <c r="U62" s="4" t="s">
        <v>125</v>
      </c>
      <c r="V62" s="17">
        <v>10.35660091047041</v>
      </c>
      <c r="W62" s="17">
        <v>9.1177712114816369</v>
      </c>
      <c r="X62" s="31">
        <v>1.2388296989887735</v>
      </c>
    </row>
    <row r="63" spans="1:25" ht="14.4" x14ac:dyDescent="0.3">
      <c r="I63" s="4" t="s">
        <v>31</v>
      </c>
      <c r="J63" s="6">
        <f t="shared" ref="J63:K63" si="38">(J53-J54+J56)/J56</f>
        <v>88.333333333333329</v>
      </c>
      <c r="K63" s="6">
        <f t="shared" si="38"/>
        <v>177.66666666666666</v>
      </c>
      <c r="L63" s="30">
        <f t="shared" si="36"/>
        <v>-89.333333333333329</v>
      </c>
      <c r="O63" s="13"/>
      <c r="P63" s="19"/>
      <c r="Q63" s="19"/>
      <c r="R63" s="42"/>
      <c r="U63" s="4" t="s">
        <v>31</v>
      </c>
      <c r="V63" s="6">
        <v>91.303030303030312</v>
      </c>
      <c r="W63" s="6">
        <v>146.88235294117646</v>
      </c>
      <c r="X63" s="30">
        <v>-55.579322638146152</v>
      </c>
    </row>
    <row r="65" spans="9:19" ht="14.4" x14ac:dyDescent="0.3">
      <c r="I65" s="1" t="s">
        <v>127</v>
      </c>
      <c r="J65" s="1" t="s">
        <v>107</v>
      </c>
      <c r="K65" s="1" t="s">
        <v>115</v>
      </c>
      <c r="L65" s="1" t="s">
        <v>128</v>
      </c>
      <c r="M65" s="1" t="s">
        <v>80</v>
      </c>
      <c r="O65" s="1" t="s">
        <v>129</v>
      </c>
      <c r="P65" s="1" t="s">
        <v>107</v>
      </c>
      <c r="Q65" s="1" t="s">
        <v>115</v>
      </c>
      <c r="R65" s="1" t="s">
        <v>80</v>
      </c>
      <c r="S65" s="1" t="s">
        <v>128</v>
      </c>
    </row>
    <row r="66" spans="9:19" ht="14.4" x14ac:dyDescent="0.3">
      <c r="I66" s="4" t="s">
        <v>130</v>
      </c>
      <c r="J66" s="5">
        <v>3420</v>
      </c>
      <c r="K66" s="5">
        <v>3290</v>
      </c>
      <c r="L66" s="14">
        <f t="shared" ref="L66:L73" si="39">J66/$J$75</f>
        <v>0.77993158494868875</v>
      </c>
      <c r="M66" s="14">
        <f t="shared" ref="M66:M73" si="40">(J66/K66)^(1/1)-1</f>
        <v>3.951367781155013E-2</v>
      </c>
      <c r="O66" s="4" t="s">
        <v>131</v>
      </c>
      <c r="P66" s="5">
        <v>3296</v>
      </c>
      <c r="Q66" s="5">
        <v>3135</v>
      </c>
      <c r="R66" s="14">
        <f t="shared" ref="R66:R70" si="41">(P66/Q66)^(1/1)-1</f>
        <v>5.135566188197771E-2</v>
      </c>
      <c r="S66" s="14">
        <f t="shared" ref="S66:S70" si="42">P66/$P$72</f>
        <v>0.68395932766134049</v>
      </c>
    </row>
    <row r="67" spans="9:19" ht="14.4" x14ac:dyDescent="0.3">
      <c r="I67" s="4" t="s">
        <v>132</v>
      </c>
      <c r="J67" s="5">
        <v>40</v>
      </c>
      <c r="K67" s="5">
        <v>63</v>
      </c>
      <c r="L67" s="14">
        <f t="shared" si="39"/>
        <v>9.1220068415051314E-3</v>
      </c>
      <c r="M67" s="14">
        <f t="shared" si="40"/>
        <v>-0.36507936507936511</v>
      </c>
      <c r="O67" s="4" t="s">
        <v>133</v>
      </c>
      <c r="P67" s="5">
        <v>634</v>
      </c>
      <c r="Q67" s="5">
        <v>624</v>
      </c>
      <c r="R67" s="14">
        <f t="shared" si="41"/>
        <v>1.6025641025640969E-2</v>
      </c>
      <c r="S67" s="14">
        <f t="shared" si="42"/>
        <v>0.13156256484747872</v>
      </c>
    </row>
    <row r="68" spans="9:19" ht="14.4" x14ac:dyDescent="0.3">
      <c r="I68" s="4" t="s">
        <v>134</v>
      </c>
      <c r="J68" s="5">
        <v>-176</v>
      </c>
      <c r="K68" s="5">
        <v>-162</v>
      </c>
      <c r="L68" s="14">
        <f t="shared" si="39"/>
        <v>-4.0136830102622575E-2</v>
      </c>
      <c r="M68" s="14">
        <f t="shared" si="40"/>
        <v>8.6419753086419693E-2</v>
      </c>
      <c r="O68" s="4" t="s">
        <v>135</v>
      </c>
      <c r="P68" s="5">
        <v>678</v>
      </c>
      <c r="Q68" s="5">
        <v>675</v>
      </c>
      <c r="R68" s="14">
        <f t="shared" si="41"/>
        <v>4.4444444444444731E-3</v>
      </c>
      <c r="S68" s="14">
        <f t="shared" si="42"/>
        <v>0.14069308985266654</v>
      </c>
    </row>
    <row r="69" spans="9:19" ht="14.4" x14ac:dyDescent="0.3">
      <c r="I69" s="4" t="s">
        <v>136</v>
      </c>
      <c r="J69" s="5">
        <v>241</v>
      </c>
      <c r="K69" s="5">
        <v>209</v>
      </c>
      <c r="L69" s="14">
        <f t="shared" si="39"/>
        <v>5.4960091220068417E-2</v>
      </c>
      <c r="M69" s="14">
        <f t="shared" si="40"/>
        <v>0.15311004784688986</v>
      </c>
      <c r="O69" s="4" t="s">
        <v>137</v>
      </c>
      <c r="P69" s="5">
        <v>201</v>
      </c>
      <c r="Q69" s="5">
        <v>210</v>
      </c>
      <c r="R69" s="14">
        <f t="shared" si="41"/>
        <v>-4.2857142857142816E-2</v>
      </c>
      <c r="S69" s="14">
        <f t="shared" si="42"/>
        <v>4.1709898319153352E-2</v>
      </c>
    </row>
    <row r="70" spans="9:19" ht="14.4" x14ac:dyDescent="0.3">
      <c r="I70" s="4" t="s">
        <v>121</v>
      </c>
      <c r="J70" s="5">
        <v>6</v>
      </c>
      <c r="K70" s="5">
        <v>3</v>
      </c>
      <c r="L70" s="14">
        <f t="shared" si="39"/>
        <v>1.3683010262257698E-3</v>
      </c>
      <c r="M70" s="14">
        <f t="shared" si="40"/>
        <v>1</v>
      </c>
      <c r="O70" s="4" t="s">
        <v>138</v>
      </c>
      <c r="P70" s="4">
        <v>10</v>
      </c>
      <c r="Q70" s="4">
        <v>32</v>
      </c>
      <c r="R70" s="14">
        <f t="shared" si="41"/>
        <v>-0.6875</v>
      </c>
      <c r="S70" s="14">
        <f t="shared" si="42"/>
        <v>2.0751193193608631E-3</v>
      </c>
    </row>
    <row r="71" spans="9:19" ht="14.4" x14ac:dyDescent="0.3">
      <c r="I71" s="4" t="s">
        <v>139</v>
      </c>
      <c r="J71" s="6">
        <v>176</v>
      </c>
      <c r="K71" s="6">
        <v>144</v>
      </c>
      <c r="L71" s="14">
        <f t="shared" si="39"/>
        <v>4.0136830102622575E-2</v>
      </c>
      <c r="M71" s="14">
        <f t="shared" si="40"/>
        <v>0.22222222222222232</v>
      </c>
      <c r="O71" s="4"/>
      <c r="P71" s="6"/>
      <c r="Q71" s="6"/>
      <c r="R71" s="14"/>
      <c r="S71" s="14"/>
    </row>
    <row r="72" spans="9:19" ht="14.4" x14ac:dyDescent="0.3">
      <c r="I72" s="4" t="s">
        <v>140</v>
      </c>
      <c r="J72" s="4">
        <v>169</v>
      </c>
      <c r="K72" s="4">
        <v>157</v>
      </c>
      <c r="L72" s="14">
        <f t="shared" si="39"/>
        <v>3.854047890535918E-2</v>
      </c>
      <c r="M72" s="14">
        <f t="shared" si="40"/>
        <v>7.6433121019108263E-2</v>
      </c>
      <c r="O72" s="44" t="s">
        <v>141</v>
      </c>
      <c r="P72" s="45">
        <f t="shared" ref="P72:Q72" si="43">SUM(P66:P71)</f>
        <v>4819</v>
      </c>
      <c r="Q72" s="45">
        <f t="shared" si="43"/>
        <v>4676</v>
      </c>
      <c r="R72" s="46">
        <f>(P72/Q72)^(1/1)-1</f>
        <v>3.0581693755346473E-2</v>
      </c>
      <c r="S72" s="46">
        <f>P72/$P$72</f>
        <v>1</v>
      </c>
    </row>
    <row r="73" spans="9:19" ht="14.4" x14ac:dyDescent="0.3">
      <c r="I73" s="4" t="s">
        <v>142</v>
      </c>
      <c r="J73" s="4">
        <v>509</v>
      </c>
      <c r="K73" s="4">
        <v>441</v>
      </c>
      <c r="L73" s="14">
        <f t="shared" si="39"/>
        <v>0.1160775370581528</v>
      </c>
      <c r="M73" s="14">
        <f t="shared" si="40"/>
        <v>0.1541950113378685</v>
      </c>
    </row>
    <row r="75" spans="9:19" ht="14.4" x14ac:dyDescent="0.3">
      <c r="I75" s="47" t="s">
        <v>141</v>
      </c>
      <c r="J75" s="48">
        <f t="shared" ref="J75:K75" si="44">SUM(J66:J73)</f>
        <v>4385</v>
      </c>
      <c r="K75" s="48">
        <f t="shared" si="44"/>
        <v>4145</v>
      </c>
      <c r="L75" s="49">
        <f>J75/$J$75</f>
        <v>1</v>
      </c>
      <c r="M75" s="14">
        <f>(J75/K75)^(1/1)-1</f>
        <v>5.7901085645355899E-2</v>
      </c>
    </row>
  </sheetData>
  <mergeCells count="1">
    <mergeCell ref="S45:S47"/>
  </mergeCells>
  <conditionalFormatting sqref="C11:C3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H42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35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1:E35">
    <cfRule type="colorScale" priority="2">
      <colorScale>
        <cfvo type="min"/>
        <cfvo type="max"/>
        <color rgb="FFE67C73"/>
        <color rgb="FFFFFFFF"/>
      </colorScale>
    </cfRule>
  </conditionalFormatting>
  <conditionalFormatting sqref="F11:F3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:G35">
    <cfRule type="colorScale" priority="4">
      <colorScale>
        <cfvo type="min"/>
        <cfvo type="max"/>
        <color rgb="FFFFFFFF"/>
        <color rgb="FF57BB8A"/>
      </colorScale>
    </cfRule>
  </conditionalFormatting>
  <conditionalFormatting sqref="H11:H35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1:I3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8:I4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5:L4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1:K35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8:K42 O38:O42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48:M49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0:M50">
    <cfRule type="colorScale" priority="24">
      <colorScale>
        <cfvo type="min"/>
        <cfvo type="max"/>
        <color rgb="FFFFFFFF"/>
        <color rgb="FF57BB8A"/>
      </colorScale>
    </cfRule>
  </conditionalFormatting>
  <conditionalFormatting sqref="L53:L63 X53:X59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61:L73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1:N35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38:N42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62:M73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1:N35">
    <cfRule type="colorScale" priority="7">
      <colorScale>
        <cfvo type="min"/>
        <cfvo type="max"/>
        <color rgb="FFFFFFFF"/>
        <color rgb="FF57BB8A"/>
      </colorScale>
    </cfRule>
  </conditionalFormatting>
  <conditionalFormatting sqref="P45:R45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47:R47">
    <cfRule type="colorScale" priority="2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R53:R59 X53:X59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66:R70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47CE-8EB1-4661-8AD4-6C54A284F717}">
  <sheetPr>
    <outlinePr summaryBelow="0" summaryRight="0"/>
  </sheetPr>
  <dimension ref="A1:AI1000"/>
  <sheetViews>
    <sheetView showGridLines="0" workbookViewId="0"/>
  </sheetViews>
  <sheetFormatPr defaultColWidth="14" defaultRowHeight="15" customHeight="1" x14ac:dyDescent="0.3"/>
  <cols>
    <col min="1" max="6" width="14" customWidth="1"/>
    <col min="17" max="17" width="18.21875" customWidth="1"/>
    <col min="18" max="18" width="21.6640625" customWidth="1"/>
    <col min="19" max="19" width="16.88671875" customWidth="1"/>
    <col min="20" max="20" width="28.44140625" customWidth="1"/>
  </cols>
  <sheetData>
    <row r="1" spans="1:35" ht="15.75" customHeight="1" x14ac:dyDescent="0.3">
      <c r="A1" s="50" t="s">
        <v>143</v>
      </c>
      <c r="B1" s="50" t="s">
        <v>144</v>
      </c>
      <c r="C1" s="50" t="s">
        <v>145</v>
      </c>
      <c r="D1" s="50" t="s">
        <v>146</v>
      </c>
      <c r="E1" s="50" t="s">
        <v>147</v>
      </c>
      <c r="F1" s="50" t="s">
        <v>148</v>
      </c>
      <c r="G1" s="50" t="s">
        <v>149</v>
      </c>
      <c r="H1" s="50" t="s">
        <v>150</v>
      </c>
      <c r="I1" s="50" t="s">
        <v>11</v>
      </c>
      <c r="J1" s="50" t="s">
        <v>151</v>
      </c>
      <c r="K1" s="50" t="s">
        <v>152</v>
      </c>
      <c r="L1" s="50" t="s">
        <v>153</v>
      </c>
      <c r="M1" s="50" t="s">
        <v>13</v>
      </c>
      <c r="N1" s="50" t="s">
        <v>154</v>
      </c>
      <c r="O1" s="50" t="s">
        <v>95</v>
      </c>
      <c r="P1" s="50" t="s">
        <v>155</v>
      </c>
      <c r="Q1" s="50" t="s">
        <v>156</v>
      </c>
      <c r="R1" s="50" t="s">
        <v>157</v>
      </c>
      <c r="S1" s="50" t="s">
        <v>158</v>
      </c>
      <c r="T1" s="50" t="s">
        <v>159</v>
      </c>
      <c r="U1" s="50" t="s">
        <v>160</v>
      </c>
      <c r="V1" s="50" t="s">
        <v>161</v>
      </c>
      <c r="W1" s="50" t="s">
        <v>90</v>
      </c>
      <c r="X1" s="50" t="s">
        <v>31</v>
      </c>
      <c r="Y1" s="50" t="s">
        <v>162</v>
      </c>
      <c r="Z1" s="50" t="s">
        <v>163</v>
      </c>
      <c r="AA1" s="50" t="s">
        <v>164</v>
      </c>
      <c r="AB1" s="50" t="s">
        <v>165</v>
      </c>
      <c r="AC1" s="50" t="s">
        <v>33</v>
      </c>
      <c r="AD1" s="50" t="s">
        <v>166</v>
      </c>
      <c r="AE1" s="50" t="s">
        <v>34</v>
      </c>
      <c r="AF1" s="50" t="s">
        <v>102</v>
      </c>
      <c r="AG1" s="50" t="s">
        <v>38</v>
      </c>
      <c r="AH1" s="50" t="s">
        <v>39</v>
      </c>
      <c r="AI1" s="50" t="s">
        <v>40</v>
      </c>
    </row>
    <row r="2" spans="1:35" ht="15.75" customHeight="1" x14ac:dyDescent="0.3">
      <c r="A2" s="51">
        <v>509930</v>
      </c>
      <c r="B2" s="52" t="s">
        <v>167</v>
      </c>
      <c r="C2" s="53">
        <f ca="1">IFERROR(__xludf.DUMMYFUNCTION("GOOGLEFINANCE(""bom:""&amp;A2,""price"")"),4803)</f>
        <v>4803</v>
      </c>
      <c r="D2" s="54">
        <f ca="1">IFERROR(__xludf.DUMMYFUNCTION("GOOGLEFINANCE(""bom:""&amp;A2,""marketcap"")/10000000"),60960.16132)</f>
        <v>60960.161319999999</v>
      </c>
      <c r="E2" s="54">
        <v>2893.35</v>
      </c>
      <c r="F2" s="54">
        <v>1014.94</v>
      </c>
      <c r="G2" s="54">
        <v>5774.22</v>
      </c>
      <c r="H2" s="54">
        <v>1168.9100000000001</v>
      </c>
      <c r="I2" s="54">
        <v>25.41</v>
      </c>
      <c r="J2" s="54">
        <v>4605.3100000000004</v>
      </c>
      <c r="K2" s="54">
        <v>0</v>
      </c>
      <c r="L2" s="54">
        <v>531</v>
      </c>
      <c r="M2" s="54">
        <v>2</v>
      </c>
      <c r="N2" s="54"/>
      <c r="O2" s="54">
        <v>68.12</v>
      </c>
      <c r="P2" s="54"/>
      <c r="Q2" s="54">
        <v>4966</v>
      </c>
      <c r="R2" s="54">
        <v>9201</v>
      </c>
      <c r="S2" s="54">
        <v>865</v>
      </c>
      <c r="T2" s="54">
        <v>8</v>
      </c>
      <c r="U2" s="54">
        <v>8273</v>
      </c>
      <c r="V2" s="55">
        <v>0.13</v>
      </c>
      <c r="W2" s="55">
        <v>0.09</v>
      </c>
      <c r="X2" s="56">
        <v>117</v>
      </c>
      <c r="Y2" s="57">
        <v>2.9</v>
      </c>
      <c r="Z2" s="56">
        <v>21</v>
      </c>
      <c r="AA2" s="58">
        <v>0</v>
      </c>
      <c r="AB2" s="58">
        <v>0.2</v>
      </c>
      <c r="AC2" s="55">
        <v>0.188</v>
      </c>
      <c r="AD2" s="56">
        <v>34</v>
      </c>
      <c r="AE2" s="55">
        <v>0.15</v>
      </c>
      <c r="AF2" s="56">
        <v>59</v>
      </c>
      <c r="AG2" s="55">
        <v>1.7000000000000001E-2</v>
      </c>
      <c r="AH2" s="56">
        <v>362.5</v>
      </c>
      <c r="AI2" s="56">
        <v>11.1</v>
      </c>
    </row>
    <row r="3" spans="1:35" ht="15.75" customHeight="1" x14ac:dyDescent="0.3">
      <c r="A3" s="51">
        <v>532830</v>
      </c>
      <c r="B3" s="52" t="s">
        <v>168</v>
      </c>
      <c r="C3" s="53">
        <f ca="1">IFERROR(__xludf.DUMMYFUNCTION("GOOGLEFINANCE(""bom:""&amp;A3,""price"")"),1838)</f>
        <v>1838</v>
      </c>
      <c r="D3" s="54">
        <f ca="1">IFERROR(__xludf.DUMMYFUNCTION("GOOGLEFINANCE(""bom:""&amp;A3,""marketcap"")/10000000"),49294.46745)</f>
        <v>49294.467449999996</v>
      </c>
      <c r="E3" s="54">
        <v>1974</v>
      </c>
      <c r="F3" s="54">
        <v>1151</v>
      </c>
      <c r="G3" s="54">
        <v>4328</v>
      </c>
      <c r="H3" s="54">
        <v>1235</v>
      </c>
      <c r="I3" s="54">
        <v>26</v>
      </c>
      <c r="J3" s="54">
        <v>3092</v>
      </c>
      <c r="K3" s="54">
        <v>76</v>
      </c>
      <c r="L3" s="54">
        <v>321</v>
      </c>
      <c r="M3" s="54">
        <v>1</v>
      </c>
      <c r="N3" s="54"/>
      <c r="O3" s="54">
        <v>17</v>
      </c>
      <c r="P3" s="54"/>
      <c r="Q3" s="54">
        <v>2138</v>
      </c>
      <c r="R3" s="54">
        <v>5158</v>
      </c>
      <c r="S3" s="54">
        <v>459</v>
      </c>
      <c r="T3" s="54">
        <v>40</v>
      </c>
      <c r="U3" s="54">
        <v>4567</v>
      </c>
      <c r="V3" s="55">
        <v>0.19</v>
      </c>
      <c r="W3" s="55">
        <v>0.09</v>
      </c>
      <c r="X3" s="56">
        <v>16</v>
      </c>
      <c r="Y3" s="57">
        <v>1.7</v>
      </c>
      <c r="Z3" s="56">
        <v>23</v>
      </c>
      <c r="AA3" s="58">
        <v>0.02</v>
      </c>
      <c r="AB3" s="58">
        <v>0.28999999999999998</v>
      </c>
      <c r="AC3" s="55">
        <v>0.14799999999999999</v>
      </c>
      <c r="AD3" s="56">
        <v>17.7</v>
      </c>
      <c r="AE3" s="55">
        <v>0.106</v>
      </c>
      <c r="AF3" s="56">
        <v>105.9</v>
      </c>
      <c r="AG3" s="55">
        <v>8.9999999999999993E-3</v>
      </c>
      <c r="AH3" s="56">
        <v>118.9</v>
      </c>
      <c r="AI3" s="56">
        <v>15.1</v>
      </c>
    </row>
    <row r="4" spans="1:35" ht="15.75" customHeight="1" x14ac:dyDescent="0.3">
      <c r="A4" s="51">
        <v>500940</v>
      </c>
      <c r="B4" s="52" t="s">
        <v>169</v>
      </c>
      <c r="C4" s="53">
        <f ca="1">IFERROR(__xludf.DUMMYFUNCTION("GOOGLEFINANCE(""bom:""&amp;A4,""price"")"),265.35)</f>
        <v>265.35000000000002</v>
      </c>
      <c r="D4" s="54">
        <f ca="1">IFERROR(__xludf.DUMMYFUNCTION("GOOGLEFINANCE(""bom:""&amp;A4,""marketcap"")/10000000"),16357.4908242)</f>
        <v>16357.4908242</v>
      </c>
      <c r="E4" s="54">
        <v>2892</v>
      </c>
      <c r="F4" s="54">
        <v>1136</v>
      </c>
      <c r="G4" s="54">
        <v>6285</v>
      </c>
      <c r="H4" s="54">
        <v>1382</v>
      </c>
      <c r="I4" s="54">
        <v>124</v>
      </c>
      <c r="J4" s="54">
        <v>4903</v>
      </c>
      <c r="K4" s="54">
        <v>526</v>
      </c>
      <c r="L4" s="54">
        <v>298</v>
      </c>
      <c r="M4" s="54">
        <v>2</v>
      </c>
      <c r="N4" s="54"/>
      <c r="O4" s="54">
        <v>16.010000000000002</v>
      </c>
      <c r="P4" s="54"/>
      <c r="Q4" s="54">
        <v>2831</v>
      </c>
      <c r="R4" s="54">
        <v>4397</v>
      </c>
      <c r="S4" s="54">
        <v>250</v>
      </c>
      <c r="T4" s="54">
        <v>6</v>
      </c>
      <c r="U4" s="54">
        <v>336</v>
      </c>
      <c r="V4" s="55">
        <v>0.09</v>
      </c>
      <c r="W4" s="55">
        <v>0.06</v>
      </c>
      <c r="X4" s="56">
        <v>678</v>
      </c>
      <c r="Y4" s="57">
        <v>2.5</v>
      </c>
      <c r="Z4" s="56">
        <v>25</v>
      </c>
      <c r="AA4" s="58">
        <v>0.11</v>
      </c>
      <c r="AB4" s="58">
        <v>0.22</v>
      </c>
      <c r="AC4" s="55">
        <v>5.0999999999999997E-2</v>
      </c>
      <c r="AD4" s="56">
        <v>2</v>
      </c>
      <c r="AE4" s="55">
        <v>0.04</v>
      </c>
      <c r="AF4" s="56">
        <v>14.1</v>
      </c>
      <c r="AG4" s="55">
        <v>7.0999999999999994E-2</v>
      </c>
      <c r="AH4" s="56">
        <v>79.099999999999994</v>
      </c>
      <c r="AI4" s="56">
        <v>2.8</v>
      </c>
    </row>
    <row r="5" spans="1:35" ht="15.75" customHeight="1" x14ac:dyDescent="0.3">
      <c r="A5" s="51">
        <v>542907</v>
      </c>
      <c r="B5" s="52" t="s">
        <v>170</v>
      </c>
      <c r="C5" s="53">
        <f ca="1">IFERROR(__xludf.DUMMYFUNCTION("GOOGLEFINANCE(""bom:""&amp;A5,""price"")"),424.5)</f>
        <v>424.5</v>
      </c>
      <c r="D5" s="54">
        <f ca="1">IFERROR(__xludf.DUMMYFUNCTION("GOOGLEFINANCE(""bom:""&amp;A5,""marketcap"")/10000000"),4687.2337299)</f>
        <v>4687.2337299000001</v>
      </c>
      <c r="E5" s="54">
        <v>1121</v>
      </c>
      <c r="F5" s="54">
        <v>421</v>
      </c>
      <c r="G5" s="54">
        <v>1909</v>
      </c>
      <c r="H5" s="54">
        <v>461</v>
      </c>
      <c r="I5" s="54">
        <v>110</v>
      </c>
      <c r="J5" s="54">
        <v>1448</v>
      </c>
      <c r="K5" s="54">
        <v>54</v>
      </c>
      <c r="L5" s="54">
        <v>417</v>
      </c>
      <c r="M5" s="54">
        <v>10</v>
      </c>
      <c r="N5" s="54"/>
      <c r="O5" s="54">
        <v>10.98</v>
      </c>
      <c r="P5" s="54"/>
      <c r="Q5" s="54">
        <v>1321</v>
      </c>
      <c r="R5" s="54">
        <v>2710</v>
      </c>
      <c r="S5" s="54">
        <v>121</v>
      </c>
      <c r="T5" s="54">
        <v>11</v>
      </c>
      <c r="U5" s="54">
        <v>2472</v>
      </c>
      <c r="V5" s="55">
        <v>0.15</v>
      </c>
      <c r="W5" s="55">
        <v>0.04</v>
      </c>
      <c r="X5" s="56">
        <v>23</v>
      </c>
      <c r="Y5" s="57">
        <v>2.7</v>
      </c>
      <c r="Z5" s="56">
        <v>56</v>
      </c>
      <c r="AA5" s="58">
        <v>0.04</v>
      </c>
      <c r="AB5" s="58">
        <v>0.24</v>
      </c>
      <c r="AC5" s="55">
        <v>8.4000000000000005E-2</v>
      </c>
      <c r="AD5" s="56">
        <v>1.1000000000000001</v>
      </c>
      <c r="AE5" s="55">
        <v>6.3E-2</v>
      </c>
      <c r="AF5" s="56">
        <v>62.8</v>
      </c>
      <c r="AG5" s="55">
        <v>1.6E-2</v>
      </c>
      <c r="AH5" s="56">
        <v>131.6</v>
      </c>
      <c r="AI5" s="56">
        <v>5.2</v>
      </c>
    </row>
    <row r="6" spans="1:35" ht="15.75" customHeight="1" x14ac:dyDescent="0.3">
      <c r="A6" s="51">
        <v>512237</v>
      </c>
      <c r="B6" s="52" t="s">
        <v>171</v>
      </c>
      <c r="C6" s="53">
        <f ca="1">IFERROR(__xludf.DUMMYFUNCTION("GOOGLEFINANCE(""bom:""&amp;A6,""price"")"),374.25)</f>
        <v>374.25</v>
      </c>
      <c r="D6" s="54">
        <f ca="1">IFERROR(__xludf.DUMMYFUNCTION("GOOGLEFINANCE(""bom:""&amp;A6,""marketcap"")/10000000"),6572.6570925)</f>
        <v>6572.6570924999996</v>
      </c>
      <c r="E6" s="54">
        <v>522</v>
      </c>
      <c r="F6" s="54">
        <v>22</v>
      </c>
      <c r="G6" s="54">
        <v>1508</v>
      </c>
      <c r="H6" s="54">
        <v>39</v>
      </c>
      <c r="I6" s="54">
        <v>17</v>
      </c>
      <c r="J6" s="54">
        <v>1469</v>
      </c>
      <c r="K6" s="54">
        <v>0</v>
      </c>
      <c r="L6" s="54">
        <v>46</v>
      </c>
      <c r="M6" s="54">
        <v>1</v>
      </c>
      <c r="N6" s="54"/>
      <c r="O6" s="54">
        <v>-0.76</v>
      </c>
      <c r="P6" s="54"/>
      <c r="Q6" s="54">
        <v>597</v>
      </c>
      <c r="R6" s="54">
        <v>590</v>
      </c>
      <c r="S6" s="54">
        <v>-14</v>
      </c>
      <c r="T6" s="54">
        <v>0.2</v>
      </c>
      <c r="U6" s="54">
        <v>555</v>
      </c>
      <c r="V6" s="55">
        <v>0</v>
      </c>
      <c r="W6" s="55">
        <v>-0.02</v>
      </c>
      <c r="X6" s="56">
        <v>176</v>
      </c>
      <c r="Y6" s="57">
        <v>23.7</v>
      </c>
      <c r="Z6" s="56">
        <v>28</v>
      </c>
      <c r="AA6" s="58">
        <v>0</v>
      </c>
      <c r="AB6" s="58">
        <v>0.03</v>
      </c>
      <c r="AC6" s="55">
        <v>-0.01</v>
      </c>
      <c r="AD6" s="56">
        <v>-0.8</v>
      </c>
      <c r="AE6" s="55">
        <v>-8.9999999999999993E-3</v>
      </c>
      <c r="AF6" s="56">
        <v>-498.9</v>
      </c>
      <c r="AG6" s="55">
        <v>-2E-3</v>
      </c>
      <c r="AH6" s="56">
        <v>86.4</v>
      </c>
      <c r="AI6" s="56">
        <v>4.4000000000000004</v>
      </c>
    </row>
    <row r="7" spans="1:35" ht="15.75" customHeight="1" x14ac:dyDescent="0.3">
      <c r="A7" s="51">
        <v>500219</v>
      </c>
      <c r="B7" s="52" t="s">
        <v>172</v>
      </c>
      <c r="C7" s="53">
        <f ca="1">IFERROR(__xludf.DUMMYFUNCTION("GOOGLEFINANCE(""bom:""&amp;A7,""price"")"),77.2)</f>
        <v>77.2</v>
      </c>
      <c r="D7" s="54">
        <f ca="1">IFERROR(__xludf.DUMMYFUNCTION("GOOGLEFINANCE(""bom:""&amp;A7,""marketcap"")/10000000"),5231.6222291)</f>
        <v>5231.6222291000004</v>
      </c>
      <c r="E7" s="54">
        <v>3958</v>
      </c>
      <c r="F7" s="54">
        <v>2732</v>
      </c>
      <c r="G7" s="54">
        <v>8377</v>
      </c>
      <c r="H7" s="54">
        <v>3620</v>
      </c>
      <c r="I7" s="54">
        <v>138</v>
      </c>
      <c r="J7" s="54">
        <v>4757</v>
      </c>
      <c r="K7" s="54">
        <v>2591</v>
      </c>
      <c r="L7" s="54">
        <v>2008</v>
      </c>
      <c r="M7" s="54">
        <v>2</v>
      </c>
      <c r="N7" s="54"/>
      <c r="O7" s="54">
        <v>-2.0099999999999998</v>
      </c>
      <c r="P7" s="54"/>
      <c r="Q7" s="54">
        <v>7999</v>
      </c>
      <c r="R7" s="54">
        <v>5747</v>
      </c>
      <c r="S7" s="54">
        <v>-66</v>
      </c>
      <c r="T7" s="54">
        <v>469</v>
      </c>
      <c r="U7" s="54">
        <v>5861</v>
      </c>
      <c r="V7" s="55">
        <v>-0.06</v>
      </c>
      <c r="W7" s="55">
        <v>-0.01</v>
      </c>
      <c r="X7" s="56">
        <v>1</v>
      </c>
      <c r="Y7" s="57">
        <v>1.4</v>
      </c>
      <c r="Z7" s="56">
        <v>128</v>
      </c>
      <c r="AA7" s="58">
        <v>0.54</v>
      </c>
      <c r="AB7" s="58">
        <v>0.43</v>
      </c>
      <c r="AC7" s="55">
        <v>-1.4E-2</v>
      </c>
      <c r="AD7" s="56">
        <v>-0.5</v>
      </c>
      <c r="AE7" s="55">
        <v>-8.0000000000000002E-3</v>
      </c>
      <c r="AF7" s="56">
        <v>-32</v>
      </c>
      <c r="AG7" s="55">
        <v>-3.1E-2</v>
      </c>
      <c r="AH7" s="56">
        <v>68.900000000000006</v>
      </c>
      <c r="AI7" s="56">
        <v>0.9</v>
      </c>
    </row>
    <row r="8" spans="1:35" ht="15.75" customHeight="1" x14ac:dyDescent="0.3">
      <c r="A8" s="51">
        <v>532856</v>
      </c>
      <c r="B8" s="52" t="s">
        <v>173</v>
      </c>
      <c r="C8" s="53">
        <f ca="1">IFERROR(__xludf.DUMMYFUNCTION("GOOGLEFINANCE(""bom:""&amp;A8,""price"")"),492.5)</f>
        <v>492.5</v>
      </c>
      <c r="D8" s="54">
        <f ca="1">IFERROR(__xludf.DUMMYFUNCTION("GOOGLEFINANCE(""bom:""&amp;A8,""marketcap"")/10000000"),11162.6373714)</f>
        <v>11162.6373714</v>
      </c>
      <c r="E8" s="54">
        <v>2391</v>
      </c>
      <c r="F8" s="54">
        <v>1079</v>
      </c>
      <c r="G8" s="54">
        <v>3913</v>
      </c>
      <c r="H8" s="54">
        <v>1487</v>
      </c>
      <c r="I8" s="54">
        <v>22</v>
      </c>
      <c r="J8" s="54">
        <v>2426</v>
      </c>
      <c r="K8" s="54">
        <v>775</v>
      </c>
      <c r="L8" s="54">
        <v>974</v>
      </c>
      <c r="M8" s="54">
        <v>5</v>
      </c>
      <c r="N8" s="54"/>
      <c r="O8" s="54">
        <v>1.1299999999999999</v>
      </c>
      <c r="P8" s="54"/>
      <c r="Q8" s="54">
        <v>3104</v>
      </c>
      <c r="R8" s="54">
        <v>4289</v>
      </c>
      <c r="S8" s="54">
        <v>223</v>
      </c>
      <c r="T8" s="54">
        <v>6</v>
      </c>
      <c r="U8" s="54">
        <v>296</v>
      </c>
      <c r="V8" s="55">
        <v>7.0000000000000007E-2</v>
      </c>
      <c r="W8" s="55">
        <v>0.05</v>
      </c>
      <c r="X8" s="56">
        <v>667</v>
      </c>
      <c r="Y8" s="57">
        <v>2.2000000000000002</v>
      </c>
      <c r="Z8" s="56">
        <v>83</v>
      </c>
      <c r="AA8" s="58">
        <v>0.32</v>
      </c>
      <c r="AB8" s="58">
        <v>0.38</v>
      </c>
      <c r="AC8" s="55">
        <v>9.1999999999999998E-2</v>
      </c>
      <c r="AD8" s="56">
        <v>10.1</v>
      </c>
      <c r="AE8" s="55">
        <v>5.7000000000000002E-2</v>
      </c>
      <c r="AF8" s="56">
        <v>156.1</v>
      </c>
      <c r="AG8" s="55">
        <v>6.0000000000000001E-3</v>
      </c>
      <c r="AH8" s="56">
        <v>551.4</v>
      </c>
      <c r="AI8" s="56">
        <v>0.3</v>
      </c>
    </row>
    <row r="9" spans="1:35" ht="15.75" customHeight="1" x14ac:dyDescent="0.3">
      <c r="A9" s="51">
        <v>500655</v>
      </c>
      <c r="B9" s="52" t="s">
        <v>174</v>
      </c>
      <c r="C9" s="53">
        <f ca="1">IFERROR(__xludf.DUMMYFUNCTION("GOOGLEFINANCE(""bom:""&amp;A9,""price"")"),5067.4)</f>
        <v>5067.3999999999996</v>
      </c>
      <c r="D9" s="54">
        <f ca="1">IFERROR(__xludf.DUMMYFUNCTION("GOOGLEFINANCE(""bom:""&amp;A9,""marketcap"")/10000000"),11848.524)</f>
        <v>11848.523999999999</v>
      </c>
      <c r="E9" s="54">
        <v>656</v>
      </c>
      <c r="F9" s="54">
        <v>218</v>
      </c>
      <c r="G9" s="54">
        <v>2212</v>
      </c>
      <c r="H9" s="54">
        <v>285</v>
      </c>
      <c r="I9" s="54">
        <v>23</v>
      </c>
      <c r="J9" s="54">
        <v>1926</v>
      </c>
      <c r="K9" s="54">
        <v>36</v>
      </c>
      <c r="L9" s="54">
        <v>15</v>
      </c>
      <c r="M9" s="54">
        <v>10</v>
      </c>
      <c r="N9" s="54"/>
      <c r="O9" s="54">
        <v>16.010000000000002</v>
      </c>
      <c r="P9" s="54"/>
      <c r="Q9" s="54">
        <v>842</v>
      </c>
      <c r="R9" s="54">
        <v>1438</v>
      </c>
      <c r="S9" s="54">
        <v>166</v>
      </c>
      <c r="T9" s="54">
        <v>6</v>
      </c>
      <c r="U9" s="54">
        <v>336</v>
      </c>
      <c r="V9" s="55">
        <v>0.11</v>
      </c>
      <c r="W9" s="55">
        <v>0.12</v>
      </c>
      <c r="X9" s="56">
        <v>185</v>
      </c>
      <c r="Y9" s="57">
        <v>3</v>
      </c>
      <c r="Z9" s="56">
        <v>4</v>
      </c>
      <c r="AA9" s="58">
        <v>0.02</v>
      </c>
      <c r="AB9" s="58">
        <v>0.13</v>
      </c>
      <c r="AC9" s="55">
        <v>8.5999999999999993E-2</v>
      </c>
      <c r="AD9" s="56">
        <v>7.2</v>
      </c>
      <c r="AE9" s="55">
        <v>7.4999999999999997E-2</v>
      </c>
      <c r="AF9" s="56">
        <v>103.2</v>
      </c>
      <c r="AG9" s="55">
        <v>0.01</v>
      </c>
      <c r="AH9" s="56">
        <v>837.4</v>
      </c>
      <c r="AI9" s="56">
        <v>2</v>
      </c>
    </row>
    <row r="10" spans="1:35" ht="15.75" customHeight="1" x14ac:dyDescent="0.3">
      <c r="A10" s="51">
        <v>531761</v>
      </c>
      <c r="B10" s="52" t="s">
        <v>175</v>
      </c>
      <c r="C10" s="53">
        <f ca="1">IFERROR(__xludf.DUMMYFUNCTION("GOOGLEFINANCE(""bom:""&amp;A10,""price"")"),477.7)</f>
        <v>477.7</v>
      </c>
      <c r="D10" s="54">
        <f ca="1">IFERROR(__xludf.DUMMYFUNCTION("GOOGLEFINANCE(""bom:""&amp;A10,""marketcap"")/10000000"),2097.366488)</f>
        <v>2097.3664880000001</v>
      </c>
      <c r="E10" s="54">
        <v>330</v>
      </c>
      <c r="F10" s="54">
        <v>199</v>
      </c>
      <c r="G10" s="54">
        <v>662</v>
      </c>
      <c r="H10" s="54">
        <v>205</v>
      </c>
      <c r="I10" s="54">
        <v>39</v>
      </c>
      <c r="J10" s="54">
        <v>457</v>
      </c>
      <c r="K10" s="54">
        <v>44</v>
      </c>
      <c r="L10" s="54">
        <v>66</v>
      </c>
      <c r="M10" s="54">
        <v>2</v>
      </c>
      <c r="N10" s="54"/>
      <c r="O10" s="54">
        <v>6.08</v>
      </c>
      <c r="P10" s="54"/>
      <c r="Q10" s="54">
        <v>285</v>
      </c>
      <c r="R10" s="54">
        <v>915</v>
      </c>
      <c r="S10" s="54">
        <v>24</v>
      </c>
      <c r="T10" s="54">
        <v>8.9</v>
      </c>
      <c r="U10" s="54">
        <v>884</v>
      </c>
      <c r="V10" s="55">
        <v>0.26</v>
      </c>
      <c r="W10" s="55">
        <v>0.03</v>
      </c>
      <c r="X10" s="56">
        <v>4</v>
      </c>
      <c r="Y10" s="57">
        <v>1.7</v>
      </c>
      <c r="Z10" s="56">
        <v>26</v>
      </c>
      <c r="AA10" s="58">
        <v>0.1</v>
      </c>
      <c r="AB10" s="58">
        <v>0.31</v>
      </c>
      <c r="AC10" s="55">
        <v>5.2999999999999999E-2</v>
      </c>
      <c r="AD10" s="56">
        <v>0.6</v>
      </c>
      <c r="AE10" s="55">
        <v>3.5999999999999997E-2</v>
      </c>
      <c r="AF10" s="56">
        <v>119.8</v>
      </c>
      <c r="AG10" s="55">
        <v>8.0000000000000002E-3</v>
      </c>
      <c r="AH10" s="56">
        <v>23.4</v>
      </c>
      <c r="AI10" s="56">
        <v>31.1</v>
      </c>
    </row>
    <row r="11" spans="1:35" ht="15.75" customHeight="1" x14ac:dyDescent="0.3">
      <c r="A11" s="51">
        <v>524019</v>
      </c>
      <c r="B11" s="52" t="s">
        <v>176</v>
      </c>
      <c r="C11" s="53">
        <f ca="1">IFERROR(__xludf.DUMMYFUNCTION("GOOGLEFINANCE(""bom:""&amp;A11,""price"")"),3158.1)</f>
        <v>3158.1</v>
      </c>
      <c r="D11" s="54">
        <f ca="1">IFERROR(__xludf.DUMMYFUNCTION("GOOGLEFINANCE(""bom:""&amp;A11,""marketcap"")/10000000"),3811.2709922)</f>
        <v>3811.2709921999999</v>
      </c>
      <c r="E11" s="54">
        <v>660</v>
      </c>
      <c r="F11" s="54">
        <v>395</v>
      </c>
      <c r="G11" s="54">
        <v>931</v>
      </c>
      <c r="H11" s="54">
        <v>401</v>
      </c>
      <c r="I11" s="54">
        <v>12</v>
      </c>
      <c r="J11" s="54">
        <v>530</v>
      </c>
      <c r="K11" s="54">
        <v>25</v>
      </c>
      <c r="L11" s="54">
        <v>331</v>
      </c>
      <c r="M11" s="54">
        <v>10</v>
      </c>
      <c r="N11" s="54"/>
      <c r="O11" s="54">
        <v>50.4</v>
      </c>
      <c r="P11" s="54"/>
      <c r="Q11" s="54">
        <v>617</v>
      </c>
      <c r="R11" s="54">
        <v>1403</v>
      </c>
      <c r="S11" s="54">
        <v>81</v>
      </c>
      <c r="T11" s="54">
        <v>0</v>
      </c>
      <c r="U11" s="54">
        <v>82</v>
      </c>
      <c r="V11" s="55">
        <v>0.18</v>
      </c>
      <c r="W11" s="55">
        <v>0.06</v>
      </c>
      <c r="X11" s="56">
        <v>1321</v>
      </c>
      <c r="Y11" s="57">
        <v>1.7</v>
      </c>
      <c r="Z11" s="56">
        <v>86</v>
      </c>
      <c r="AA11" s="58">
        <v>0.05</v>
      </c>
      <c r="AB11" s="58">
        <v>0.43</v>
      </c>
      <c r="AC11" s="55">
        <v>0.153</v>
      </c>
      <c r="AD11" s="56">
        <v>6.8</v>
      </c>
      <c r="AE11" s="55">
        <v>8.6999999999999994E-2</v>
      </c>
      <c r="AF11" s="56">
        <v>42.5</v>
      </c>
      <c r="AG11" s="55">
        <v>2.4E-2</v>
      </c>
      <c r="AH11" s="56">
        <v>441.7</v>
      </c>
      <c r="AI11" s="56">
        <v>4.9000000000000004</v>
      </c>
    </row>
    <row r="12" spans="1:35" ht="15.75" customHeight="1" x14ac:dyDescent="0.3">
      <c r="A12" s="51">
        <v>501423</v>
      </c>
      <c r="B12" s="52" t="s">
        <v>177</v>
      </c>
      <c r="C12" s="53">
        <f ca="1">IFERROR(__xludf.DUMMYFUNCTION("GOOGLEFINANCE(""bom:""&amp;A12,""price"")"),1500)</f>
        <v>1500</v>
      </c>
      <c r="D12" s="54">
        <f ca="1">IFERROR(__xludf.DUMMYFUNCTION("GOOGLEFINANCE(""bom:""&amp;A12,""marketcap"")/10000000"),6846.7178422)</f>
        <v>6846.7178421999997</v>
      </c>
      <c r="E12" s="54">
        <v>269</v>
      </c>
      <c r="F12" s="54">
        <v>240</v>
      </c>
      <c r="G12" s="54">
        <v>760</v>
      </c>
      <c r="H12" s="54">
        <v>336</v>
      </c>
      <c r="I12" s="54">
        <v>9</v>
      </c>
      <c r="J12" s="54">
        <v>423</v>
      </c>
      <c r="K12" s="54">
        <v>207</v>
      </c>
      <c r="L12" s="54">
        <v>108</v>
      </c>
      <c r="M12" s="54">
        <v>2</v>
      </c>
      <c r="N12" s="54"/>
      <c r="O12" s="54">
        <v>38.31</v>
      </c>
      <c r="P12" s="54"/>
      <c r="Q12" s="54">
        <v>321</v>
      </c>
      <c r="R12" s="54">
        <v>607</v>
      </c>
      <c r="S12" s="54">
        <v>35</v>
      </c>
      <c r="T12" s="54">
        <v>18</v>
      </c>
      <c r="U12" s="54">
        <v>566</v>
      </c>
      <c r="V12" s="55">
        <v>0.14000000000000001</v>
      </c>
      <c r="W12" s="55">
        <v>0.06</v>
      </c>
      <c r="X12" s="56">
        <v>3</v>
      </c>
      <c r="Y12" s="57">
        <v>1.1000000000000001</v>
      </c>
      <c r="Z12" s="56">
        <v>65</v>
      </c>
      <c r="AA12" s="58">
        <v>0.49</v>
      </c>
      <c r="AB12" s="58">
        <v>0.44</v>
      </c>
      <c r="AC12" s="55">
        <v>8.3000000000000004E-2</v>
      </c>
      <c r="AD12" s="56">
        <v>3.9</v>
      </c>
      <c r="AE12" s="55">
        <v>4.5999999999999999E-2</v>
      </c>
      <c r="AF12" s="56">
        <v>8.4</v>
      </c>
      <c r="AG12" s="55">
        <v>0.11899999999999999</v>
      </c>
      <c r="AH12" s="56">
        <v>94</v>
      </c>
      <c r="AI12" s="56">
        <v>3.4</v>
      </c>
    </row>
    <row r="13" spans="1:35" ht="15.75" customHeight="1" x14ac:dyDescent="0.3">
      <c r="A13" s="51">
        <v>526423</v>
      </c>
      <c r="B13" s="52" t="s">
        <v>178</v>
      </c>
      <c r="C13" s="53">
        <f ca="1">IFERROR(__xludf.DUMMYFUNCTION("GOOGLEFINANCE(""bom:""&amp;A13,""price"")"),165.5)</f>
        <v>165.5</v>
      </c>
      <c r="D13" s="54">
        <f ca="1">IFERROR(__xludf.DUMMYFUNCTION("GOOGLEFINANCE(""bom:""&amp;A13,""marketcap"")/10000000"),811.413731)</f>
        <v>811.41373099999998</v>
      </c>
    </row>
    <row r="14" spans="1:35" ht="15.75" customHeight="1" x14ac:dyDescent="0.3">
      <c r="A14" s="51">
        <v>506134</v>
      </c>
      <c r="B14" s="52" t="s">
        <v>179</v>
      </c>
      <c r="C14" s="53">
        <f ca="1">IFERROR(__xludf.DUMMYFUNCTION("GOOGLEFINANCE(""bom:""&amp;A14,""price"")"),27.1)</f>
        <v>27.1</v>
      </c>
      <c r="D14" s="54">
        <f ca="1">IFERROR(__xludf.DUMMYFUNCTION("GOOGLEFINANCE(""bom:""&amp;A14,""marketcap"")/10000000"),374.9545212)</f>
        <v>374.95452119999999</v>
      </c>
    </row>
    <row r="15" spans="1:35" ht="15.75" customHeight="1" x14ac:dyDescent="0.3">
      <c r="A15" s="51">
        <v>540693</v>
      </c>
      <c r="B15" s="52" t="s">
        <v>180</v>
      </c>
      <c r="C15" s="53">
        <f ca="1">IFERROR(__xludf.DUMMYFUNCTION("GOOGLEFINANCE(""bom:""&amp;A15,""price"")"),134.65)</f>
        <v>134.65</v>
      </c>
      <c r="D15" s="54">
        <f ca="1">IFERROR(__xludf.DUMMYFUNCTION("GOOGLEFINANCE(""bom:""&amp;A15,""marketcap"")/10000000"),511.0188094)</f>
        <v>511.01880940000001</v>
      </c>
    </row>
    <row r="16" spans="1:35" ht="15.75" customHeight="1" x14ac:dyDescent="0.3">
      <c r="A16" s="51">
        <v>538715</v>
      </c>
      <c r="B16" s="52" t="s">
        <v>181</v>
      </c>
      <c r="C16" s="53">
        <f ca="1">IFERROR(__xludf.DUMMYFUNCTION("GOOGLEFINANCE(""bom:""&amp;A16,""price"")"),400.75)</f>
        <v>400.75</v>
      </c>
      <c r="D16" s="54">
        <f ca="1">IFERROR(__xludf.DUMMYFUNCTION("GOOGLEFINANCE(""bom:""&amp;A16,""marketcap"")/10000000"),433.781418)</f>
        <v>433.78141799999997</v>
      </c>
    </row>
    <row r="17" spans="1:4" ht="15.75" customHeight="1" x14ac:dyDescent="0.3">
      <c r="A17" s="51">
        <v>514354</v>
      </c>
      <c r="B17" s="52" t="s">
        <v>182</v>
      </c>
      <c r="C17" s="53">
        <f ca="1">IFERROR(__xludf.DUMMYFUNCTION("GOOGLEFINANCE(""bom:""&amp;A17,""price"")"),66)</f>
        <v>66</v>
      </c>
      <c r="D17" s="54">
        <f ca="1">IFERROR(__xludf.DUMMYFUNCTION("GOOGLEFINANCE(""bom:""&amp;A17,""marketcap"")/10000000"),697.584368)</f>
        <v>697.58436800000004</v>
      </c>
    </row>
    <row r="18" spans="1:4" ht="15.75" customHeight="1" x14ac:dyDescent="0.3">
      <c r="A18" s="51">
        <v>543939</v>
      </c>
      <c r="B18" s="52" t="s">
        <v>183</v>
      </c>
      <c r="C18" s="53">
        <f ca="1">IFERROR(__xludf.DUMMYFUNCTION("GOOGLEFINANCE(""bom:""&amp;A18,""price"")"),313.65)</f>
        <v>313.64999999999998</v>
      </c>
      <c r="D18" s="54">
        <f ca="1">IFERROR(__xludf.DUMMYFUNCTION("GOOGLEFINANCE(""bom:""&amp;A18,""marketcap"")/10000000"),428.4458916)</f>
        <v>428.44589159999998</v>
      </c>
    </row>
    <row r="19" spans="1:4" ht="15.75" customHeight="1" x14ac:dyDescent="0.3">
      <c r="A19" s="51">
        <v>509486</v>
      </c>
      <c r="B19" s="52" t="s">
        <v>184</v>
      </c>
      <c r="C19" s="53">
        <f ca="1">IFERROR(__xludf.DUMMYFUNCTION("GOOGLEFINANCE(""bom:""&amp;A19,""price"")"),155)</f>
        <v>155</v>
      </c>
      <c r="D19" s="54">
        <f ca="1">IFERROR(__xludf.DUMMYFUNCTION("GOOGLEFINANCE(""bom:""&amp;A19,""marketcap"")/10000000"),203.515)</f>
        <v>203.51499999999999</v>
      </c>
    </row>
    <row r="20" spans="1:4" ht="15.75" customHeight="1" x14ac:dyDescent="0.3">
      <c r="A20" s="51">
        <v>536974</v>
      </c>
      <c r="B20" s="52" t="s">
        <v>185</v>
      </c>
      <c r="C20" s="53">
        <f ca="1">IFERROR(__xludf.DUMMYFUNCTION("GOOGLEFINANCE(""bom:""&amp;A20,""price"")"),84.02)</f>
        <v>84.02</v>
      </c>
      <c r="D20" s="54">
        <f ca="1">IFERROR(__xludf.DUMMYFUNCTION("GOOGLEFINANCE(""bom:""&amp;A20,""marketcap"")/10000000"),465.2925749)</f>
        <v>465.29257489999998</v>
      </c>
    </row>
    <row r="21" spans="1:4" ht="15.75" customHeight="1" x14ac:dyDescent="0.3">
      <c r="A21" s="51">
        <v>533164</v>
      </c>
      <c r="B21" s="52" t="s">
        <v>186</v>
      </c>
      <c r="C21" s="53">
        <f ca="1">IFERROR(__xludf.DUMMYFUNCTION("GOOGLEFINANCE(""bom:""&amp;A21,""price"")"),69.48)</f>
        <v>69.48</v>
      </c>
      <c r="D21" s="54">
        <f ca="1">IFERROR(__xludf.DUMMYFUNCTION("GOOGLEFINANCE(""bom:""&amp;A21,""marketcap"")/10000000"),202.1169948)</f>
        <v>202.11699479999999</v>
      </c>
    </row>
    <row r="22" spans="1:4" ht="15.75" customHeight="1" x14ac:dyDescent="0.3">
      <c r="A22" s="51">
        <v>531287</v>
      </c>
      <c r="B22" s="52" t="s">
        <v>187</v>
      </c>
      <c r="C22" s="53">
        <f ca="1">IFERROR(__xludf.DUMMYFUNCTION("GOOGLEFINANCE(""bom:""&amp;A22,""price"")"),404.15)</f>
        <v>404.15</v>
      </c>
      <c r="D22" s="54">
        <f ca="1">IFERROR(__xludf.DUMMYFUNCTION("GOOGLEFINANCE(""bom:""&amp;A22,""marketcap"")/10000000"),245.6557032)</f>
        <v>245.6557032</v>
      </c>
    </row>
    <row r="23" spans="1:4" ht="15.75" customHeight="1" x14ac:dyDescent="0.3">
      <c r="A23" s="51">
        <v>543239</v>
      </c>
      <c r="B23" s="52" t="s">
        <v>188</v>
      </c>
      <c r="C23" s="53">
        <f ca="1">IFERROR(__xludf.DUMMYFUNCTION("GOOGLEFINANCE(""bom:""&amp;A23,""price"")"),151)</f>
        <v>151</v>
      </c>
      <c r="D23" s="54">
        <f ca="1">IFERROR(__xludf.DUMMYFUNCTION("GOOGLEFINANCE(""bom:""&amp;A23,""marketcap"")/10000000"),203.23996)</f>
        <v>203.23996</v>
      </c>
    </row>
    <row r="24" spans="1:4" ht="15.75" customHeight="1" x14ac:dyDescent="0.3">
      <c r="A24" s="51">
        <v>544035</v>
      </c>
      <c r="B24" s="52" t="s">
        <v>189</v>
      </c>
      <c r="C24" s="53">
        <f ca="1">IFERROR(__xludf.DUMMYFUNCTION("GOOGLEFINANCE(""bom:""&amp;A24,""price"")"),92)</f>
        <v>92</v>
      </c>
      <c r="D24" s="53">
        <f ca="1">IFERROR(__xludf.DUMMYFUNCTION("GOOGLEFINANCE(""bom:""&amp;A24,""marketcap"")/10000000"),161.588708)</f>
        <v>161.588708</v>
      </c>
    </row>
    <row r="25" spans="1:4" ht="15.75" customHeight="1" x14ac:dyDescent="0.3">
      <c r="A25" s="51">
        <v>514428</v>
      </c>
      <c r="B25" s="52" t="s">
        <v>190</v>
      </c>
      <c r="C25" s="53">
        <f ca="1">IFERROR(__xludf.DUMMYFUNCTION("GOOGLEFINANCE(""bom:""&amp;A25,""price"")"),435)</f>
        <v>435</v>
      </c>
      <c r="D25" s="54">
        <f ca="1">IFERROR(__xludf.DUMMYFUNCTION("GOOGLEFINANCE(""bom:""&amp;A25,""marketcap"")/10000000"),222.5590065)</f>
        <v>222.55900650000001</v>
      </c>
    </row>
    <row r="26" spans="1:4" ht="15.75" customHeight="1" x14ac:dyDescent="0.3">
      <c r="A26" s="51">
        <v>507785</v>
      </c>
      <c r="B26" s="52" t="s">
        <v>191</v>
      </c>
      <c r="C26" s="53">
        <f ca="1">IFERROR(__xludf.DUMMYFUNCTION("GOOGLEFINANCE(""bom:""&amp;A26,""price"")"),295.8)</f>
        <v>295.8</v>
      </c>
      <c r="D26" s="54">
        <f ca="1">IFERROR(__xludf.DUMMYFUNCTION("GOOGLEFINANCE(""bom:""&amp;A26,""marketcap"")/10000000"),280.7754377)</f>
        <v>280.7754377</v>
      </c>
    </row>
    <row r="27" spans="1:4" ht="15.75" customHeight="1" x14ac:dyDescent="0.3">
      <c r="A27" s="51">
        <v>530449</v>
      </c>
      <c r="B27" s="52" t="s">
        <v>192</v>
      </c>
      <c r="C27" s="53">
        <f ca="1">IFERROR(__xludf.DUMMYFUNCTION("GOOGLEFINANCE(""bom:""&amp;A27,""price"")"),85.5)</f>
        <v>85.5</v>
      </c>
      <c r="D27" s="54">
        <f ca="1">IFERROR(__xludf.DUMMYFUNCTION("GOOGLEFINANCE(""bom:""&amp;A27,""marketcap"")/10000000"),170.3639655)</f>
        <v>170.36396550000001</v>
      </c>
    </row>
    <row r="28" spans="1:4" ht="15.75" customHeight="1" x14ac:dyDescent="0.3">
      <c r="A28" s="51">
        <v>526703</v>
      </c>
      <c r="B28" s="52" t="s">
        <v>193</v>
      </c>
      <c r="C28" s="53">
        <f ca="1">IFERROR(__xludf.DUMMYFUNCTION("GOOGLEFINANCE(""bom:""&amp;A28,""price"")"),620.95)</f>
        <v>620.95000000000005</v>
      </c>
      <c r="D28" s="54">
        <f ca="1">IFERROR(__xludf.DUMMYFUNCTION("GOOGLEFINANCE(""bom:""&amp;A28,""marketcap"")/10000000"),186.2850036)</f>
        <v>186.28500360000001</v>
      </c>
    </row>
    <row r="29" spans="1:4" ht="15.75" customHeight="1" x14ac:dyDescent="0.3">
      <c r="A29" s="51">
        <v>517437</v>
      </c>
      <c r="B29" s="52" t="s">
        <v>194</v>
      </c>
      <c r="C29" s="53">
        <f ca="1">IFERROR(__xludf.DUMMYFUNCTION("GOOGLEFINANCE(""bom:""&amp;A29,""price"")"),168)</f>
        <v>168</v>
      </c>
      <c r="D29" s="54">
        <f ca="1">IFERROR(__xludf.DUMMYFUNCTION("GOOGLEFINANCE(""bom:""&amp;A29,""marketcap"")/10000000"),100.8)</f>
        <v>100.8</v>
      </c>
    </row>
    <row r="30" spans="1:4" ht="15.75" customHeight="1" x14ac:dyDescent="0.3">
      <c r="A30" s="51">
        <v>526731</v>
      </c>
      <c r="B30" s="52" t="s">
        <v>195</v>
      </c>
      <c r="C30" s="53">
        <f ca="1">IFERROR(__xludf.DUMMYFUNCTION("GOOGLEFINANCE(""bom:""&amp;A30,""price"")"),385.35)</f>
        <v>385.35</v>
      </c>
      <c r="D30" s="54">
        <f ca="1">IFERROR(__xludf.DUMMYFUNCTION("GOOGLEFINANCE(""bom:""&amp;A30,""marketcap"")/10000000"),218.8878206)</f>
        <v>218.8878206</v>
      </c>
    </row>
    <row r="31" spans="1:4" ht="15.75" customHeight="1" x14ac:dyDescent="0.3">
      <c r="A31" s="51">
        <v>540653</v>
      </c>
      <c r="B31" s="52" t="s">
        <v>196</v>
      </c>
      <c r="C31" s="53" t="str">
        <f ca="1">IFERROR(__xludf.DUMMYFUNCTION("GOOGLEFINANCE(""bom:""&amp;A31,""price"")"),"#N/A")</f>
        <v>#N/A</v>
      </c>
      <c r="D31" s="54" t="str">
        <f ca="1">IFERROR(__xludf.DUMMYFUNCTION("GOOGLEFINANCE(""bom:""&amp;A31,""marketcap"")/10000000"),"#N/A")</f>
        <v>#N/A</v>
      </c>
    </row>
    <row r="32" spans="1:4" ht="15.75" customHeight="1" x14ac:dyDescent="0.3">
      <c r="A32" s="51">
        <v>522292</v>
      </c>
      <c r="B32" s="52" t="s">
        <v>197</v>
      </c>
      <c r="C32" s="53">
        <f ca="1">IFERROR(__xludf.DUMMYFUNCTION("GOOGLEFINANCE(""bom:""&amp;A32,""price"")"),97)</f>
        <v>97</v>
      </c>
      <c r="D32" s="54">
        <f ca="1">IFERROR(__xludf.DUMMYFUNCTION("GOOGLEFINANCE(""bom:""&amp;A32,""marketcap"")/10000000"),164.291422)</f>
        <v>164.29142200000001</v>
      </c>
    </row>
    <row r="33" spans="1:4" ht="15.75" customHeight="1" x14ac:dyDescent="0.3">
      <c r="A33" s="51">
        <v>544072</v>
      </c>
      <c r="B33" s="52" t="s">
        <v>198</v>
      </c>
      <c r="C33" s="53">
        <f ca="1">IFERROR(__xludf.DUMMYFUNCTION("GOOGLEFINANCE(""bom:""&amp;A33,""price"")"),115.4)</f>
        <v>115.4</v>
      </c>
      <c r="D33" s="53">
        <f ca="1">IFERROR(__xludf.DUMMYFUNCTION("GOOGLEFINANCE(""bom:""&amp;A33,""marketcap"")/10000000"),73.4290209)</f>
        <v>73.429020899999998</v>
      </c>
    </row>
    <row r="34" spans="1:4" ht="15.75" customHeight="1" x14ac:dyDescent="0.3">
      <c r="A34" s="51">
        <v>526616</v>
      </c>
      <c r="B34" s="52" t="s">
        <v>199</v>
      </c>
      <c r="C34" s="53">
        <f ca="1">IFERROR(__xludf.DUMMYFUNCTION("GOOGLEFINANCE(""bom:""&amp;A34,""price"")"),68.8)</f>
        <v>68.8</v>
      </c>
      <c r="D34" s="54">
        <f ca="1">IFERROR(__xludf.DUMMYFUNCTION("GOOGLEFINANCE(""bom:""&amp;A34,""marketcap"")/10000000"),62.8116507)</f>
        <v>62.811650700000001</v>
      </c>
    </row>
    <row r="35" spans="1:4" ht="15.75" customHeight="1" x14ac:dyDescent="0.3">
      <c r="A35" s="51">
        <v>513642</v>
      </c>
      <c r="B35" s="52" t="s">
        <v>200</v>
      </c>
      <c r="C35" s="53">
        <f ca="1">IFERROR(__xludf.DUMMYFUNCTION("GOOGLEFINANCE(""bom:""&amp;A35,""price"")"),51.75)</f>
        <v>51.75</v>
      </c>
      <c r="D35" s="54">
        <f ca="1">IFERROR(__xludf.DUMMYFUNCTION("GOOGLEFINANCE(""bom:""&amp;A35,""marketcap"")/10000000"),44.0738086)</f>
        <v>44.0738086</v>
      </c>
    </row>
    <row r="36" spans="1:4" ht="15.75" customHeight="1" x14ac:dyDescent="0.3">
      <c r="A36" s="51">
        <v>514442</v>
      </c>
      <c r="B36" s="52" t="s">
        <v>201</v>
      </c>
      <c r="C36" s="53">
        <f ca="1">IFERROR(__xludf.DUMMYFUNCTION("GOOGLEFINANCE(""bom:""&amp;A36,""price"")"),34.5)</f>
        <v>34.5</v>
      </c>
      <c r="D36" s="54">
        <f ca="1">IFERROR(__xludf.DUMMYFUNCTION("GOOGLEFINANCE(""bom:""&amp;A36,""marketcap"")/10000000"),69.5026305)</f>
        <v>69.502630499999995</v>
      </c>
    </row>
    <row r="37" spans="1:4" ht="15.75" customHeight="1" x14ac:dyDescent="0.3">
      <c r="A37" s="51">
        <v>526355</v>
      </c>
      <c r="B37" s="52" t="s">
        <v>202</v>
      </c>
      <c r="C37" s="53">
        <f ca="1">IFERROR(__xludf.DUMMYFUNCTION("GOOGLEFINANCE(""bom:""&amp;A37,""price"")"),93.74)</f>
        <v>93.74</v>
      </c>
      <c r="D37" s="54">
        <f ca="1">IFERROR(__xludf.DUMMYFUNCTION("GOOGLEFINANCE(""bom:""&amp;A37,""marketcap"")/10000000"),49.4215922)</f>
        <v>49.421592199999999</v>
      </c>
    </row>
    <row r="38" spans="1:4" ht="15.75" customHeight="1" x14ac:dyDescent="0.3">
      <c r="A38" s="51">
        <v>530145</v>
      </c>
      <c r="B38" s="52" t="s">
        <v>203</v>
      </c>
      <c r="C38" s="53">
        <f ca="1">IFERROR(__xludf.DUMMYFUNCTION("GOOGLEFINANCE(""bom:""&amp;A38,""price"")"),63.62)</f>
        <v>63.62</v>
      </c>
      <c r="D38" s="54">
        <f ca="1">IFERROR(__xludf.DUMMYFUNCTION("GOOGLEFINANCE(""bom:""&amp;A38,""marketcap"")/10000000"),760.0235932)</f>
        <v>760.02359320000005</v>
      </c>
    </row>
    <row r="39" spans="1:4" ht="15.75" customHeight="1" x14ac:dyDescent="0.3">
      <c r="A39" s="51">
        <v>526638</v>
      </c>
      <c r="B39" s="52" t="s">
        <v>204</v>
      </c>
      <c r="C39" s="53">
        <f ca="1">IFERROR(__xludf.DUMMYFUNCTION("GOOGLEFINANCE(""bom:""&amp;A39,""price"")"),80)</f>
        <v>80</v>
      </c>
      <c r="D39" s="54">
        <f ca="1">IFERROR(__xludf.DUMMYFUNCTION("GOOGLEFINANCE(""bom:""&amp;A39,""marketcap"")/10000000"),106.45592)</f>
        <v>106.45592000000001</v>
      </c>
    </row>
    <row r="40" spans="1:4" ht="15.75" customHeight="1" x14ac:dyDescent="0.3">
      <c r="A40" s="51">
        <v>523594</v>
      </c>
      <c r="B40" s="52" t="s">
        <v>205</v>
      </c>
      <c r="C40" s="53">
        <f ca="1">IFERROR(__xludf.DUMMYFUNCTION("GOOGLEFINANCE(""bom:""&amp;A40,""price"")"),36.5)</f>
        <v>36.5</v>
      </c>
      <c r="D40" s="54">
        <f ca="1">IFERROR(__xludf.DUMMYFUNCTION("GOOGLEFINANCE(""bom:""&amp;A40,""marketcap"")/10000000"),25.1485)</f>
        <v>25.148499999999999</v>
      </c>
    </row>
    <row r="41" spans="1:4" ht="15.75" customHeight="1" x14ac:dyDescent="0.3">
      <c r="A41" s="51">
        <v>530973</v>
      </c>
      <c r="B41" s="52" t="s">
        <v>206</v>
      </c>
      <c r="C41" s="53">
        <f ca="1">IFERROR(__xludf.DUMMYFUNCTION("GOOGLEFINANCE(""bom:""&amp;A41,""price"")"),101.5)</f>
        <v>101.5</v>
      </c>
      <c r="D41" s="54">
        <f ca="1">IFERROR(__xludf.DUMMYFUNCTION("GOOGLEFINANCE(""bom:""&amp;A41,""marketcap"")/10000000"),41.006)</f>
        <v>41.006</v>
      </c>
    </row>
    <row r="42" spans="1:4" ht="15.75" customHeight="1" x14ac:dyDescent="0.3">
      <c r="A42" s="51">
        <v>543843</v>
      </c>
      <c r="B42" s="52" t="s">
        <v>207</v>
      </c>
      <c r="C42" s="53">
        <f ca="1">IFERROR(__xludf.DUMMYFUNCTION("GOOGLEFINANCE(""bom:""&amp;A42,""price"")"),37.55)</f>
        <v>37.549999999999997</v>
      </c>
      <c r="D42" s="54">
        <f ca="1">IFERROR(__xludf.DUMMYFUNCTION("GOOGLEFINANCE(""bom:""&amp;A42,""marketcap"")/10000000"),35.2095115)</f>
        <v>35.209511499999998</v>
      </c>
    </row>
    <row r="43" spans="1:4" ht="15.75" customHeight="1" x14ac:dyDescent="0.3">
      <c r="A43" s="51">
        <v>537573</v>
      </c>
      <c r="B43" s="52" t="s">
        <v>208</v>
      </c>
      <c r="C43" s="53">
        <f ca="1">IFERROR(__xludf.DUMMYFUNCTION("GOOGLEFINANCE(""bom:""&amp;A43,""price"")"),20.72)</f>
        <v>20.72</v>
      </c>
      <c r="D43" s="54">
        <f ca="1">IFERROR(__xludf.DUMMYFUNCTION("GOOGLEFINANCE(""bom:""&amp;A43,""marketcap"")/10000000"),9.907475)</f>
        <v>9.9074749999999998</v>
      </c>
    </row>
    <row r="44" spans="1:4" ht="15.75" customHeight="1" x14ac:dyDescent="0.3">
      <c r="A44" s="51">
        <v>533629</v>
      </c>
      <c r="B44" s="52" t="s">
        <v>209</v>
      </c>
      <c r="C44" s="53">
        <f ca="1">IFERROR(__xludf.DUMMYFUNCTION("GOOGLEFINANCE(""bom:""&amp;A44,""price"")"),12.97)</f>
        <v>12.97</v>
      </c>
      <c r="D44" s="54">
        <f ca="1">IFERROR(__xludf.DUMMYFUNCTION("GOOGLEFINANCE(""bom:""&amp;A44,""marketcap"")/10000000"),36.9827236)</f>
        <v>36.9827236</v>
      </c>
    </row>
    <row r="45" spans="1:4" ht="15.75" customHeight="1" x14ac:dyDescent="0.3">
      <c r="A45" s="51">
        <v>531779</v>
      </c>
      <c r="B45" s="52" t="s">
        <v>210</v>
      </c>
      <c r="C45" s="53">
        <f ca="1">IFERROR(__xludf.DUMMYFUNCTION("GOOGLEFINANCE(""bom:""&amp;A45,""price"")"),24.28)</f>
        <v>24.28</v>
      </c>
      <c r="D45" s="54">
        <f ca="1">IFERROR(__xludf.DUMMYFUNCTION("GOOGLEFINANCE(""bom:""&amp;A45,""marketcap"")/10000000"),13.1434879)</f>
        <v>13.1434879</v>
      </c>
    </row>
    <row r="46" spans="1:4" ht="15.75" customHeight="1" x14ac:dyDescent="0.3">
      <c r="A46" s="51">
        <v>530611</v>
      </c>
      <c r="B46" s="52" t="s">
        <v>211</v>
      </c>
      <c r="C46" s="53">
        <f ca="1">IFERROR(__xludf.DUMMYFUNCTION("GOOGLEFINANCE(""bom:""&amp;A46,""price"")"),0.38)</f>
        <v>0.38</v>
      </c>
      <c r="D46" s="54">
        <f ca="1">IFERROR(__xludf.DUMMYFUNCTION("GOOGLEFINANCE(""bom:""&amp;A46,""marketcap"")/10000000"),5.7476367)</f>
        <v>5.7476367000000002</v>
      </c>
    </row>
    <row r="47" spans="1:4" ht="15.75" customHeight="1" x14ac:dyDescent="0.3">
      <c r="A47" s="51">
        <v>526225</v>
      </c>
      <c r="B47" s="52" t="s">
        <v>212</v>
      </c>
      <c r="C47" s="53">
        <f ca="1">IFERROR(__xludf.DUMMYFUNCTION("GOOGLEFINANCE(""bom:""&amp;A47,""price"")"),13.49)</f>
        <v>13.49</v>
      </c>
      <c r="D47" s="54">
        <f ca="1">IFERROR(__xludf.DUMMYFUNCTION("GOOGLEFINANCE(""bom:""&amp;A47,""marketcap"")/10000000"),9.2406498)</f>
        <v>9.2406497999999999</v>
      </c>
    </row>
    <row r="48" spans="1:4" ht="15.75" customHeight="1" x14ac:dyDescent="0.3">
      <c r="A48" s="51">
        <v>531929</v>
      </c>
      <c r="B48" s="52" t="s">
        <v>213</v>
      </c>
      <c r="C48" s="53">
        <f ca="1">IFERROR(__xludf.DUMMYFUNCTION("GOOGLEFINANCE(""bom:""&amp;A48,""price"")"),6.71)</f>
        <v>6.71</v>
      </c>
      <c r="D48" s="54">
        <f ca="1">IFERROR(__xludf.DUMMYFUNCTION("GOOGLEFINANCE(""bom:""&amp;A48,""marketcap"")/10000000"),5.328679)</f>
        <v>5.3286790000000002</v>
      </c>
    </row>
    <row r="49" spans="1:35" ht="15.75" customHeight="1" x14ac:dyDescent="0.3">
      <c r="A49" s="51">
        <v>531681</v>
      </c>
      <c r="B49" s="52" t="s">
        <v>214</v>
      </c>
      <c r="C49" s="53">
        <f ca="1">IFERROR(__xludf.DUMMYFUNCTION("GOOGLEFINANCE(""bom:""&amp;A49,""price"")"),1.27)</f>
        <v>1.27</v>
      </c>
      <c r="D49" s="54">
        <f ca="1">IFERROR(__xludf.DUMMYFUNCTION("GOOGLEFINANCE(""bom:""&amp;A49,""marketcap"")/10000000"),8.787177)</f>
        <v>8.7871769999999998</v>
      </c>
    </row>
    <row r="50" spans="1:35" ht="15.75" customHeight="1" x14ac:dyDescent="0.3"/>
    <row r="51" spans="1:35" ht="15.75" customHeight="1" x14ac:dyDescent="0.3"/>
    <row r="52" spans="1:35" ht="15.75" customHeight="1" x14ac:dyDescent="0.3">
      <c r="A52" s="59" t="s">
        <v>215</v>
      </c>
      <c r="B52" s="60" t="s">
        <v>216</v>
      </c>
      <c r="C52" s="60"/>
      <c r="D52" s="61">
        <f t="shared" ref="D52:L52" ca="1" si="0">SUM(D2:D49)</f>
        <v>186308.9397321</v>
      </c>
      <c r="E52" s="61">
        <f t="shared" si="0"/>
        <v>17666.349999999999</v>
      </c>
      <c r="F52" s="61">
        <f t="shared" si="0"/>
        <v>8607.94</v>
      </c>
      <c r="G52" s="61">
        <f t="shared" si="0"/>
        <v>36659.22</v>
      </c>
      <c r="H52" s="61">
        <f t="shared" si="0"/>
        <v>10619.91</v>
      </c>
      <c r="I52" s="61">
        <f t="shared" si="0"/>
        <v>545.41</v>
      </c>
      <c r="J52" s="61">
        <f t="shared" si="0"/>
        <v>26036.31</v>
      </c>
      <c r="K52" s="61">
        <f t="shared" si="0"/>
        <v>4334</v>
      </c>
      <c r="L52" s="61">
        <f t="shared" si="0"/>
        <v>5115</v>
      </c>
      <c r="M52" s="61">
        <f>MEDIAN(M2:M49)</f>
        <v>2</v>
      </c>
      <c r="N52" s="61">
        <f t="shared" ref="N52:U52" si="1">SUM(N2:N49)</f>
        <v>0</v>
      </c>
      <c r="O52" s="61">
        <f t="shared" si="1"/>
        <v>221.27</v>
      </c>
      <c r="P52" s="61">
        <f t="shared" si="1"/>
        <v>0</v>
      </c>
      <c r="Q52" s="61">
        <f t="shared" si="1"/>
        <v>25021</v>
      </c>
      <c r="R52" s="61">
        <f t="shared" si="1"/>
        <v>36455</v>
      </c>
      <c r="S52" s="61">
        <f t="shared" si="1"/>
        <v>2144</v>
      </c>
      <c r="T52" s="61">
        <f t="shared" si="1"/>
        <v>573.1</v>
      </c>
      <c r="U52" s="61">
        <f t="shared" si="1"/>
        <v>24228</v>
      </c>
      <c r="V52" s="62">
        <f>(R52/Q52)^(1/5)-1</f>
        <v>7.8178054716410594E-2</v>
      </c>
      <c r="W52" s="63">
        <f t="shared" ref="W52:X52" si="2">MEDIAN(W2:W49)</f>
        <v>0.06</v>
      </c>
      <c r="X52" s="61">
        <f t="shared" si="2"/>
        <v>117</v>
      </c>
      <c r="Y52" s="64">
        <f>E52/F52</f>
        <v>2.0523319168116876</v>
      </c>
      <c r="Z52" s="65">
        <f>(L52/R52)*365</f>
        <v>51.213139487038816</v>
      </c>
      <c r="AA52" s="66">
        <f>K52/J52</f>
        <v>0.166459840123274</v>
      </c>
      <c r="AB52" s="66">
        <f>H52/G52</f>
        <v>0.28969274305345283</v>
      </c>
      <c r="AC52" s="67">
        <f>S52/J52</f>
        <v>8.234653835355317E-2</v>
      </c>
      <c r="AD52" s="64">
        <f>S52/I52</f>
        <v>3.9309876973286153</v>
      </c>
      <c r="AE52" s="67">
        <f>S52/G52</f>
        <v>5.8484604964317295E-2</v>
      </c>
      <c r="AF52" s="64">
        <f>C52/O52</f>
        <v>0</v>
      </c>
      <c r="AG52" s="67">
        <f>MEDIAN(AG2:AG49)</f>
        <v>0.01</v>
      </c>
      <c r="AH52" s="64">
        <f>J52/(I52/M52)</f>
        <v>95.474267065143664</v>
      </c>
      <c r="AI52" s="68">
        <f>MEDIAN(AI2:AI49)</f>
        <v>4.4000000000000004</v>
      </c>
    </row>
    <row r="53" spans="1:35" ht="15.75" customHeight="1" x14ac:dyDescent="0.3"/>
    <row r="54" spans="1:35" ht="15.75" customHeight="1" x14ac:dyDescent="0.3"/>
    <row r="55" spans="1:35" ht="15.75" customHeight="1" x14ac:dyDescent="0.3"/>
    <row r="56" spans="1:35" ht="15.75" customHeight="1" x14ac:dyDescent="0.3">
      <c r="A56" s="69" t="s">
        <v>217</v>
      </c>
      <c r="B56" s="70"/>
      <c r="C56" s="70"/>
    </row>
    <row r="57" spans="1:35" ht="15.75" customHeight="1" x14ac:dyDescent="0.3">
      <c r="A57" s="70"/>
      <c r="B57" s="70"/>
      <c r="C57" s="70"/>
    </row>
    <row r="58" spans="1:35" ht="15.75" customHeight="1" x14ac:dyDescent="0.3">
      <c r="A58" s="70"/>
      <c r="B58" s="70" t="s">
        <v>218</v>
      </c>
      <c r="C58" s="70"/>
      <c r="F58" s="70" t="s">
        <v>218</v>
      </c>
      <c r="G58" s="70"/>
    </row>
    <row r="59" spans="1:35" ht="15.75" customHeight="1" x14ac:dyDescent="0.4">
      <c r="A59" s="70"/>
      <c r="B59" s="71" t="s">
        <v>144</v>
      </c>
      <c r="C59" s="71" t="s">
        <v>219</v>
      </c>
      <c r="F59" s="50" t="s">
        <v>144</v>
      </c>
      <c r="G59" s="50" t="s">
        <v>157</v>
      </c>
      <c r="J59" s="71" t="s">
        <v>144</v>
      </c>
      <c r="K59" s="72" t="s">
        <v>158</v>
      </c>
      <c r="N59" s="71" t="s">
        <v>144</v>
      </c>
      <c r="O59" s="72" t="s">
        <v>161</v>
      </c>
      <c r="Q59" s="71" t="s">
        <v>144</v>
      </c>
      <c r="R59" s="73" t="s">
        <v>220</v>
      </c>
      <c r="S59" s="73" t="s">
        <v>221</v>
      </c>
      <c r="T59" s="73" t="s">
        <v>222</v>
      </c>
      <c r="U59" s="73" t="s">
        <v>223</v>
      </c>
      <c r="V59" s="74" t="s">
        <v>224</v>
      </c>
    </row>
    <row r="60" spans="1:35" ht="15.75" customHeight="1" x14ac:dyDescent="0.3">
      <c r="A60" s="70"/>
      <c r="B60" s="75" t="s">
        <v>167</v>
      </c>
      <c r="C60" s="76">
        <v>50951.547659999997</v>
      </c>
      <c r="F60" s="77" t="s">
        <v>167</v>
      </c>
      <c r="G60" s="78">
        <v>9201</v>
      </c>
      <c r="J60" s="75" t="s">
        <v>167</v>
      </c>
      <c r="K60" s="79">
        <v>865</v>
      </c>
      <c r="N60" s="75" t="s">
        <v>167</v>
      </c>
      <c r="O60" s="80">
        <v>0.13126841838283765</v>
      </c>
      <c r="Q60" s="75" t="s">
        <v>167</v>
      </c>
      <c r="R60" s="79">
        <v>4909</v>
      </c>
      <c r="S60" s="81">
        <v>4.9599999999999998E-2</v>
      </c>
      <c r="T60" s="82">
        <v>9.7799999999999998E-2</v>
      </c>
      <c r="U60" s="82">
        <v>4.8000000000000001E-2</v>
      </c>
      <c r="V60" s="79">
        <v>0.01</v>
      </c>
    </row>
    <row r="61" spans="1:35" ht="15.75" customHeight="1" x14ac:dyDescent="0.3">
      <c r="A61" s="70"/>
      <c r="B61" s="75" t="s">
        <v>168</v>
      </c>
      <c r="C61" s="76">
        <v>48325.997300000003</v>
      </c>
      <c r="F61" s="77" t="s">
        <v>172</v>
      </c>
      <c r="G61" s="83">
        <v>5747</v>
      </c>
      <c r="J61" s="75" t="s">
        <v>168</v>
      </c>
      <c r="K61" s="79">
        <v>459</v>
      </c>
      <c r="N61" s="75" t="s">
        <v>168</v>
      </c>
      <c r="O61" s="80">
        <v>0.19259978683993229</v>
      </c>
      <c r="Q61" s="75" t="s">
        <v>168</v>
      </c>
      <c r="R61" s="79">
        <v>2754</v>
      </c>
      <c r="S61" s="84">
        <v>4.0800000000000003E-2</v>
      </c>
      <c r="T61" s="82">
        <v>8.2799999999999999E-2</v>
      </c>
      <c r="U61" s="85">
        <v>-9.1600000000000001E-2</v>
      </c>
      <c r="V61" s="79">
        <v>0.06</v>
      </c>
    </row>
    <row r="62" spans="1:35" ht="15.75" customHeight="1" x14ac:dyDescent="0.3">
      <c r="A62" s="70"/>
      <c r="B62" s="75" t="s">
        <v>169</v>
      </c>
      <c r="C62" s="76">
        <v>13915.76</v>
      </c>
      <c r="F62" s="77" t="s">
        <v>168</v>
      </c>
      <c r="G62" s="86">
        <v>5158</v>
      </c>
      <c r="J62" s="75" t="s">
        <v>169</v>
      </c>
      <c r="K62" s="79">
        <v>250</v>
      </c>
      <c r="N62" s="75" t="s">
        <v>169</v>
      </c>
      <c r="O62" s="80">
        <v>9.2052001722385146E-2</v>
      </c>
      <c r="Q62" s="75" t="s">
        <v>169</v>
      </c>
      <c r="R62" s="79">
        <v>1968</v>
      </c>
      <c r="S62" s="87">
        <v>-4.5600000000000002E-2</v>
      </c>
      <c r="T62" s="82">
        <v>6.3E-2</v>
      </c>
      <c r="U62" s="88">
        <v>-0.4178</v>
      </c>
      <c r="V62" s="79">
        <v>0.05</v>
      </c>
    </row>
    <row r="63" spans="1:35" ht="15.75" customHeight="1" x14ac:dyDescent="0.3">
      <c r="A63" s="70"/>
      <c r="B63" s="75" t="s">
        <v>170</v>
      </c>
      <c r="C63" s="76">
        <v>7573.4285</v>
      </c>
      <c r="F63" s="77" t="s">
        <v>169</v>
      </c>
      <c r="G63" s="89">
        <v>4397</v>
      </c>
      <c r="J63" s="75" t="s">
        <v>170</v>
      </c>
      <c r="K63" s="79">
        <v>121</v>
      </c>
      <c r="N63" s="75" t="s">
        <v>170</v>
      </c>
      <c r="O63" s="80">
        <v>0.15455145958763383</v>
      </c>
    </row>
    <row r="64" spans="1:35" ht="15.75" customHeight="1" x14ac:dyDescent="0.3">
      <c r="A64" s="70"/>
      <c r="B64" s="75" t="s">
        <v>171</v>
      </c>
      <c r="C64" s="90">
        <v>6768.6539380000004</v>
      </c>
      <c r="F64" s="77" t="s">
        <v>173</v>
      </c>
      <c r="G64" s="77">
        <v>4289</v>
      </c>
      <c r="J64" s="75" t="s">
        <v>171</v>
      </c>
      <c r="K64" s="79">
        <v>-14</v>
      </c>
      <c r="N64" s="75" t="s">
        <v>171</v>
      </c>
      <c r="O64" s="80">
        <v>-2.3561352442750261E-3</v>
      </c>
    </row>
    <row r="65" spans="1:15" ht="15.75" customHeight="1" x14ac:dyDescent="0.3">
      <c r="A65" s="70"/>
      <c r="B65" s="75" t="s">
        <v>172</v>
      </c>
      <c r="C65" s="76">
        <v>4354.2644203999998</v>
      </c>
      <c r="F65" s="77" t="s">
        <v>170</v>
      </c>
      <c r="G65" s="91">
        <v>2710</v>
      </c>
      <c r="J65" s="75" t="s">
        <v>172</v>
      </c>
      <c r="K65" s="79">
        <v>-66</v>
      </c>
      <c r="N65" s="75" t="s">
        <v>172</v>
      </c>
      <c r="O65" s="80">
        <v>-6.3988682159970667E-2</v>
      </c>
    </row>
    <row r="66" spans="1:15" ht="15.75" customHeight="1" x14ac:dyDescent="0.3">
      <c r="B66" s="75" t="s">
        <v>173</v>
      </c>
      <c r="C66" s="90">
        <v>4016.132177</v>
      </c>
      <c r="F66" s="77" t="s">
        <v>174</v>
      </c>
      <c r="G66" s="77">
        <v>1438</v>
      </c>
      <c r="J66" s="75" t="s">
        <v>173</v>
      </c>
      <c r="K66" s="79">
        <v>223</v>
      </c>
      <c r="N66" s="75" t="s">
        <v>173</v>
      </c>
      <c r="O66" s="80">
        <v>6.6809481031940177E-2</v>
      </c>
    </row>
    <row r="67" spans="1:15" ht="15.75" customHeight="1" x14ac:dyDescent="0.3">
      <c r="B67" s="75" t="s">
        <v>174</v>
      </c>
      <c r="C67" s="90">
        <v>3852.2788045000002</v>
      </c>
      <c r="F67" s="77" t="s">
        <v>176</v>
      </c>
      <c r="G67" s="77">
        <v>1403</v>
      </c>
      <c r="J67" s="75" t="s">
        <v>174</v>
      </c>
      <c r="K67" s="79">
        <v>166</v>
      </c>
      <c r="N67" s="75" t="s">
        <v>174</v>
      </c>
      <c r="O67" s="80">
        <v>0.11298512208788436</v>
      </c>
    </row>
    <row r="68" spans="1:15" ht="15.75" customHeight="1" x14ac:dyDescent="0.3">
      <c r="B68" s="75" t="s">
        <v>175</v>
      </c>
      <c r="C68" s="90">
        <v>2840.5005277</v>
      </c>
      <c r="F68" s="77" t="s">
        <v>175</v>
      </c>
      <c r="G68" s="77">
        <v>915</v>
      </c>
      <c r="J68" s="75" t="s">
        <v>175</v>
      </c>
      <c r="K68" s="53">
        <v>24</v>
      </c>
      <c r="N68" s="75" t="s">
        <v>175</v>
      </c>
      <c r="O68" s="92">
        <v>0.26274380576597967</v>
      </c>
    </row>
    <row r="69" spans="1:15" ht="15.75" customHeight="1" x14ac:dyDescent="0.3">
      <c r="B69" s="75" t="s">
        <v>176</v>
      </c>
      <c r="C69" s="90">
        <v>2592.002</v>
      </c>
      <c r="F69" s="77" t="s">
        <v>177</v>
      </c>
      <c r="G69" s="77">
        <v>607</v>
      </c>
      <c r="J69" s="75" t="s">
        <v>176</v>
      </c>
      <c r="K69" s="79">
        <v>81</v>
      </c>
      <c r="N69" s="75" t="s">
        <v>176</v>
      </c>
      <c r="O69" s="80">
        <v>0.17856760994506349</v>
      </c>
    </row>
    <row r="70" spans="1:15" ht="15.75" customHeight="1" x14ac:dyDescent="0.3">
      <c r="B70" s="75" t="s">
        <v>177</v>
      </c>
      <c r="C70" s="76">
        <v>1477.1627814999999</v>
      </c>
      <c r="F70" s="77" t="s">
        <v>171</v>
      </c>
      <c r="G70" s="93">
        <v>590</v>
      </c>
      <c r="J70" s="75" t="s">
        <v>177</v>
      </c>
      <c r="K70" s="53">
        <v>35</v>
      </c>
      <c r="N70" s="75" t="s">
        <v>177</v>
      </c>
      <c r="O70" s="92">
        <v>0.13589119150524764</v>
      </c>
    </row>
    <row r="71" spans="1:15" ht="15.75" customHeight="1" x14ac:dyDescent="0.3">
      <c r="B71" s="94" t="s">
        <v>178</v>
      </c>
      <c r="C71" s="90">
        <v>647.32593599999996</v>
      </c>
    </row>
    <row r="72" spans="1:15" ht="15.75" customHeight="1" x14ac:dyDescent="0.3">
      <c r="B72" s="94" t="s">
        <v>179</v>
      </c>
      <c r="C72" s="90">
        <v>546.02869999999996</v>
      </c>
      <c r="F72" s="95" t="s">
        <v>216</v>
      </c>
      <c r="G72" s="96">
        <f>SUM(G59:G70)</f>
        <v>36455</v>
      </c>
      <c r="J72" s="97" t="s">
        <v>216</v>
      </c>
      <c r="K72" s="95">
        <f>SUM(K59:K70)</f>
        <v>2144</v>
      </c>
      <c r="N72" s="97" t="s">
        <v>216</v>
      </c>
      <c r="O72" s="98">
        <v>0.08</v>
      </c>
    </row>
    <row r="73" spans="1:15" ht="15.75" customHeight="1" x14ac:dyDescent="0.3">
      <c r="B73" s="94" t="s">
        <v>180</v>
      </c>
      <c r="C73" s="90">
        <v>389.97965629999999</v>
      </c>
    </row>
    <row r="74" spans="1:15" ht="15.75" customHeight="1" x14ac:dyDescent="0.3">
      <c r="B74" s="94" t="s">
        <v>181</v>
      </c>
      <c r="C74" s="90">
        <v>381.60879999999997</v>
      </c>
    </row>
    <row r="75" spans="1:15" ht="15.75" customHeight="1" x14ac:dyDescent="0.3">
      <c r="B75" s="94" t="s">
        <v>182</v>
      </c>
      <c r="C75" s="90">
        <v>324.51493599999998</v>
      </c>
    </row>
    <row r="76" spans="1:15" ht="15.75" customHeight="1" x14ac:dyDescent="0.3">
      <c r="B76" s="94" t="s">
        <v>183</v>
      </c>
      <c r="C76" s="90">
        <v>319.0976</v>
      </c>
    </row>
    <row r="77" spans="1:15" ht="15.75" customHeight="1" x14ac:dyDescent="0.3">
      <c r="B77" s="94" t="s">
        <v>184</v>
      </c>
      <c r="C77" s="90">
        <v>277.52080000000001</v>
      </c>
    </row>
    <row r="78" spans="1:15" ht="15.75" customHeight="1" x14ac:dyDescent="0.3">
      <c r="B78" s="94" t="s">
        <v>185</v>
      </c>
      <c r="C78" s="90">
        <v>254.31207910000001</v>
      </c>
    </row>
    <row r="79" spans="1:15" ht="15.75" customHeight="1" x14ac:dyDescent="0.3">
      <c r="B79" s="94" t="s">
        <v>186</v>
      </c>
      <c r="C79" s="90">
        <v>236.7715</v>
      </c>
    </row>
    <row r="80" spans="1:15" ht="15.75" customHeight="1" x14ac:dyDescent="0.3">
      <c r="B80" s="94" t="s">
        <v>187</v>
      </c>
      <c r="C80" s="90">
        <v>234.95779999999999</v>
      </c>
    </row>
    <row r="81" spans="2:3" ht="15.75" customHeight="1" x14ac:dyDescent="0.3">
      <c r="B81" s="94" t="s">
        <v>188</v>
      </c>
      <c r="C81" s="90">
        <v>213.20009999999999</v>
      </c>
    </row>
    <row r="82" spans="2:3" ht="15.75" customHeight="1" x14ac:dyDescent="0.3">
      <c r="B82" s="94" t="s">
        <v>189</v>
      </c>
      <c r="C82" s="90">
        <v>182.66560000000001</v>
      </c>
    </row>
    <row r="83" spans="2:3" ht="15.75" customHeight="1" x14ac:dyDescent="0.3">
      <c r="B83" s="94" t="s">
        <v>190</v>
      </c>
      <c r="C83" s="90">
        <v>166.6891</v>
      </c>
    </row>
    <row r="84" spans="2:3" ht="15.75" customHeight="1" x14ac:dyDescent="0.3">
      <c r="B84" s="94" t="s">
        <v>191</v>
      </c>
      <c r="C84" s="90">
        <v>135.9633</v>
      </c>
    </row>
    <row r="85" spans="2:3" ht="15.75" customHeight="1" x14ac:dyDescent="0.3">
      <c r="B85" s="94" t="s">
        <v>192</v>
      </c>
      <c r="C85" s="90">
        <v>125.5152631</v>
      </c>
    </row>
    <row r="86" spans="2:3" ht="15.75" customHeight="1" x14ac:dyDescent="0.3">
      <c r="B86" s="94" t="s">
        <v>193</v>
      </c>
      <c r="C86" s="90">
        <v>109.875</v>
      </c>
    </row>
    <row r="87" spans="2:3" ht="15.75" customHeight="1" x14ac:dyDescent="0.3">
      <c r="B87" s="94" t="s">
        <v>194</v>
      </c>
      <c r="C87" s="90">
        <v>99.66</v>
      </c>
    </row>
    <row r="88" spans="2:3" ht="15.75" customHeight="1" x14ac:dyDescent="0.3">
      <c r="B88" s="94" t="s">
        <v>195</v>
      </c>
      <c r="C88" s="90">
        <v>88.21405</v>
      </c>
    </row>
    <row r="89" spans="2:3" ht="15.75" customHeight="1" x14ac:dyDescent="0.3">
      <c r="B89" s="94" t="s">
        <v>196</v>
      </c>
      <c r="C89" s="90">
        <v>85.880430000000004</v>
      </c>
    </row>
    <row r="90" spans="2:3" ht="15.75" customHeight="1" x14ac:dyDescent="0.3">
      <c r="B90" s="94" t="s">
        <v>197</v>
      </c>
      <c r="C90" s="90">
        <v>84.686300000000003</v>
      </c>
    </row>
    <row r="91" spans="2:3" ht="15.75" customHeight="1" x14ac:dyDescent="0.3">
      <c r="B91" s="94" t="s">
        <v>198</v>
      </c>
      <c r="C91" s="90">
        <v>80.1738</v>
      </c>
    </row>
    <row r="92" spans="2:3" ht="15.75" customHeight="1" x14ac:dyDescent="0.3">
      <c r="B92" s="94" t="s">
        <v>199</v>
      </c>
      <c r="C92" s="90">
        <v>61.223100000000002</v>
      </c>
    </row>
    <row r="93" spans="2:3" ht="15.75" customHeight="1" x14ac:dyDescent="0.3">
      <c r="B93" s="94" t="s">
        <v>200</v>
      </c>
      <c r="C93" s="90">
        <v>57.240609999999997</v>
      </c>
    </row>
    <row r="94" spans="2:3" ht="15.75" customHeight="1" x14ac:dyDescent="0.3">
      <c r="B94" s="94" t="s">
        <v>201</v>
      </c>
      <c r="C94" s="90">
        <v>54.796289999999999</v>
      </c>
    </row>
    <row r="95" spans="2:3" ht="15.75" customHeight="1" x14ac:dyDescent="0.3">
      <c r="B95" s="94" t="s">
        <v>202</v>
      </c>
      <c r="C95" s="90">
        <v>49.933</v>
      </c>
    </row>
    <row r="96" spans="2:3" ht="15.75" customHeight="1" x14ac:dyDescent="0.3">
      <c r="B96" s="94" t="s">
        <v>203</v>
      </c>
      <c r="C96" s="90">
        <v>47.238979999999998</v>
      </c>
    </row>
    <row r="97" spans="2:3" ht="15.75" customHeight="1" x14ac:dyDescent="0.3">
      <c r="B97" s="94" t="s">
        <v>204</v>
      </c>
      <c r="C97" s="90">
        <v>46.518778599999997</v>
      </c>
    </row>
    <row r="98" spans="2:3" ht="15.75" customHeight="1" x14ac:dyDescent="0.3">
      <c r="B98" s="94" t="s">
        <v>205</v>
      </c>
      <c r="C98" s="90">
        <v>26.188890000000001</v>
      </c>
    </row>
    <row r="99" spans="2:3" ht="15.75" customHeight="1" x14ac:dyDescent="0.3">
      <c r="B99" s="94" t="s">
        <v>206</v>
      </c>
      <c r="C99" s="90">
        <v>25.456040000000002</v>
      </c>
    </row>
    <row r="100" spans="2:3" ht="15.75" customHeight="1" x14ac:dyDescent="0.3">
      <c r="B100" s="94" t="s">
        <v>207</v>
      </c>
      <c r="C100" s="90">
        <v>24.37942</v>
      </c>
    </row>
    <row r="101" spans="2:3" ht="15.75" customHeight="1" x14ac:dyDescent="0.3">
      <c r="B101" s="94" t="s">
        <v>208</v>
      </c>
      <c r="C101" s="90">
        <v>19.91058</v>
      </c>
    </row>
    <row r="102" spans="2:3" ht="15.75" customHeight="1" x14ac:dyDescent="0.3">
      <c r="B102" s="94" t="s">
        <v>209</v>
      </c>
      <c r="C102" s="90">
        <v>18.46414</v>
      </c>
    </row>
    <row r="103" spans="2:3" ht="15.75" customHeight="1" x14ac:dyDescent="0.3">
      <c r="B103" s="94" t="s">
        <v>210</v>
      </c>
      <c r="C103" s="90">
        <v>14.19909</v>
      </c>
    </row>
    <row r="104" spans="2:3" ht="15.75" customHeight="1" x14ac:dyDescent="0.3">
      <c r="B104" s="94" t="s">
        <v>211</v>
      </c>
      <c r="C104" s="90">
        <v>8.7727085000000002</v>
      </c>
    </row>
    <row r="105" spans="2:3" ht="15.75" customHeight="1" x14ac:dyDescent="0.3">
      <c r="B105" s="94" t="s">
        <v>212</v>
      </c>
      <c r="C105" s="90">
        <v>6.3841999999999999</v>
      </c>
    </row>
    <row r="106" spans="2:3" ht="15.75" customHeight="1" x14ac:dyDescent="0.3">
      <c r="B106" s="94" t="s">
        <v>213</v>
      </c>
      <c r="C106" s="90">
        <v>5.0348480000000002</v>
      </c>
    </row>
    <row r="107" spans="2:3" ht="15.75" customHeight="1" x14ac:dyDescent="0.3">
      <c r="B107" s="94" t="s">
        <v>214</v>
      </c>
      <c r="C107" s="90">
        <v>5.0212440000000003</v>
      </c>
    </row>
    <row r="108" spans="2:3" ht="15.75" customHeight="1" x14ac:dyDescent="0.3"/>
    <row r="109" spans="2:3" ht="15.75" customHeight="1" x14ac:dyDescent="0.3"/>
    <row r="110" spans="2:3" ht="15.75" customHeight="1" x14ac:dyDescent="0.3">
      <c r="B110" s="99" t="s">
        <v>216</v>
      </c>
      <c r="C110" s="61">
        <v>152123.1307787</v>
      </c>
    </row>
    <row r="111" spans="2:3" ht="15.75" customHeight="1" x14ac:dyDescent="0.3">
      <c r="C111" s="100"/>
    </row>
    <row r="112" spans="2:3" ht="15.75" customHeight="1" x14ac:dyDescent="0.3"/>
    <row r="113" spans="1:11" ht="15.75" customHeight="1" x14ac:dyDescent="0.3">
      <c r="A113" s="69" t="s">
        <v>225</v>
      </c>
    </row>
    <row r="114" spans="1:11" ht="15.75" customHeight="1" x14ac:dyDescent="0.3">
      <c r="B114" s="72" t="s">
        <v>144</v>
      </c>
      <c r="C114" s="72" t="s">
        <v>90</v>
      </c>
      <c r="F114" s="72" t="s">
        <v>144</v>
      </c>
      <c r="G114" s="72" t="s">
        <v>162</v>
      </c>
      <c r="J114" s="72" t="s">
        <v>144</v>
      </c>
      <c r="K114" s="72" t="s">
        <v>163</v>
      </c>
    </row>
    <row r="115" spans="1:11" ht="15.75" customHeight="1" x14ac:dyDescent="0.3">
      <c r="B115" s="53" t="s">
        <v>167</v>
      </c>
      <c r="C115" s="101">
        <v>9.4011520486903602E-2</v>
      </c>
      <c r="F115" s="53" t="s">
        <v>167</v>
      </c>
      <c r="G115" s="102">
        <v>2.8507596508167969</v>
      </c>
      <c r="J115" s="53" t="s">
        <v>167</v>
      </c>
      <c r="K115" s="54">
        <v>21.064558200195631</v>
      </c>
    </row>
    <row r="116" spans="1:11" ht="15.75" customHeight="1" x14ac:dyDescent="0.3">
      <c r="B116" s="53" t="s">
        <v>168</v>
      </c>
      <c r="C116" s="103">
        <v>8.8987979837146181E-2</v>
      </c>
      <c r="F116" s="53" t="s">
        <v>168</v>
      </c>
      <c r="G116" s="102">
        <v>1.7150304083405734</v>
      </c>
      <c r="J116" s="53" t="s">
        <v>168</v>
      </c>
      <c r="K116" s="54">
        <v>22.715199689802247</v>
      </c>
    </row>
    <row r="117" spans="1:11" ht="15.75" customHeight="1" x14ac:dyDescent="0.3">
      <c r="B117" s="53" t="s">
        <v>169</v>
      </c>
      <c r="C117" s="104">
        <v>5.6856947919035707E-2</v>
      </c>
      <c r="F117" s="53" t="s">
        <v>169</v>
      </c>
      <c r="G117" s="102">
        <v>2.545774647887324</v>
      </c>
      <c r="J117" s="53" t="s">
        <v>169</v>
      </c>
      <c r="K117" s="54">
        <v>24.737320900614055</v>
      </c>
    </row>
    <row r="118" spans="1:11" ht="15.75" customHeight="1" x14ac:dyDescent="0.3">
      <c r="B118" s="53" t="s">
        <v>170</v>
      </c>
      <c r="C118" s="105">
        <v>4.4649446494464944E-2</v>
      </c>
      <c r="F118" s="53" t="s">
        <v>170</v>
      </c>
      <c r="G118" s="102">
        <v>2.6627078384798102</v>
      </c>
      <c r="J118" s="53" t="s">
        <v>170</v>
      </c>
      <c r="K118" s="54">
        <v>56.164206642066418</v>
      </c>
    </row>
    <row r="119" spans="1:11" ht="15.75" customHeight="1" x14ac:dyDescent="0.3">
      <c r="B119" s="53" t="s">
        <v>171</v>
      </c>
      <c r="C119" s="106">
        <v>-0.02</v>
      </c>
      <c r="F119" s="53" t="s">
        <v>171</v>
      </c>
      <c r="G119" s="102">
        <v>23.727272727272727</v>
      </c>
      <c r="J119" s="53" t="s">
        <v>171</v>
      </c>
      <c r="K119" s="54">
        <v>28.457627118644069</v>
      </c>
    </row>
    <row r="120" spans="1:11" ht="15.75" customHeight="1" x14ac:dyDescent="0.3">
      <c r="B120" s="53" t="s">
        <v>172</v>
      </c>
      <c r="C120" s="107">
        <v>-0.01</v>
      </c>
      <c r="F120" s="53" t="s">
        <v>172</v>
      </c>
      <c r="G120" s="102">
        <v>1.4487554904831625</v>
      </c>
      <c r="J120" s="53" t="s">
        <v>172</v>
      </c>
      <c r="K120" s="54">
        <v>127.53088567948495</v>
      </c>
    </row>
    <row r="121" spans="1:11" ht="15.75" customHeight="1" x14ac:dyDescent="0.3">
      <c r="B121" s="53" t="s">
        <v>173</v>
      </c>
      <c r="C121" s="108">
        <v>5.1993471671718347E-2</v>
      </c>
      <c r="F121" s="53" t="s">
        <v>173</v>
      </c>
      <c r="G121" s="102">
        <v>2.215940685820204</v>
      </c>
      <c r="J121" s="53" t="s">
        <v>173</v>
      </c>
      <c r="K121" s="54">
        <v>82.888785264630457</v>
      </c>
    </row>
    <row r="122" spans="1:11" ht="15.75" customHeight="1" x14ac:dyDescent="0.3">
      <c r="B122" s="53" t="s">
        <v>174</v>
      </c>
      <c r="C122" s="109">
        <v>0.11543810848400557</v>
      </c>
      <c r="F122" s="53" t="s">
        <v>174</v>
      </c>
      <c r="G122" s="102">
        <v>3.0091743119266057</v>
      </c>
      <c r="J122" s="53" t="s">
        <v>174</v>
      </c>
      <c r="K122" s="54">
        <v>3.8073713490959666</v>
      </c>
    </row>
    <row r="123" spans="1:11" ht="15.75" customHeight="1" x14ac:dyDescent="0.3">
      <c r="B123" s="53" t="s">
        <v>175</v>
      </c>
      <c r="C123" s="92">
        <v>2.6229508196721311E-2</v>
      </c>
      <c r="F123" s="53" t="s">
        <v>175</v>
      </c>
      <c r="G123" s="102">
        <v>1.6582914572864322</v>
      </c>
      <c r="J123" s="53" t="s">
        <v>175</v>
      </c>
      <c r="K123" s="54">
        <v>26.327868852459019</v>
      </c>
    </row>
    <row r="124" spans="1:11" ht="15.75" customHeight="1" x14ac:dyDescent="0.3">
      <c r="B124" s="53" t="s">
        <v>176</v>
      </c>
      <c r="C124" s="92">
        <v>5.7733428367783321E-2</v>
      </c>
      <c r="F124" s="53" t="s">
        <v>176</v>
      </c>
      <c r="G124" s="102">
        <v>1.6708860759493671</v>
      </c>
      <c r="J124" s="53" t="s">
        <v>176</v>
      </c>
      <c r="K124" s="54">
        <v>86.111903064861011</v>
      </c>
    </row>
    <row r="125" spans="1:11" ht="15.75" customHeight="1" x14ac:dyDescent="0.3">
      <c r="B125" s="53" t="s">
        <v>177</v>
      </c>
      <c r="C125" s="92">
        <v>5.7660626029654036E-2</v>
      </c>
      <c r="F125" s="53" t="s">
        <v>177</v>
      </c>
      <c r="G125" s="102">
        <v>1.1208333333333333</v>
      </c>
      <c r="J125" s="53" t="s">
        <v>177</v>
      </c>
      <c r="K125" s="54">
        <v>64.942339373970356</v>
      </c>
    </row>
    <row r="126" spans="1:11" ht="15.75" customHeight="1" x14ac:dyDescent="0.3"/>
    <row r="127" spans="1:11" ht="15.75" customHeight="1" x14ac:dyDescent="0.3">
      <c r="B127" s="99" t="s">
        <v>226</v>
      </c>
      <c r="C127" s="110">
        <v>0.06</v>
      </c>
      <c r="F127" s="99" t="s">
        <v>226</v>
      </c>
      <c r="G127" s="99">
        <v>2.1</v>
      </c>
      <c r="J127" s="99" t="s">
        <v>226</v>
      </c>
      <c r="K127" s="99">
        <v>51</v>
      </c>
    </row>
    <row r="128" spans="1:11" ht="15.75" customHeight="1" x14ac:dyDescent="0.3"/>
    <row r="129" spans="1:3" ht="15.75" customHeight="1" x14ac:dyDescent="0.3"/>
    <row r="130" spans="1:3" ht="15.75" customHeight="1" x14ac:dyDescent="0.3"/>
    <row r="131" spans="1:3" ht="15.75" customHeight="1" x14ac:dyDescent="0.3"/>
    <row r="132" spans="1:3" ht="15.75" customHeight="1" x14ac:dyDescent="0.3"/>
    <row r="133" spans="1:3" ht="15.75" customHeight="1" x14ac:dyDescent="0.3"/>
    <row r="134" spans="1:3" ht="15.75" customHeight="1" x14ac:dyDescent="0.3"/>
    <row r="135" spans="1:3" ht="15.75" customHeight="1" x14ac:dyDescent="0.3"/>
    <row r="136" spans="1:3" ht="15.75" customHeight="1" x14ac:dyDescent="0.3"/>
    <row r="137" spans="1:3" ht="15.75" customHeight="1" x14ac:dyDescent="0.3"/>
    <row r="138" spans="1:3" ht="15.75" customHeight="1" x14ac:dyDescent="0.3"/>
    <row r="139" spans="1:3" ht="15.75" customHeight="1" x14ac:dyDescent="0.3"/>
    <row r="140" spans="1:3" ht="15.75" customHeight="1" x14ac:dyDescent="0.3"/>
    <row r="141" spans="1:3" ht="15.75" customHeight="1" x14ac:dyDescent="0.3"/>
    <row r="142" spans="1:3" ht="15.75" customHeight="1" x14ac:dyDescent="0.3"/>
    <row r="143" spans="1:3" ht="15.75" customHeight="1" x14ac:dyDescent="0.3"/>
    <row r="144" spans="1:3" ht="15.75" customHeight="1" x14ac:dyDescent="0.3">
      <c r="A144" s="69" t="s">
        <v>227</v>
      </c>
      <c r="B144" s="70"/>
      <c r="C144" s="70"/>
    </row>
    <row r="145" spans="1:11" ht="15.75" customHeight="1" x14ac:dyDescent="0.3">
      <c r="A145" s="70"/>
      <c r="B145" s="111"/>
      <c r="C145" s="111"/>
    </row>
    <row r="146" spans="1:11" ht="15.75" customHeight="1" x14ac:dyDescent="0.3">
      <c r="A146" s="112"/>
      <c r="B146" s="72" t="s">
        <v>144</v>
      </c>
      <c r="C146" s="72" t="s">
        <v>164</v>
      </c>
      <c r="F146" s="72" t="s">
        <v>144</v>
      </c>
      <c r="G146" s="72" t="s">
        <v>31</v>
      </c>
      <c r="J146" s="72" t="s">
        <v>144</v>
      </c>
      <c r="K146" s="113" t="s">
        <v>165</v>
      </c>
    </row>
    <row r="147" spans="1:11" ht="15.75" customHeight="1" x14ac:dyDescent="0.3">
      <c r="B147" s="53" t="s">
        <v>167</v>
      </c>
      <c r="C147" s="114">
        <v>0</v>
      </c>
      <c r="F147" s="53" t="s">
        <v>167</v>
      </c>
      <c r="G147" s="54">
        <v>117</v>
      </c>
      <c r="J147" s="53" t="s">
        <v>167</v>
      </c>
      <c r="K147" s="114">
        <v>0.2024360000138547</v>
      </c>
    </row>
    <row r="148" spans="1:11" ht="15.75" customHeight="1" x14ac:dyDescent="0.3">
      <c r="B148" s="53" t="s">
        <v>168</v>
      </c>
      <c r="C148" s="114">
        <v>2.4579560155239329E-2</v>
      </c>
      <c r="F148" s="53" t="s">
        <v>168</v>
      </c>
      <c r="G148" s="54">
        <v>15.775</v>
      </c>
      <c r="J148" s="53" t="s">
        <v>168</v>
      </c>
      <c r="K148" s="114">
        <v>0.28535120147874304</v>
      </c>
    </row>
    <row r="149" spans="1:11" ht="15.75" customHeight="1" x14ac:dyDescent="0.3">
      <c r="B149" s="53" t="s">
        <v>169</v>
      </c>
      <c r="C149" s="114">
        <v>0.10728125637364878</v>
      </c>
      <c r="F149" s="53" t="s">
        <v>169</v>
      </c>
      <c r="G149" s="54">
        <v>677.83333333333337</v>
      </c>
      <c r="J149" s="53" t="s">
        <v>169</v>
      </c>
      <c r="K149" s="114">
        <v>0.21988862370723947</v>
      </c>
    </row>
    <row r="150" spans="1:11" ht="15.75" customHeight="1" x14ac:dyDescent="0.3">
      <c r="B150" s="53" t="s">
        <v>170</v>
      </c>
      <c r="C150" s="114">
        <v>3.7292817679558013E-2</v>
      </c>
      <c r="F150" s="53" t="s">
        <v>170</v>
      </c>
      <c r="G150" s="54">
        <v>22.636363636363637</v>
      </c>
      <c r="J150" s="53" t="s">
        <v>170</v>
      </c>
      <c r="K150" s="114">
        <v>0.24148768988999475</v>
      </c>
    </row>
    <row r="151" spans="1:11" ht="15.75" customHeight="1" x14ac:dyDescent="0.3">
      <c r="B151" s="53" t="s">
        <v>171</v>
      </c>
      <c r="C151" s="114">
        <v>0</v>
      </c>
      <c r="F151" s="53" t="s">
        <v>171</v>
      </c>
      <c r="G151" s="54">
        <v>176</v>
      </c>
      <c r="J151" s="53" t="s">
        <v>171</v>
      </c>
      <c r="K151" s="114">
        <v>2.5862068965517241E-2</v>
      </c>
    </row>
    <row r="152" spans="1:11" ht="15.75" customHeight="1" x14ac:dyDescent="0.3">
      <c r="B152" s="53" t="s">
        <v>172</v>
      </c>
      <c r="C152" s="114">
        <v>0.54467101114147576</v>
      </c>
      <c r="F152" s="53" t="s">
        <v>172</v>
      </c>
      <c r="G152" s="54">
        <v>0.75692963752665243</v>
      </c>
      <c r="J152" s="53" t="s">
        <v>172</v>
      </c>
      <c r="K152" s="114">
        <v>0.43213560940670886</v>
      </c>
    </row>
    <row r="153" spans="1:11" ht="15.75" customHeight="1" x14ac:dyDescent="0.3">
      <c r="B153" s="53" t="s">
        <v>173</v>
      </c>
      <c r="C153" s="114">
        <v>0.31945589447650452</v>
      </c>
      <c r="F153" s="53" t="s">
        <v>173</v>
      </c>
      <c r="G153" s="54">
        <v>666.5</v>
      </c>
      <c r="J153" s="53" t="s">
        <v>173</v>
      </c>
      <c r="K153" s="114">
        <v>0.38001533350370559</v>
      </c>
    </row>
    <row r="154" spans="1:11" ht="15.75" customHeight="1" x14ac:dyDescent="0.3">
      <c r="B154" s="53" t="s">
        <v>174</v>
      </c>
      <c r="C154" s="114">
        <v>1.8691588785046728E-2</v>
      </c>
      <c r="F154" s="53" t="s">
        <v>174</v>
      </c>
      <c r="G154" s="54">
        <v>184.66666666666666</v>
      </c>
      <c r="J154" s="53" t="s">
        <v>174</v>
      </c>
      <c r="K154" s="114">
        <v>0.12884267631103075</v>
      </c>
    </row>
    <row r="155" spans="1:11" ht="15.75" customHeight="1" x14ac:dyDescent="0.3">
      <c r="B155" s="53" t="s">
        <v>175</v>
      </c>
      <c r="C155" s="114">
        <v>9.6280087527352301E-2</v>
      </c>
      <c r="F155" s="53" t="s">
        <v>175</v>
      </c>
      <c r="G155" s="54">
        <v>4.4831460674157304</v>
      </c>
      <c r="J155" s="53" t="s">
        <v>175</v>
      </c>
      <c r="K155" s="114">
        <v>0.30966767371601206</v>
      </c>
    </row>
    <row r="156" spans="1:11" ht="15.75" customHeight="1" x14ac:dyDescent="0.3">
      <c r="B156" s="53" t="s">
        <v>176</v>
      </c>
      <c r="C156" s="114">
        <v>4.716981132075472E-2</v>
      </c>
      <c r="F156" s="53" t="s">
        <v>176</v>
      </c>
      <c r="G156" s="54">
        <v>1321</v>
      </c>
      <c r="J156" s="53" t="s">
        <v>176</v>
      </c>
      <c r="K156" s="114">
        <v>0.43071965628356607</v>
      </c>
    </row>
    <row r="157" spans="1:11" ht="15.75" customHeight="1" x14ac:dyDescent="0.3">
      <c r="B157" s="53" t="s">
        <v>177</v>
      </c>
      <c r="C157" s="114">
        <v>0.48936170212765956</v>
      </c>
      <c r="F157" s="53" t="s">
        <v>177</v>
      </c>
      <c r="G157" s="54">
        <v>3.2777777777777777</v>
      </c>
      <c r="J157" s="53" t="s">
        <v>177</v>
      </c>
      <c r="K157" s="114">
        <v>0.44210526315789472</v>
      </c>
    </row>
    <row r="158" spans="1:11" ht="15.75" customHeight="1" x14ac:dyDescent="0.3"/>
    <row r="159" spans="1:11" ht="15.75" customHeight="1" x14ac:dyDescent="0.3">
      <c r="B159" s="99" t="s">
        <v>226</v>
      </c>
      <c r="C159" s="99">
        <v>0.2</v>
      </c>
      <c r="F159" s="99" t="s">
        <v>226</v>
      </c>
      <c r="G159" s="99">
        <v>117</v>
      </c>
      <c r="J159" s="99" t="s">
        <v>226</v>
      </c>
      <c r="K159" s="99">
        <v>0.28999999999999998</v>
      </c>
    </row>
    <row r="160" spans="1:11" ht="15.75" customHeight="1" x14ac:dyDescent="0.3"/>
    <row r="161" spans="1:4" ht="15.75" customHeight="1" x14ac:dyDescent="0.3"/>
    <row r="162" spans="1:4" ht="15.75" customHeight="1" x14ac:dyDescent="0.3"/>
    <row r="163" spans="1:4" ht="15.75" customHeight="1" x14ac:dyDescent="0.3"/>
    <row r="164" spans="1:4" ht="15.75" customHeight="1" x14ac:dyDescent="0.3"/>
    <row r="165" spans="1:4" ht="15.75" customHeight="1" x14ac:dyDescent="0.3"/>
    <row r="166" spans="1:4" ht="15.75" customHeight="1" x14ac:dyDescent="0.3"/>
    <row r="167" spans="1:4" ht="15.75" customHeight="1" x14ac:dyDescent="0.3"/>
    <row r="168" spans="1:4" ht="15.75" customHeight="1" x14ac:dyDescent="0.3"/>
    <row r="169" spans="1:4" ht="15.75" customHeight="1" x14ac:dyDescent="0.3"/>
    <row r="170" spans="1:4" ht="15.75" customHeight="1" x14ac:dyDescent="0.3"/>
    <row r="171" spans="1:4" ht="15.75" customHeight="1" x14ac:dyDescent="0.3"/>
    <row r="172" spans="1:4" ht="15.75" customHeight="1" x14ac:dyDescent="0.3"/>
    <row r="173" spans="1:4" ht="15.75" customHeight="1" x14ac:dyDescent="0.3"/>
    <row r="174" spans="1:4" ht="15.75" customHeight="1" x14ac:dyDescent="0.3"/>
    <row r="175" spans="1:4" ht="15.75" customHeight="1" x14ac:dyDescent="0.3"/>
    <row r="176" spans="1:4" ht="15.75" customHeight="1" x14ac:dyDescent="0.3">
      <c r="A176" s="69" t="s">
        <v>228</v>
      </c>
      <c r="B176" s="70"/>
      <c r="C176" s="70"/>
      <c r="D176" s="70"/>
    </row>
    <row r="177" spans="1:10" ht="15.75" customHeight="1" x14ac:dyDescent="0.3">
      <c r="A177" s="70"/>
      <c r="B177" s="111"/>
      <c r="C177" s="111"/>
      <c r="D177" s="111"/>
    </row>
    <row r="178" spans="1:10" ht="15.75" customHeight="1" x14ac:dyDescent="0.3">
      <c r="A178" s="112"/>
      <c r="B178" s="72" t="s">
        <v>144</v>
      </c>
      <c r="C178" s="72" t="s">
        <v>33</v>
      </c>
      <c r="D178" s="72" t="s">
        <v>34</v>
      </c>
      <c r="I178" s="72" t="s">
        <v>144</v>
      </c>
      <c r="J178" s="72" t="s">
        <v>166</v>
      </c>
    </row>
    <row r="179" spans="1:10" ht="15.75" customHeight="1" x14ac:dyDescent="0.3">
      <c r="B179" s="53" t="s">
        <v>167</v>
      </c>
      <c r="C179" s="115">
        <v>0.18782666096310563</v>
      </c>
      <c r="D179" s="115">
        <v>0.1498037830217761</v>
      </c>
      <c r="I179" s="53" t="s">
        <v>167</v>
      </c>
      <c r="J179" s="57">
        <v>34.041715859897678</v>
      </c>
    </row>
    <row r="180" spans="1:10" ht="15.75" customHeight="1" x14ac:dyDescent="0.3">
      <c r="B180" s="53" t="s">
        <v>168</v>
      </c>
      <c r="C180" s="115">
        <v>0.14844760672703752</v>
      </c>
      <c r="D180" s="115">
        <v>0.1060536044362292</v>
      </c>
      <c r="I180" s="53" t="s">
        <v>168</v>
      </c>
      <c r="J180" s="102">
        <v>17.653846153846153</v>
      </c>
    </row>
    <row r="181" spans="1:10" ht="15.75" customHeight="1" x14ac:dyDescent="0.3">
      <c r="B181" s="53" t="s">
        <v>169</v>
      </c>
      <c r="C181" s="115">
        <v>5.0989190291658167E-2</v>
      </c>
      <c r="D181" s="115">
        <v>3.9777247414478918E-2</v>
      </c>
      <c r="I181" s="53" t="s">
        <v>169</v>
      </c>
      <c r="J181" s="102">
        <v>2.0161290322580645</v>
      </c>
    </row>
    <row r="182" spans="1:10" ht="15.75" customHeight="1" x14ac:dyDescent="0.3">
      <c r="B182" s="53" t="s">
        <v>170</v>
      </c>
      <c r="C182" s="115">
        <v>8.3563535911602205E-2</v>
      </c>
      <c r="D182" s="115">
        <v>6.3383970665269782E-2</v>
      </c>
      <c r="I182" s="53" t="s">
        <v>170</v>
      </c>
      <c r="J182" s="102">
        <v>1.1000000000000001</v>
      </c>
    </row>
    <row r="183" spans="1:10" ht="15.75" customHeight="1" x14ac:dyDescent="0.3">
      <c r="B183" s="53" t="s">
        <v>171</v>
      </c>
      <c r="C183" s="115">
        <v>-0.01</v>
      </c>
      <c r="D183" s="115">
        <v>-0.01</v>
      </c>
      <c r="I183" s="53" t="s">
        <v>171</v>
      </c>
      <c r="J183" s="102">
        <v>-1</v>
      </c>
    </row>
    <row r="184" spans="1:10" ht="15.75" customHeight="1" x14ac:dyDescent="0.3">
      <c r="B184" s="53" t="s">
        <v>172</v>
      </c>
      <c r="C184" s="115">
        <v>-1.4E-2</v>
      </c>
      <c r="D184" s="115">
        <v>-0.01</v>
      </c>
      <c r="I184" s="53" t="s">
        <v>172</v>
      </c>
      <c r="J184" s="102">
        <v>-0.5</v>
      </c>
    </row>
    <row r="185" spans="1:10" ht="15.75" customHeight="1" x14ac:dyDescent="0.3">
      <c r="B185" s="53" t="s">
        <v>173</v>
      </c>
      <c r="C185" s="115">
        <v>9.1920857378400653E-2</v>
      </c>
      <c r="D185" s="115">
        <v>5.6989522105801174E-2</v>
      </c>
      <c r="I185" s="53" t="s">
        <v>173</v>
      </c>
      <c r="J185" s="102">
        <v>10.136363636363637</v>
      </c>
    </row>
    <row r="186" spans="1:10" ht="15.75" customHeight="1" x14ac:dyDescent="0.3">
      <c r="B186" s="53" t="s">
        <v>174</v>
      </c>
      <c r="C186" s="115">
        <v>8.6188992731048811E-2</v>
      </c>
      <c r="D186" s="115">
        <v>7.5045207956600357E-2</v>
      </c>
      <c r="I186" s="53" t="s">
        <v>174</v>
      </c>
      <c r="J186" s="102">
        <v>7.2173913043478262</v>
      </c>
    </row>
    <row r="187" spans="1:10" ht="15.75" customHeight="1" x14ac:dyDescent="0.3">
      <c r="B187" s="53" t="s">
        <v>175</v>
      </c>
      <c r="C187" s="115">
        <v>5.2516411378555797E-2</v>
      </c>
      <c r="D187" s="115">
        <v>3.6253776435045321E-2</v>
      </c>
      <c r="I187" s="53" t="s">
        <v>175</v>
      </c>
      <c r="J187" s="102">
        <v>0.61538461538461542</v>
      </c>
    </row>
    <row r="188" spans="1:10" ht="15.75" customHeight="1" x14ac:dyDescent="0.3">
      <c r="B188" s="53" t="s">
        <v>176</v>
      </c>
      <c r="C188" s="115">
        <v>0.15283018867924528</v>
      </c>
      <c r="D188" s="115">
        <v>8.7003222341568209E-2</v>
      </c>
      <c r="I188" s="53" t="s">
        <v>176</v>
      </c>
      <c r="J188" s="102">
        <v>6.75</v>
      </c>
    </row>
    <row r="189" spans="1:10" ht="15.75" customHeight="1" x14ac:dyDescent="0.3">
      <c r="B189" s="53" t="s">
        <v>177</v>
      </c>
      <c r="C189" s="115">
        <v>8.2742316784869971E-2</v>
      </c>
      <c r="D189" s="115">
        <v>4.6052631578947366E-2</v>
      </c>
      <c r="I189" s="53" t="s">
        <v>177</v>
      </c>
      <c r="J189" s="102">
        <v>3.8888888888888888</v>
      </c>
    </row>
    <row r="190" spans="1:10" ht="15.75" customHeight="1" x14ac:dyDescent="0.3"/>
    <row r="191" spans="1:10" ht="15.75" customHeight="1" x14ac:dyDescent="0.3">
      <c r="B191" s="99" t="s">
        <v>226</v>
      </c>
      <c r="C191" s="116">
        <v>0.11700000000000001</v>
      </c>
      <c r="D191" s="116">
        <v>8.3000000000000004E-2</v>
      </c>
      <c r="I191" s="99" t="s">
        <v>226</v>
      </c>
      <c r="J191" s="99">
        <v>5.6</v>
      </c>
    </row>
    <row r="192" spans="1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spans="1:10" ht="15.75" customHeight="1" x14ac:dyDescent="0.3"/>
    <row r="210" spans="1:10" ht="15.75" customHeight="1" x14ac:dyDescent="0.3"/>
    <row r="211" spans="1:10" ht="15.75" customHeight="1" x14ac:dyDescent="0.3"/>
    <row r="212" spans="1:10" ht="15.75" customHeight="1" x14ac:dyDescent="0.3">
      <c r="A212" s="69" t="s">
        <v>229</v>
      </c>
      <c r="B212" s="111"/>
      <c r="C212" s="111"/>
      <c r="D212" s="111"/>
      <c r="E212" s="111"/>
      <c r="F212" s="111"/>
      <c r="G212" s="111"/>
      <c r="H212" s="111"/>
      <c r="I212" s="111"/>
      <c r="J212" s="111"/>
    </row>
    <row r="213" spans="1:10" ht="15.75" customHeight="1" x14ac:dyDescent="0.3">
      <c r="A213" s="112"/>
      <c r="B213" s="72" t="s">
        <v>144</v>
      </c>
      <c r="C213" s="72" t="s">
        <v>230</v>
      </c>
      <c r="D213" s="72" t="s">
        <v>231</v>
      </c>
      <c r="E213" s="72" t="s">
        <v>232</v>
      </c>
      <c r="F213" s="72" t="s">
        <v>233</v>
      </c>
      <c r="G213" s="72" t="s">
        <v>234</v>
      </c>
      <c r="H213" s="72" t="s">
        <v>235</v>
      </c>
      <c r="I213" s="72" t="s">
        <v>236</v>
      </c>
      <c r="J213" s="72" t="s">
        <v>237</v>
      </c>
    </row>
    <row r="214" spans="1:10" ht="15.75" customHeight="1" x14ac:dyDescent="0.3">
      <c r="A214" s="112"/>
      <c r="B214" s="53" t="s">
        <v>167</v>
      </c>
      <c r="C214" s="117">
        <v>4017</v>
      </c>
      <c r="D214" s="117">
        <v>429</v>
      </c>
      <c r="E214" s="117">
        <v>21.8</v>
      </c>
      <c r="F214" s="55">
        <f t="shared" ref="F214:F216" si="3">(C214/D214)^(1/10)-1</f>
        <v>0.25067495744759727</v>
      </c>
      <c r="G214" s="55">
        <f>(C214/E214)^(1/20)-1</f>
        <v>0.2979927506205593</v>
      </c>
      <c r="H214" s="56">
        <f>C214/E214</f>
        <v>184.26605504587155</v>
      </c>
      <c r="I214" s="80">
        <f>28/68</f>
        <v>0.41176470588235292</v>
      </c>
      <c r="J214" s="80">
        <f>28/E214</f>
        <v>1.2844036697247705</v>
      </c>
    </row>
    <row r="215" spans="1:10" ht="15.75" customHeight="1" x14ac:dyDescent="0.3">
      <c r="A215" s="112"/>
      <c r="B215" s="53" t="s">
        <v>168</v>
      </c>
      <c r="C215" s="117">
        <v>1800.9</v>
      </c>
      <c r="D215" s="117">
        <v>74</v>
      </c>
      <c r="E215" s="117" t="s">
        <v>238</v>
      </c>
      <c r="F215" s="55">
        <f t="shared" si="3"/>
        <v>0.37602330008923635</v>
      </c>
      <c r="G215" s="55">
        <f>(C215/9.5)^(1/16)-1</f>
        <v>0.38790702680324385</v>
      </c>
      <c r="H215" s="56">
        <f>C215/9.5</f>
        <v>189.56842105263158</v>
      </c>
      <c r="I215" s="80">
        <f>3.75/17</f>
        <v>0.22058823529411764</v>
      </c>
      <c r="J215" s="80">
        <f>3.2/9.5</f>
        <v>0.33684210526315789</v>
      </c>
    </row>
    <row r="216" spans="1:10" ht="15.75" customHeight="1" x14ac:dyDescent="0.3">
      <c r="A216" s="112"/>
      <c r="B216" s="53" t="s">
        <v>169</v>
      </c>
      <c r="C216" s="117">
        <v>225.15</v>
      </c>
      <c r="D216" s="117">
        <v>33.5</v>
      </c>
      <c r="E216" s="117">
        <v>16.5</v>
      </c>
      <c r="F216" s="55">
        <f t="shared" si="3"/>
        <v>0.20988116106764276</v>
      </c>
      <c r="G216" s="55">
        <f>(C216/E216)^(1/20)-1</f>
        <v>0.13959202242955993</v>
      </c>
      <c r="H216" s="56">
        <f>C216/E216</f>
        <v>13.645454545454546</v>
      </c>
      <c r="I216" s="80">
        <f>1.5/16.01</f>
        <v>9.3691442848219855E-2</v>
      </c>
      <c r="J216" s="80">
        <f>1.5/E216</f>
        <v>9.0909090909090912E-2</v>
      </c>
    </row>
    <row r="217" spans="1:10" ht="15.75" customHeight="1" x14ac:dyDescent="0.3">
      <c r="A217" s="112"/>
      <c r="B217" s="53" t="s">
        <v>170</v>
      </c>
      <c r="C217" s="117">
        <v>689.55</v>
      </c>
      <c r="D217" s="117"/>
      <c r="E217" s="117"/>
      <c r="F217" s="55"/>
      <c r="G217" s="55"/>
      <c r="H217" s="56"/>
      <c r="I217" s="80">
        <f>2/10.98</f>
        <v>0.18214936247723132</v>
      </c>
      <c r="J217" s="80"/>
    </row>
    <row r="218" spans="1:10" ht="15.75" customHeight="1" x14ac:dyDescent="0.3">
      <c r="A218" s="112"/>
      <c r="B218" s="53" t="s">
        <v>171</v>
      </c>
      <c r="C218" s="117">
        <v>379.15</v>
      </c>
      <c r="D218" s="117">
        <v>74.2</v>
      </c>
      <c r="E218" s="117">
        <v>7.45</v>
      </c>
      <c r="F218" s="55">
        <f t="shared" ref="F218:F221" si="4">(C218/D218)^(1/10)-1</f>
        <v>0.17717414675897025</v>
      </c>
      <c r="G218" s="55">
        <f t="shared" ref="G218:G219" si="5">(C218/E218)^(1/20)-1</f>
        <v>0.21711815164757753</v>
      </c>
      <c r="H218" s="56">
        <f t="shared" ref="H218:H219" si="6">C218/E218</f>
        <v>50.892617449664428</v>
      </c>
      <c r="I218" s="80">
        <f>0.5/(-0.76)</f>
        <v>-0.65789473684210531</v>
      </c>
      <c r="J218" s="80">
        <f>0.5/E218</f>
        <v>6.7114093959731544E-2</v>
      </c>
    </row>
    <row r="219" spans="1:10" ht="15.75" customHeight="1" x14ac:dyDescent="0.3">
      <c r="A219" s="112"/>
      <c r="B219" s="53" t="s">
        <v>172</v>
      </c>
      <c r="C219" s="117">
        <v>64.37</v>
      </c>
      <c r="D219" s="117">
        <v>72</v>
      </c>
      <c r="E219" s="117">
        <v>21</v>
      </c>
      <c r="F219" s="55">
        <f t="shared" si="4"/>
        <v>-1.1139336264247901E-2</v>
      </c>
      <c r="G219" s="55">
        <f t="shared" si="5"/>
        <v>5.7604306875121747E-2</v>
      </c>
      <c r="H219" s="56">
        <f t="shared" si="6"/>
        <v>3.0652380952380955</v>
      </c>
      <c r="I219" s="80">
        <f>0/(-2.01)</f>
        <v>0</v>
      </c>
      <c r="J219" s="80">
        <f>0/E219</f>
        <v>0</v>
      </c>
    </row>
    <row r="220" spans="1:10" ht="15.75" customHeight="1" x14ac:dyDescent="0.3">
      <c r="A220" s="112"/>
      <c r="B220" s="53" t="s">
        <v>173</v>
      </c>
      <c r="C220" s="117">
        <v>176.4</v>
      </c>
      <c r="D220" s="117">
        <v>39</v>
      </c>
      <c r="E220" s="117" t="s">
        <v>239</v>
      </c>
      <c r="F220" s="55">
        <f t="shared" si="4"/>
        <v>0.16290274959592521</v>
      </c>
      <c r="G220" s="55">
        <f>(C220/100)^(1/16)-1</f>
        <v>3.6110706152734373E-2</v>
      </c>
      <c r="H220" s="56">
        <f>C220/100</f>
        <v>1.764</v>
      </c>
      <c r="I220" s="80">
        <f>1.25/1.13</f>
        <v>1.1061946902654869</v>
      </c>
      <c r="J220" s="80">
        <f>1.25/100</f>
        <v>1.2500000000000001E-2</v>
      </c>
    </row>
    <row r="221" spans="1:10" ht="15.75" customHeight="1" x14ac:dyDescent="0.3">
      <c r="A221" s="112"/>
      <c r="B221" s="53" t="s">
        <v>174</v>
      </c>
      <c r="C221" s="117">
        <v>1652</v>
      </c>
      <c r="D221" s="117">
        <v>69.5</v>
      </c>
      <c r="E221" s="117">
        <v>56.3</v>
      </c>
      <c r="F221" s="55">
        <f t="shared" si="4"/>
        <v>0.37278499592636893</v>
      </c>
      <c r="G221" s="55">
        <f>(C221/E221)^(1/20)-1</f>
        <v>0.18406374174591744</v>
      </c>
      <c r="H221" s="56">
        <f>C221/E221</f>
        <v>29.342806394316163</v>
      </c>
      <c r="I221" s="80">
        <f>10/16.01</f>
        <v>0.62460961898813239</v>
      </c>
      <c r="J221" s="80">
        <f>10/E221</f>
        <v>0.17761989342806395</v>
      </c>
    </row>
    <row r="222" spans="1:10" ht="15.75" customHeight="1" x14ac:dyDescent="0.3">
      <c r="A222" s="70"/>
      <c r="B222" s="53" t="s">
        <v>175</v>
      </c>
      <c r="C222" s="118">
        <v>728.25</v>
      </c>
      <c r="D222" s="119"/>
      <c r="E222" s="119"/>
      <c r="F222" s="53"/>
      <c r="G222" s="53"/>
      <c r="H222" s="53"/>
      <c r="I222" s="80">
        <f>0.6/6.08</f>
        <v>9.8684210526315791E-2</v>
      </c>
      <c r="J222" s="80"/>
    </row>
    <row r="223" spans="1:10" ht="15.75" customHeight="1" x14ac:dyDescent="0.3">
      <c r="A223" s="70"/>
      <c r="B223" s="53" t="s">
        <v>176</v>
      </c>
      <c r="C223" s="118">
        <v>2143.75</v>
      </c>
      <c r="D223" s="53">
        <v>15.27</v>
      </c>
      <c r="E223" s="53">
        <v>8.8000000000000007</v>
      </c>
      <c r="F223" s="55">
        <f t="shared" ref="F223:F224" si="7">(C223/D223)^(1/10)-1</f>
        <v>0.63958339014965859</v>
      </c>
      <c r="G223" s="55">
        <f>(C223/E223)^(1/20)-1</f>
        <v>0.31623844996410777</v>
      </c>
      <c r="H223" s="56">
        <f>C223/E223</f>
        <v>243.60795454545453</v>
      </c>
      <c r="I223" s="80">
        <v>0</v>
      </c>
      <c r="J223" s="80">
        <v>0</v>
      </c>
    </row>
    <row r="224" spans="1:10" ht="15.75" customHeight="1" x14ac:dyDescent="0.3">
      <c r="B224" s="53" t="s">
        <v>177</v>
      </c>
      <c r="C224" s="118">
        <v>322.10000000000002</v>
      </c>
      <c r="D224" s="53">
        <v>9.8000000000000007</v>
      </c>
      <c r="E224" s="117" t="s">
        <v>240</v>
      </c>
      <c r="F224" s="55">
        <f t="shared" si="7"/>
        <v>0.41800076423999388</v>
      </c>
      <c r="G224" s="55">
        <f>(C224/7.5)^(1/14)-1</f>
        <v>0.30809058151080304</v>
      </c>
      <c r="H224" s="56">
        <f>C224/7.5</f>
        <v>42.946666666666673</v>
      </c>
      <c r="I224" s="80">
        <f>0/68</f>
        <v>0</v>
      </c>
      <c r="J224" s="80">
        <f>0/7.5</f>
        <v>0</v>
      </c>
    </row>
    <row r="225" spans="2:10" ht="15.75" customHeight="1" x14ac:dyDescent="0.3"/>
    <row r="226" spans="2:10" ht="15.75" customHeight="1" x14ac:dyDescent="0.3"/>
    <row r="227" spans="2:10" ht="15.75" customHeight="1" x14ac:dyDescent="0.3">
      <c r="B227" s="120" t="s">
        <v>226</v>
      </c>
      <c r="C227" s="121"/>
      <c r="D227" s="121"/>
      <c r="E227" s="121"/>
      <c r="F227" s="122">
        <f t="shared" ref="F227:J227" si="8">MEDIAN(F214:F224)</f>
        <v>0.25067495744759727</v>
      </c>
      <c r="G227" s="122">
        <f t="shared" si="8"/>
        <v>0.21711815164757753</v>
      </c>
      <c r="H227" s="123">
        <f t="shared" si="8"/>
        <v>42.946666666666673</v>
      </c>
      <c r="I227" s="122">
        <f t="shared" si="8"/>
        <v>9.8684210526315791E-2</v>
      </c>
      <c r="J227" s="122">
        <f t="shared" si="8"/>
        <v>6.7114093959731544E-2</v>
      </c>
    </row>
    <row r="228" spans="2:10" ht="15.75" customHeight="1" x14ac:dyDescent="0.3"/>
    <row r="229" spans="2:10" ht="15.75" customHeight="1" x14ac:dyDescent="0.3"/>
    <row r="230" spans="2:10" ht="15.75" customHeight="1" x14ac:dyDescent="0.3"/>
    <row r="231" spans="2:10" ht="15.75" customHeight="1" x14ac:dyDescent="0.3"/>
    <row r="232" spans="2:10" ht="15.75" customHeight="1" x14ac:dyDescent="0.3"/>
    <row r="233" spans="2:10" ht="15.75" customHeight="1" x14ac:dyDescent="0.3"/>
    <row r="234" spans="2:10" ht="15.75" customHeight="1" x14ac:dyDescent="0.3"/>
    <row r="235" spans="2:10" ht="15.75" customHeight="1" x14ac:dyDescent="0.3"/>
    <row r="236" spans="2:10" ht="15.75" customHeight="1" x14ac:dyDescent="0.3"/>
    <row r="237" spans="2:10" ht="15.75" customHeight="1" x14ac:dyDescent="0.3"/>
    <row r="238" spans="2:10" ht="15.75" customHeight="1" x14ac:dyDescent="0.3"/>
    <row r="239" spans="2:10" ht="15.75" customHeight="1" x14ac:dyDescent="0.3"/>
    <row r="240" spans="2:1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B59:C70" xr:uid="{00000000-0009-0000-0000-000000000000}">
    <sortState xmlns:xlrd2="http://schemas.microsoft.com/office/spreadsheetml/2017/richdata2" ref="B59:C70">
      <sortCondition descending="1" ref="C59:C70"/>
    </sortState>
  </autoFilter>
  <conditionalFormatting sqref="C115:C12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47:C157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79:C18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9:D18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14:G22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5:G12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7:G157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14:H22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4:I22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9:J189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14:J22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0:K7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5:K125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47:K157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O60:O70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60:R62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60:S62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60:T62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60:U62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V60:V62">
    <cfRule type="colorScale" priority="20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supreme</vt:lpstr>
      <vt:lpstr> Plastic Products-Industrial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2024-12-14T09:45:19Z</dcterms:created>
  <dcterms:modified xsi:type="dcterms:W3CDTF">2024-12-14T09:45:47Z</dcterms:modified>
</cp:coreProperties>
</file>