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383656D8-570E-4E64-B3DE-FB1C1258DDDD}" xr6:coauthVersionLast="47" xr6:coauthVersionMax="47" xr10:uidLastSave="{00000000-0000-0000-0000-000000000000}"/>
  <bookViews>
    <workbookView xWindow="-108" yWindow="-108" windowWidth="23256" windowHeight="12456" xr2:uid="{BB4A609C-3F40-4C79-B38B-9F33899AD35B}"/>
  </bookViews>
  <sheets>
    <sheet name="DIVISLA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F68" i="1"/>
  <c r="N67" i="1"/>
  <c r="P67" i="1" s="1"/>
  <c r="M67" i="1"/>
  <c r="L67" i="1"/>
  <c r="F67" i="1"/>
  <c r="P66" i="1"/>
  <c r="N66" i="1"/>
  <c r="O66" i="1" s="1"/>
  <c r="M66" i="1"/>
  <c r="L66" i="1"/>
  <c r="F66" i="1"/>
  <c r="N65" i="1"/>
  <c r="O65" i="1" s="1"/>
  <c r="M65" i="1"/>
  <c r="L65" i="1"/>
  <c r="F65" i="1"/>
  <c r="P64" i="1"/>
  <c r="N64" i="1"/>
  <c r="O64" i="1" s="1"/>
  <c r="M64" i="1"/>
  <c r="L64" i="1"/>
  <c r="F64" i="1"/>
  <c r="N63" i="1"/>
  <c r="P63" i="1" s="1"/>
  <c r="M63" i="1"/>
  <c r="L63" i="1"/>
  <c r="F63" i="1"/>
  <c r="P62" i="1"/>
  <c r="N62" i="1"/>
  <c r="O62" i="1" s="1"/>
  <c r="M62" i="1"/>
  <c r="L62" i="1"/>
  <c r="F62" i="1"/>
  <c r="N61" i="1"/>
  <c r="O61" i="1" s="1"/>
  <c r="M61" i="1"/>
  <c r="L61" i="1"/>
  <c r="F61" i="1"/>
  <c r="P60" i="1"/>
  <c r="N60" i="1"/>
  <c r="O60" i="1" s="1"/>
  <c r="M60" i="1"/>
  <c r="L60" i="1"/>
  <c r="F60" i="1"/>
  <c r="N59" i="1"/>
  <c r="P59" i="1" s="1"/>
  <c r="M59" i="1"/>
  <c r="L59" i="1"/>
  <c r="F59" i="1"/>
  <c r="P58" i="1"/>
  <c r="N58" i="1"/>
  <c r="O58" i="1" s="1"/>
  <c r="M58" i="1"/>
  <c r="L58" i="1"/>
  <c r="F58" i="1"/>
  <c r="N57" i="1"/>
  <c r="O57" i="1" s="1"/>
  <c r="M57" i="1"/>
  <c r="L57" i="1"/>
  <c r="F57" i="1"/>
  <c r="P56" i="1"/>
  <c r="N56" i="1"/>
  <c r="O56" i="1" s="1"/>
  <c r="M56" i="1"/>
  <c r="L56" i="1"/>
  <c r="F56" i="1"/>
  <c r="N55" i="1"/>
  <c r="P55" i="1" s="1"/>
  <c r="M55" i="1"/>
  <c r="L55" i="1"/>
  <c r="F55" i="1"/>
  <c r="P54" i="1"/>
  <c r="N54" i="1"/>
  <c r="O54" i="1" s="1"/>
  <c r="M54" i="1"/>
  <c r="L54" i="1"/>
  <c r="F54" i="1"/>
  <c r="N53" i="1"/>
  <c r="O53" i="1" s="1"/>
  <c r="M53" i="1"/>
  <c r="L53" i="1"/>
  <c r="F53" i="1"/>
  <c r="P52" i="1"/>
  <c r="N52" i="1"/>
  <c r="O52" i="1" s="1"/>
  <c r="M52" i="1"/>
  <c r="L52" i="1"/>
  <c r="F52" i="1"/>
  <c r="N51" i="1"/>
  <c r="P51" i="1" s="1"/>
  <c r="M51" i="1"/>
  <c r="L51" i="1"/>
  <c r="F51" i="1"/>
  <c r="P50" i="1"/>
  <c r="N50" i="1"/>
  <c r="O50" i="1" s="1"/>
  <c r="M50" i="1"/>
  <c r="L50" i="1"/>
  <c r="F50" i="1"/>
  <c r="N49" i="1"/>
  <c r="O49" i="1" s="1"/>
  <c r="M49" i="1"/>
  <c r="L49" i="1"/>
  <c r="F49" i="1"/>
  <c r="P48" i="1"/>
  <c r="N48" i="1"/>
  <c r="O48" i="1" s="1"/>
  <c r="M48" i="1"/>
  <c r="L48" i="1"/>
  <c r="F48" i="1"/>
  <c r="N47" i="1"/>
  <c r="P47" i="1" s="1"/>
  <c r="M47" i="1"/>
  <c r="M41" i="1" s="1"/>
  <c r="L47" i="1"/>
  <c r="F47" i="1"/>
  <c r="P46" i="1"/>
  <c r="P42" i="1" s="1"/>
  <c r="N46" i="1"/>
  <c r="O46" i="1" s="1"/>
  <c r="M46" i="1"/>
  <c r="L46" i="1"/>
  <c r="L39" i="1" s="1"/>
  <c r="F46" i="1"/>
  <c r="F42" i="1" s="1"/>
  <c r="N45" i="1"/>
  <c r="O45" i="1" s="1"/>
  <c r="F45" i="1"/>
  <c r="E45" i="1"/>
  <c r="D45" i="1"/>
  <c r="M42" i="1"/>
  <c r="K42" i="1"/>
  <c r="J42" i="1"/>
  <c r="I42" i="1"/>
  <c r="H42" i="1"/>
  <c r="G42" i="1"/>
  <c r="E42" i="1"/>
  <c r="D42" i="1"/>
  <c r="L41" i="1"/>
  <c r="K41" i="1"/>
  <c r="J41" i="1"/>
  <c r="I41" i="1"/>
  <c r="H41" i="1"/>
  <c r="G41" i="1"/>
  <c r="F41" i="1"/>
  <c r="E41" i="1"/>
  <c r="D41" i="1"/>
  <c r="M40" i="1"/>
  <c r="K40" i="1"/>
  <c r="J40" i="1"/>
  <c r="I40" i="1"/>
  <c r="H40" i="1"/>
  <c r="G40" i="1"/>
  <c r="E40" i="1"/>
  <c r="D40" i="1"/>
  <c r="N39" i="1"/>
  <c r="M39" i="1"/>
  <c r="K39" i="1"/>
  <c r="J39" i="1"/>
  <c r="I39" i="1"/>
  <c r="H39" i="1"/>
  <c r="G39" i="1"/>
  <c r="F39" i="1"/>
  <c r="E39" i="1"/>
  <c r="D39" i="1"/>
  <c r="Q36" i="1"/>
  <c r="R34" i="1"/>
  <c r="R36" i="1" s="1"/>
  <c r="O34" i="1"/>
  <c r="G45" i="1" s="1"/>
  <c r="T31" i="1"/>
  <c r="S31" i="1"/>
  <c r="V31" i="1" s="1"/>
  <c r="O31" i="1"/>
  <c r="N31" i="1"/>
  <c r="P31" i="1" s="1"/>
  <c r="K31" i="1"/>
  <c r="J31" i="1"/>
  <c r="I31" i="1"/>
  <c r="F31" i="1"/>
  <c r="E31" i="1"/>
  <c r="D31" i="1"/>
  <c r="V30" i="1"/>
  <c r="U30" i="1"/>
  <c r="P30" i="1"/>
  <c r="O30" i="1"/>
  <c r="N30" i="1"/>
  <c r="K30" i="1"/>
  <c r="J30" i="1"/>
  <c r="I30" i="1"/>
  <c r="E30" i="1"/>
  <c r="D30" i="1"/>
  <c r="F30" i="1" s="1"/>
  <c r="V29" i="1"/>
  <c r="P29" i="1"/>
  <c r="K29" i="1"/>
  <c r="F29" i="1"/>
  <c r="V28" i="1"/>
  <c r="U28" i="1"/>
  <c r="P28" i="1"/>
  <c r="K28" i="1"/>
  <c r="F28" i="1"/>
  <c r="V27" i="1"/>
  <c r="U27" i="1"/>
  <c r="P27" i="1"/>
  <c r="K27" i="1"/>
  <c r="F27" i="1"/>
  <c r="U26" i="1"/>
  <c r="P26" i="1"/>
  <c r="K26" i="1"/>
  <c r="F26" i="1"/>
  <c r="V25" i="1"/>
  <c r="U25" i="1"/>
  <c r="P25" i="1"/>
  <c r="K25" i="1"/>
  <c r="F25" i="1"/>
  <c r="V24" i="1"/>
  <c r="P24" i="1"/>
  <c r="K24" i="1"/>
  <c r="F24" i="1"/>
  <c r="G21" i="1"/>
  <c r="J17" i="1"/>
  <c r="H17" i="1"/>
  <c r="I17" i="1" s="1"/>
  <c r="G17" i="1"/>
  <c r="M17" i="1" s="1"/>
  <c r="F17" i="1"/>
  <c r="S34" i="1" s="1"/>
  <c r="D17" i="1"/>
  <c r="D16" i="1" s="1"/>
  <c r="K16" i="1"/>
  <c r="G16" i="1"/>
  <c r="G15" i="1" s="1"/>
  <c r="D12" i="1"/>
  <c r="O9" i="1"/>
  <c r="M9" i="1"/>
  <c r="K9" i="1"/>
  <c r="J9" i="1"/>
  <c r="I9" i="1"/>
  <c r="H9" i="1"/>
  <c r="G9" i="1"/>
  <c r="E9" i="1"/>
  <c r="C9" i="1"/>
  <c r="S5" i="1"/>
  <c r="R5" i="1"/>
  <c r="Q5" i="1"/>
  <c r="P5" i="1"/>
  <c r="O5" i="1"/>
  <c r="N5" i="1"/>
  <c r="M5" i="1"/>
  <c r="L5" i="1"/>
  <c r="K5" i="1"/>
  <c r="J5" i="1"/>
  <c r="H5" i="1"/>
  <c r="G5" i="1"/>
  <c r="D5" i="1"/>
  <c r="G3" i="1"/>
  <c r="L9" i="1" s="1"/>
  <c r="F3" i="1"/>
  <c r="F9" i="1" s="1"/>
  <c r="E3" i="1"/>
  <c r="D3" i="1"/>
  <c r="P9" i="1" s="1"/>
  <c r="M45" i="1" l="1"/>
  <c r="L45" i="1"/>
  <c r="I3" i="1"/>
  <c r="M15" i="1"/>
  <c r="K15" i="1"/>
  <c r="L16" i="1"/>
  <c r="D15" i="1"/>
  <c r="G20" i="1"/>
  <c r="E16" i="1" s="1"/>
  <c r="O42" i="1"/>
  <c r="N17" i="1"/>
  <c r="F12" i="1" s="1"/>
  <c r="G12" i="1" s="1"/>
  <c r="M16" i="1"/>
  <c r="P39" i="1"/>
  <c r="N41" i="1"/>
  <c r="P45" i="1"/>
  <c r="P49" i="1"/>
  <c r="P41" i="1" s="1"/>
  <c r="P53" i="1"/>
  <c r="P57" i="1"/>
  <c r="P61" i="1"/>
  <c r="P65" i="1"/>
  <c r="E4" i="1"/>
  <c r="E5" i="1" s="1"/>
  <c r="K17" i="1"/>
  <c r="L17" i="1" s="1"/>
  <c r="L40" i="1"/>
  <c r="D9" i="1"/>
  <c r="E17" i="1"/>
  <c r="E21" i="1" s="1"/>
  <c r="U24" i="1"/>
  <c r="U29" i="1"/>
  <c r="U31" i="1"/>
  <c r="S36" i="1"/>
  <c r="T34" i="1" s="1"/>
  <c r="Q9" i="1" s="1"/>
  <c r="F40" i="1"/>
  <c r="N40" i="1"/>
  <c r="L42" i="1"/>
  <c r="O47" i="1"/>
  <c r="O39" i="1" s="1"/>
  <c r="O51" i="1"/>
  <c r="O55" i="1"/>
  <c r="O59" i="1"/>
  <c r="O63" i="1"/>
  <c r="O67" i="1"/>
  <c r="F5" i="1"/>
  <c r="P40" i="1"/>
  <c r="N42" i="1"/>
  <c r="E15" i="1" l="1"/>
  <c r="F16" i="1"/>
  <c r="O41" i="1"/>
  <c r="O40" i="1"/>
  <c r="L15" i="1"/>
  <c r="I5" i="1"/>
  <c r="N9" i="1"/>
  <c r="F15" i="1" l="1"/>
  <c r="J16" i="1"/>
  <c r="H16" i="1"/>
  <c r="I16" i="1" s="1"/>
  <c r="N16" i="1" s="1"/>
  <c r="J15" i="1" l="1"/>
  <c r="H15" i="1"/>
  <c r="I15" i="1" l="1"/>
  <c r="N15" i="1" s="1"/>
</calcChain>
</file>

<file path=xl/sharedStrings.xml><?xml version="1.0" encoding="utf-8"?>
<sst xmlns="http://schemas.openxmlformats.org/spreadsheetml/2006/main" count="214" uniqueCount="145">
  <si>
    <t>DATA</t>
  </si>
  <si>
    <t>Company</t>
  </si>
  <si>
    <t>Price</t>
  </si>
  <si>
    <t>Marketcap in Cr</t>
  </si>
  <si>
    <t>Sales in Cr</t>
  </si>
  <si>
    <t>Profit in Cr</t>
  </si>
  <si>
    <t>PBIT</t>
  </si>
  <si>
    <t>EPS</t>
  </si>
  <si>
    <t>FV</t>
  </si>
  <si>
    <t>Equity</t>
  </si>
  <si>
    <t>TOTAL EQ</t>
  </si>
  <si>
    <t>DEBT</t>
  </si>
  <si>
    <t>LEASE</t>
  </si>
  <si>
    <t>CUR.ASSETS</t>
  </si>
  <si>
    <t>CUR.LIABILITIES</t>
  </si>
  <si>
    <t>ASSETS</t>
  </si>
  <si>
    <t>LIABILITIES</t>
  </si>
  <si>
    <t>TRADE REC</t>
  </si>
  <si>
    <t>DIVISLAB</t>
  </si>
  <si>
    <t>LAST YEAR_25</t>
  </si>
  <si>
    <t>GROWTH</t>
  </si>
  <si>
    <t>LIQUIDITY</t>
  </si>
  <si>
    <t>SOLVENCY</t>
  </si>
  <si>
    <t>PROFITABILITY</t>
  </si>
  <si>
    <t>RATIO</t>
  </si>
  <si>
    <t>SALES GR</t>
  </si>
  <si>
    <t>PR.MARGIN</t>
  </si>
  <si>
    <t>CUR.RATIO</t>
  </si>
  <si>
    <t>TRADE REC Days</t>
  </si>
  <si>
    <t>DEBT2EQUITY</t>
  </si>
  <si>
    <t>DEBTRATIO</t>
  </si>
  <si>
    <t>ICR</t>
  </si>
  <si>
    <t>ROE</t>
  </si>
  <si>
    <t>ROCE</t>
  </si>
  <si>
    <t>ROA</t>
  </si>
  <si>
    <t>TRAIL PE</t>
  </si>
  <si>
    <t>YIELD_23</t>
  </si>
  <si>
    <t>BOOKVALUE</t>
  </si>
  <si>
    <t>PBV</t>
  </si>
  <si>
    <t>PEG</t>
  </si>
  <si>
    <t>STR. WEIGHTAGE</t>
  </si>
  <si>
    <t>FACTOR</t>
  </si>
  <si>
    <t>TECH. WEIGHT</t>
  </si>
  <si>
    <t>ESTIMATE</t>
  </si>
  <si>
    <t>Year</t>
  </si>
  <si>
    <t>REVENUE</t>
  </si>
  <si>
    <t>PROFIT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</si>
  <si>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</si>
  <si>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</si>
  <si>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</si>
  <si>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</si>
  <si>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</si>
  <si>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</si>
  <si>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</si>
  <si>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</si>
  <si>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</si>
  <si>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MARGIN</t>
  </si>
  <si>
    <t>LONG TERM</t>
  </si>
  <si>
    <t>CURRENT YEAR</t>
  </si>
  <si>
    <t>quarterly</t>
  </si>
  <si>
    <t>Q1_FY_26</t>
  </si>
  <si>
    <t>Q1_FY_25</t>
  </si>
  <si>
    <t>Q4_FY_25</t>
  </si>
  <si>
    <t>Q4_FY_24</t>
  </si>
  <si>
    <t>FY_25</t>
  </si>
  <si>
    <t>FY_24</t>
  </si>
  <si>
    <t>MAJORCOST</t>
  </si>
  <si>
    <t>SHARE</t>
  </si>
  <si>
    <t>SALES</t>
  </si>
  <si>
    <t>MATERIAL</t>
  </si>
  <si>
    <t>COST</t>
  </si>
  <si>
    <t>STOCK</t>
  </si>
  <si>
    <t>FINANCE</t>
  </si>
  <si>
    <t>INVENTORY</t>
  </si>
  <si>
    <t>EBITDA</t>
  </si>
  <si>
    <t>EMPLOYEE</t>
  </si>
  <si>
    <t>D&amp;A</t>
  </si>
  <si>
    <t>OTHER EXP</t>
  </si>
  <si>
    <t>TOTAL</t>
  </si>
  <si>
    <t>TREND</t>
  </si>
  <si>
    <t>H1_FY_25</t>
  </si>
  <si>
    <t>9M_FY_25</t>
  </si>
  <si>
    <t>EST-2026</t>
  </si>
  <si>
    <t>TRAIL_EPS</t>
  </si>
  <si>
    <t>Q2_FY25</t>
  </si>
  <si>
    <t>Q3_FY25</t>
  </si>
  <si>
    <t>Q4_FY25</t>
  </si>
  <si>
    <t>Q1_FY26</t>
  </si>
  <si>
    <t>TRAIL_FY_26</t>
  </si>
  <si>
    <t>EPS_24</t>
  </si>
  <si>
    <t>T_EPS</t>
  </si>
  <si>
    <t>F_EPS_26</t>
  </si>
  <si>
    <t>PE_24</t>
  </si>
  <si>
    <t>T_PE</t>
  </si>
  <si>
    <t>F_PE_26</t>
  </si>
  <si>
    <t>YEAR</t>
  </si>
  <si>
    <t>Sales</t>
  </si>
  <si>
    <t>Profit</t>
  </si>
  <si>
    <t>Margin</t>
  </si>
  <si>
    <t>RESERVE</t>
  </si>
  <si>
    <t>Low Price</t>
  </si>
  <si>
    <t>HIGH Price</t>
  </si>
  <si>
    <t>LOWPE</t>
  </si>
  <si>
    <t>HIGHPE</t>
  </si>
  <si>
    <t>LBV</t>
  </si>
  <si>
    <t>HBV</t>
  </si>
  <si>
    <t>20 YEAR</t>
  </si>
  <si>
    <t>10 YEAR</t>
  </si>
  <si>
    <t>5 YEAR</t>
  </si>
  <si>
    <t>CY YEAR</t>
  </si>
  <si>
    <t>Actual</t>
  </si>
  <si>
    <t>Trail FY_25</t>
  </si>
  <si>
    <t>FY_2025</t>
  </si>
  <si>
    <t>FY_2024</t>
  </si>
  <si>
    <t>FY_2023</t>
  </si>
  <si>
    <t>FY_2022</t>
  </si>
  <si>
    <t>SHP-2022</t>
  </si>
  <si>
    <t xml:space="preserve"> </t>
  </si>
  <si>
    <t>FY_2021</t>
  </si>
  <si>
    <t>PROMOTER</t>
  </si>
  <si>
    <t>FY_2020</t>
  </si>
  <si>
    <t>MF &amp; INSURANCE</t>
  </si>
  <si>
    <t>FY_2019</t>
  </si>
  <si>
    <t>FII</t>
  </si>
  <si>
    <t>FY_2018</t>
  </si>
  <si>
    <t>RETAIL</t>
  </si>
  <si>
    <t>FY_2017</t>
  </si>
  <si>
    <t>Bonus 1:1</t>
  </si>
  <si>
    <t>FY_2016</t>
  </si>
  <si>
    <t>FY_2015</t>
  </si>
  <si>
    <t>FY_2014</t>
  </si>
  <si>
    <t>FY_2013</t>
  </si>
  <si>
    <t>FY_2012</t>
  </si>
  <si>
    <t>FY_2011</t>
  </si>
  <si>
    <t>FY_2010</t>
  </si>
  <si>
    <t>FY_2009</t>
  </si>
  <si>
    <t>FY_2008</t>
  </si>
  <si>
    <t>FY_2007</t>
  </si>
  <si>
    <t>FY_2006</t>
  </si>
  <si>
    <t>FY_2005</t>
  </si>
  <si>
    <t>FY_2004</t>
  </si>
  <si>
    <t>IPO</t>
  </si>
  <si>
    <t>FY_2003</t>
  </si>
  <si>
    <t>FY_2002</t>
  </si>
  <si>
    <t>FY_2001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</si>
</sst>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4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Arial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rgb="FF000000"/>
      <name val="Arial"/>
    </font>
    <font>
      <sz val="11"/>
      <color rgb="FF000000"/>
      <name val="Calibri"/>
    </font>
    <font>
      <b/>
      <i/>
      <sz val="11"/>
      <color theme="1"/>
      <name val="Calibri"/>
      <scheme val="minor"/>
    </font>
    <font>
      <sz val="25"/>
      <color theme="1"/>
      <name val="Calibri"/>
      <scheme val="minor"/>
    </font>
    <font>
      <sz val="11"/>
      <color theme="1"/>
      <name val="&quot;Times New Roman&quot;"/>
    </font>
    <font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073763"/>
        <bgColor rgb="FF073763"/>
      </patternFill>
    </fill>
    <fill>
      <patternFill patternType="solid">
        <fgColor rgb="FF84CEAA"/>
        <bgColor rgb="FF84CEAA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/>
    <xf numFmtId="1" fontId="2" fillId="2" borderId="0" xfId="0" applyNumberFormat="1" applyFont="1" applyFill="1"/>
    <xf numFmtId="0" fontId="3" fillId="0" borderId="0" xfId="0" applyFont="1"/>
    <xf numFmtId="0" fontId="4" fillId="3" borderId="0" xfId="0" applyFont="1" applyFill="1"/>
    <xf numFmtId="1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4" borderId="0" xfId="0" applyFont="1" applyFill="1"/>
    <xf numFmtId="164" fontId="5" fillId="4" borderId="0" xfId="0" applyNumberFormat="1" applyFont="1" applyFill="1" applyAlignment="1">
      <alignment horizontal="right"/>
    </xf>
    <xf numFmtId="9" fontId="5" fillId="4" borderId="0" xfId="0" applyNumberFormat="1" applyFont="1" applyFill="1" applyAlignment="1">
      <alignment horizontal="right"/>
    </xf>
    <xf numFmtId="0" fontId="6" fillId="0" borderId="0" xfId="0" applyFont="1"/>
    <xf numFmtId="1" fontId="6" fillId="0" borderId="0" xfId="0" applyNumberFormat="1" applyFont="1"/>
    <xf numFmtId="1" fontId="3" fillId="0" borderId="0" xfId="0" applyNumberFormat="1" applyFont="1"/>
    <xf numFmtId="10" fontId="2" fillId="2" borderId="0" xfId="0" applyNumberFormat="1" applyFont="1" applyFill="1"/>
    <xf numFmtId="9" fontId="2" fillId="2" borderId="0" xfId="0" applyNumberFormat="1" applyFont="1" applyFill="1"/>
    <xf numFmtId="164" fontId="2" fillId="2" borderId="0" xfId="0" applyNumberFormat="1" applyFont="1" applyFill="1"/>
    <xf numFmtId="0" fontId="3" fillId="0" borderId="1" xfId="0" applyFont="1" applyBorder="1"/>
    <xf numFmtId="9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164" fontId="1" fillId="0" borderId="0" xfId="0" applyNumberFormat="1" applyFont="1"/>
    <xf numFmtId="9" fontId="3" fillId="0" borderId="0" xfId="0" applyNumberFormat="1" applyFont="1"/>
    <xf numFmtId="0" fontId="2" fillId="5" borderId="2" xfId="0" applyFont="1" applyFill="1" applyBorder="1"/>
    <xf numFmtId="1" fontId="4" fillId="0" borderId="3" xfId="0" applyNumberFormat="1" applyFont="1" applyBorder="1" applyAlignment="1">
      <alignment horizontal="right"/>
    </xf>
    <xf numFmtId="10" fontId="3" fillId="6" borderId="3" xfId="0" applyNumberFormat="1" applyFont="1" applyFill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3" fontId="7" fillId="7" borderId="3" xfId="0" applyNumberFormat="1" applyFont="1" applyFill="1" applyBorder="1" applyAlignment="1">
      <alignment horizontal="right"/>
    </xf>
    <xf numFmtId="1" fontId="3" fillId="7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0" fontId="8" fillId="0" borderId="0" xfId="0" applyFont="1"/>
    <xf numFmtId="0" fontId="9" fillId="0" borderId="4" xfId="0" applyFont="1" applyBorder="1"/>
    <xf numFmtId="9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9" fontId="1" fillId="0" borderId="3" xfId="0" applyNumberFormat="1" applyFont="1" applyBorder="1"/>
    <xf numFmtId="1" fontId="1" fillId="0" borderId="3" xfId="0" applyNumberFormat="1" applyFont="1" applyBorder="1"/>
    <xf numFmtId="164" fontId="1" fillId="0" borderId="3" xfId="0" applyNumberFormat="1" applyFont="1" applyBorder="1"/>
    <xf numFmtId="0" fontId="10" fillId="0" borderId="3" xfId="0" applyFont="1" applyBorder="1"/>
    <xf numFmtId="1" fontId="10" fillId="0" borderId="3" xfId="0" applyNumberFormat="1" applyFont="1" applyBorder="1"/>
    <xf numFmtId="9" fontId="10" fillId="0" borderId="3" xfId="0" applyNumberFormat="1" applyFont="1" applyBorder="1"/>
    <xf numFmtId="0" fontId="2" fillId="2" borderId="0" xfId="0" applyFont="1" applyFill="1" applyAlignment="1">
      <alignment horizontal="center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1" fillId="4" borderId="0" xfId="0" applyNumberFormat="1" applyFont="1" applyFill="1" applyAlignment="1">
      <alignment horizontal="center" vertical="center"/>
    </xf>
    <xf numFmtId="0" fontId="0" fillId="0" borderId="0" xfId="0"/>
    <xf numFmtId="166" fontId="1" fillId="0" borderId="3" xfId="0" applyNumberFormat="1" applyFont="1" applyBorder="1"/>
    <xf numFmtId="1" fontId="1" fillId="0" borderId="0" xfId="0" applyNumberFormat="1" applyFont="1"/>
    <xf numFmtId="0" fontId="1" fillId="0" borderId="3" xfId="0" applyFont="1" applyBorder="1" applyAlignment="1">
      <alignment horizontal="left"/>
    </xf>
    <xf numFmtId="9" fontId="0" fillId="0" borderId="3" xfId="0" applyNumberFormat="1" applyBorder="1"/>
    <xf numFmtId="1" fontId="12" fillId="0" borderId="3" xfId="0" applyNumberFormat="1" applyFont="1" applyBorder="1" applyAlignment="1">
      <alignment horizontal="right"/>
    </xf>
    <xf numFmtId="0" fontId="1" fillId="8" borderId="3" xfId="0" applyFont="1" applyFill="1" applyBorder="1"/>
    <xf numFmtId="1" fontId="0" fillId="0" borderId="3" xfId="0" applyNumberFormat="1" applyBorder="1"/>
    <xf numFmtId="0" fontId="1" fillId="0" borderId="0" xfId="0" applyFont="1"/>
    <xf numFmtId="0" fontId="0" fillId="0" borderId="3" xfId="0" applyBorder="1"/>
    <xf numFmtId="166" fontId="0" fillId="0" borderId="3" xfId="0" applyNumberFormat="1" applyBorder="1"/>
    <xf numFmtId="0" fontId="0" fillId="8" borderId="3" xfId="0" applyFill="1" applyBorder="1"/>
    <xf numFmtId="1" fontId="3" fillId="0" borderId="3" xfId="0" applyNumberFormat="1" applyFont="1" applyBorder="1" applyAlignment="1">
      <alignment horizontal="right"/>
    </xf>
    <xf numFmtId="0" fontId="13" fillId="8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70</xdr:row>
      <xdr:rowOff>190500</xdr:rowOff>
    </xdr:from>
    <xdr:ext cx="9944100" cy="39814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34626F1E-1634-4E37-B219-60EA1EB653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13525500"/>
          <a:ext cx="9944100" cy="3981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D066-5207-4A40-9778-CAEB84775520}">
  <sheetPr>
    <outlinePr summaryBelow="0" summaryRight="0"/>
  </sheetPr>
  <dimension ref="A2:V70"/>
  <sheetViews>
    <sheetView showGridLines="0" tabSelected="1" workbookViewId="0"/>
  </sheetViews>
  <sheetFormatPr defaultColWidth="14.44140625" defaultRowHeight="15" customHeight="1"/>
  <cols>
    <col min="1" max="1" width="5.5546875" customWidth="1"/>
  </cols>
  <sheetData>
    <row r="2" spans="2:19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1" t="s">
        <v>15</v>
      </c>
      <c r="R2" s="1" t="s">
        <v>16</v>
      </c>
      <c r="S2" s="1" t="s">
        <v>17</v>
      </c>
    </row>
    <row r="3" spans="2:19">
      <c r="B3" s="3"/>
      <c r="C3" s="4" t="s">
        <v>18</v>
      </c>
      <c r="D3" s="5">
        <f ca="1">IFERROR(__xludf.DUMMYFUNCTION("GOOGLEFINANCE(""NSE:""&amp;C3,""price"")"),6195)</f>
        <v>6195</v>
      </c>
      <c r="E3" s="5">
        <f ca="1">IFERROR(__xludf.DUMMYFUNCTION("GOOGLEFINANCE(""NSE:""&amp;C3,""MARKETCAP"")/10000000"),161904.77625)</f>
        <v>161904.77625</v>
      </c>
      <c r="F3" s="5">
        <f t="shared" ref="F3:G3" si="0">D45</f>
        <v>9652</v>
      </c>
      <c r="G3" s="5">
        <f t="shared" si="0"/>
        <v>2306</v>
      </c>
      <c r="H3" s="5"/>
      <c r="I3" s="5">
        <f>G45</f>
        <v>86.82</v>
      </c>
      <c r="J3" s="5">
        <v>2</v>
      </c>
      <c r="K3" s="6">
        <v>53</v>
      </c>
      <c r="L3" s="7">
        <v>14916</v>
      </c>
      <c r="M3" s="7">
        <v>2</v>
      </c>
      <c r="N3" s="6">
        <v>4</v>
      </c>
      <c r="O3" s="5">
        <v>10081</v>
      </c>
      <c r="P3" s="5">
        <v>1452</v>
      </c>
      <c r="Q3" s="6">
        <v>16932</v>
      </c>
      <c r="R3" s="6">
        <v>1963</v>
      </c>
      <c r="S3" s="7">
        <v>2731</v>
      </c>
    </row>
    <row r="4" spans="2:19">
      <c r="B4" s="3"/>
      <c r="C4" s="8" t="s">
        <v>19</v>
      </c>
      <c r="D4" s="9">
        <v>5775</v>
      </c>
      <c r="E4" s="9">
        <f ca="1">(D4*E3)/D3</f>
        <v>150928.18124999999</v>
      </c>
      <c r="F4" s="5">
        <v>9360</v>
      </c>
      <c r="G4" s="5">
        <v>2191</v>
      </c>
      <c r="H4" s="5"/>
      <c r="I4" s="5">
        <v>82.53</v>
      </c>
      <c r="J4" s="10">
        <v>2</v>
      </c>
      <c r="K4" s="11">
        <v>53</v>
      </c>
      <c r="L4" s="10">
        <v>13518</v>
      </c>
      <c r="M4" s="10">
        <v>0</v>
      </c>
      <c r="N4" s="10">
        <v>2</v>
      </c>
      <c r="O4" s="12">
        <v>9675</v>
      </c>
      <c r="P4" s="10">
        <v>1278</v>
      </c>
      <c r="Q4" s="10">
        <v>15470</v>
      </c>
      <c r="R4" s="11">
        <v>1899</v>
      </c>
      <c r="S4" s="13">
        <v>2156</v>
      </c>
    </row>
    <row r="5" spans="2:19">
      <c r="B5" s="3"/>
      <c r="C5" s="14" t="s">
        <v>20</v>
      </c>
      <c r="D5" s="15">
        <f t="shared" ref="D5:S5" ca="1" si="1">(D3/D4)-1</f>
        <v>7.2727272727272751E-2</v>
      </c>
      <c r="E5" s="15">
        <f t="shared" ca="1" si="1"/>
        <v>7.2727272727272751E-2</v>
      </c>
      <c r="F5" s="15">
        <f t="shared" si="1"/>
        <v>3.1196581196581086E-2</v>
      </c>
      <c r="G5" s="16">
        <f t="shared" si="1"/>
        <v>5.2487448653582902E-2</v>
      </c>
      <c r="H5" s="16" t="e">
        <f t="shared" si="1"/>
        <v>#DIV/0!</v>
      </c>
      <c r="I5" s="16">
        <f t="shared" si="1"/>
        <v>5.1981097782624497E-2</v>
      </c>
      <c r="J5" s="16">
        <f t="shared" si="1"/>
        <v>0</v>
      </c>
      <c r="K5" s="16">
        <f t="shared" si="1"/>
        <v>0</v>
      </c>
      <c r="L5" s="16">
        <f t="shared" si="1"/>
        <v>0.10341766533510866</v>
      </c>
      <c r="M5" s="16" t="e">
        <f t="shared" si="1"/>
        <v>#DIV/0!</v>
      </c>
      <c r="N5" s="16">
        <f t="shared" si="1"/>
        <v>1</v>
      </c>
      <c r="O5" s="16">
        <f t="shared" si="1"/>
        <v>4.1963824289405594E-2</v>
      </c>
      <c r="P5" s="16">
        <f t="shared" si="1"/>
        <v>0.136150234741784</v>
      </c>
      <c r="Q5" s="16">
        <f t="shared" si="1"/>
        <v>9.4505494505494614E-2</v>
      </c>
      <c r="R5" s="16">
        <f t="shared" si="1"/>
        <v>3.3701948393891623E-2</v>
      </c>
      <c r="S5" s="16">
        <f t="shared" si="1"/>
        <v>0.26669758812615951</v>
      </c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>
      <c r="B7" s="3"/>
      <c r="C7" s="17" t="s">
        <v>20</v>
      </c>
      <c r="D7" s="18" t="s">
        <v>21</v>
      </c>
      <c r="E7" s="19"/>
      <c r="F7" s="19"/>
      <c r="G7" s="18" t="s">
        <v>22</v>
      </c>
      <c r="H7" s="19"/>
      <c r="I7" s="19"/>
      <c r="J7" s="18" t="s">
        <v>23</v>
      </c>
      <c r="K7" s="19"/>
      <c r="L7" s="19"/>
      <c r="M7" s="19"/>
      <c r="N7" s="19"/>
      <c r="O7" s="3"/>
      <c r="P7" s="3"/>
      <c r="Q7" s="3"/>
      <c r="S7" s="3"/>
    </row>
    <row r="8" spans="2:19">
      <c r="B8" s="1" t="s">
        <v>24</v>
      </c>
      <c r="C8" s="20" t="s">
        <v>25</v>
      </c>
      <c r="D8" s="1" t="s">
        <v>26</v>
      </c>
      <c r="E8" s="21" t="s">
        <v>27</v>
      </c>
      <c r="F8" s="2" t="s">
        <v>28</v>
      </c>
      <c r="G8" s="21" t="s">
        <v>29</v>
      </c>
      <c r="H8" s="21" t="s">
        <v>30</v>
      </c>
      <c r="I8" s="21" t="s">
        <v>31</v>
      </c>
      <c r="J8" s="21" t="s">
        <v>32</v>
      </c>
      <c r="K8" s="2" t="s">
        <v>33</v>
      </c>
      <c r="L8" s="22" t="s">
        <v>34</v>
      </c>
      <c r="M8" s="1" t="s">
        <v>35</v>
      </c>
      <c r="N8" s="1" t="s">
        <v>36</v>
      </c>
      <c r="O8" s="1" t="s">
        <v>37</v>
      </c>
      <c r="P8" s="1" t="s">
        <v>38</v>
      </c>
      <c r="Q8" s="1" t="s">
        <v>39</v>
      </c>
      <c r="S8" s="3"/>
    </row>
    <row r="9" spans="2:19">
      <c r="B9" s="23"/>
      <c r="C9" s="24">
        <f>F24</f>
        <v>0.13786591123701597</v>
      </c>
      <c r="D9" s="25">
        <f>D30</f>
        <v>0.22614107883817428</v>
      </c>
      <c r="E9" s="24">
        <f>O3/P3</f>
        <v>6.9428374655647387</v>
      </c>
      <c r="F9" s="26">
        <f>(S3/F3)*365</f>
        <v>103.27548694571072</v>
      </c>
      <c r="G9" s="24">
        <f>M3/L3</f>
        <v>1.3408420488066506E-4</v>
      </c>
      <c r="H9" s="24">
        <f>R3/Q3</f>
        <v>0.1159343255374439</v>
      </c>
      <c r="I9" s="5">
        <f>D31</f>
        <v>617</v>
      </c>
      <c r="J9" s="24">
        <f>G3/L3</f>
        <v>0.15459908822740681</v>
      </c>
      <c r="K9" s="24">
        <f>H3/(Q3-P3)</f>
        <v>0</v>
      </c>
      <c r="L9" s="24">
        <f>G3/Q3</f>
        <v>0.13619182612804157</v>
      </c>
      <c r="M9" s="5">
        <f ca="1">IFERROR(__xludf.DUMMYFUNCTION("GOOGLEFINANCE(""NSE:""&amp;C3,""pe"")"),71.29)</f>
        <v>71.290000000000006</v>
      </c>
      <c r="N9" s="25">
        <f ca="1">I3/D3</f>
        <v>1.4014527845036319E-2</v>
      </c>
      <c r="O9" s="5">
        <f>(L3)/(K3/J3)</f>
        <v>562.86792452830184</v>
      </c>
      <c r="P9" s="5">
        <f ca="1">D3/O9</f>
        <v>11.006134352373291</v>
      </c>
      <c r="Q9" s="27">
        <f ca="1">T34</f>
        <v>3.1914801544027278</v>
      </c>
      <c r="R9" s="28"/>
      <c r="S9" s="29"/>
    </row>
    <row r="11" spans="2:19">
      <c r="C11" s="30" t="s">
        <v>1</v>
      </c>
      <c r="D11" s="30" t="s">
        <v>2</v>
      </c>
      <c r="E11" s="30" t="s">
        <v>40</v>
      </c>
      <c r="F11" s="30" t="s">
        <v>41</v>
      </c>
      <c r="G11" s="30" t="s">
        <v>42</v>
      </c>
    </row>
    <row r="12" spans="2:19">
      <c r="C12" s="4" t="s">
        <v>18</v>
      </c>
      <c r="D12" s="31">
        <f ca="1">IFERROR(__xludf.DUMMYFUNCTION("GOOGLEFINANCE(""NSE:""&amp;C12,""price"")"),6195)</f>
        <v>6195</v>
      </c>
      <c r="E12" s="32">
        <v>2.7E-2</v>
      </c>
      <c r="F12" s="33">
        <f ca="1">IFERROR(MAX(0.5, MIN(1,0.75 - 0.3*((D12/N17)-1))),"")</f>
        <v>0.61227032934043701</v>
      </c>
      <c r="G12" s="34">
        <f ca="1">E12*F12</f>
        <v>1.6531298892191799E-2</v>
      </c>
    </row>
    <row r="14" spans="2:19">
      <c r="B14" s="1" t="s">
        <v>43</v>
      </c>
      <c r="C14" s="1" t="s">
        <v>44</v>
      </c>
      <c r="D14" s="1" t="s">
        <v>45</v>
      </c>
      <c r="E14" s="1" t="s">
        <v>46</v>
      </c>
      <c r="F14" s="1" t="s">
        <v>7</v>
      </c>
      <c r="G14" s="30" t="s">
        <v>47</v>
      </c>
      <c r="H14" s="30" t="s">
        <v>48</v>
      </c>
      <c r="I14" s="30" t="s">
        <v>49</v>
      </c>
      <c r="J14" s="30" t="s">
        <v>50</v>
      </c>
      <c r="K14" s="30" t="s">
        <v>48</v>
      </c>
      <c r="L14" s="30" t="s">
        <v>51</v>
      </c>
      <c r="M14" s="30" t="s">
        <v>50</v>
      </c>
      <c r="N14" s="30" t="s">
        <v>52</v>
      </c>
    </row>
    <row r="15" spans="2:19">
      <c r="C15" s="35" t="s">
        <v>53</v>
      </c>
      <c r="D15" s="36">
        <f t="shared" ref="D15:G15" si="2">FV(12%,5,0,-D16,0)</f>
        <v>33466.886645593666</v>
      </c>
      <c r="E15" s="36">
        <f t="shared" si="2"/>
        <v>8508.4276277644731</v>
      </c>
      <c r="F15" s="36">
        <f t="shared" si="2"/>
        <v>320.50654293690383</v>
      </c>
      <c r="G15" s="37">
        <f t="shared" si="2"/>
        <v>1745.8511991186633</v>
      </c>
      <c r="H15" s="38">
        <f t="shared" ref="H15:H17" si="3">30*F15</f>
        <v>9615.196288107114</v>
      </c>
      <c r="I15" s="38">
        <f t="shared" ref="I15:I17" si="4">AVERAGE(H15,J15)</f>
        <v>13621.528074818412</v>
      </c>
      <c r="J15" s="38">
        <f t="shared" ref="J15:J17" si="5">55*F15</f>
        <v>17627.859861529709</v>
      </c>
      <c r="K15" s="39">
        <f t="shared" ref="K15:K17" si="6">G15*5.5</f>
        <v>9602.1815951526478</v>
      </c>
      <c r="L15" s="38">
        <f t="shared" ref="L15:L17" si="7">AVERAGE(K15,M15)</f>
        <v>13093.883993389974</v>
      </c>
      <c r="M15" s="39">
        <f t="shared" ref="M15:M17" si="8">G15*9.5</f>
        <v>16585.586391627301</v>
      </c>
      <c r="N15" s="38">
        <f t="shared" ref="N15:N17" si="9">I15*60%+L15*40%</f>
        <v>13410.470442247037</v>
      </c>
    </row>
    <row r="16" spans="2:19">
      <c r="C16" s="35" t="s">
        <v>54</v>
      </c>
      <c r="D16" s="36">
        <f>FV(D20,4,0,-D17,0)</f>
        <v>18990.010259999992</v>
      </c>
      <c r="E16" s="36">
        <f t="shared" ref="E16:E17" si="10">D16*G20</f>
        <v>4827.910335931655</v>
      </c>
      <c r="F16" s="36">
        <f>(E16*F17)/E17</f>
        <v>181.86401989592557</v>
      </c>
      <c r="G16" s="37">
        <f>FV(12%,4,0,-G17,0)</f>
        <v>990.64285646844928</v>
      </c>
      <c r="H16" s="38">
        <f t="shared" si="3"/>
        <v>5455.9205968777669</v>
      </c>
      <c r="I16" s="38">
        <f t="shared" si="4"/>
        <v>7729.2208455768359</v>
      </c>
      <c r="J16" s="38">
        <f t="shared" si="5"/>
        <v>10002.521094275906</v>
      </c>
      <c r="K16" s="39">
        <f t="shared" si="6"/>
        <v>5448.5357105764706</v>
      </c>
      <c r="L16" s="38">
        <f t="shared" si="7"/>
        <v>7429.8214235133692</v>
      </c>
      <c r="M16" s="39">
        <f t="shared" si="8"/>
        <v>9411.1071364502677</v>
      </c>
      <c r="N16" s="38">
        <f t="shared" si="9"/>
        <v>7609.4610767514496</v>
      </c>
    </row>
    <row r="17" spans="2:22">
      <c r="C17" s="35" t="s">
        <v>55</v>
      </c>
      <c r="D17" s="36">
        <f>FV(D21,1,0,-D46,0)</f>
        <v>10857.599999999999</v>
      </c>
      <c r="E17" s="36">
        <f t="shared" si="10"/>
        <v>2453.8175999999999</v>
      </c>
      <c r="F17" s="36">
        <f>FV(F21,1,0,-G46,0)</f>
        <v>92.433600000000013</v>
      </c>
      <c r="G17" s="37">
        <f>(F17*70%)+N46</f>
        <v>629.57144452830187</v>
      </c>
      <c r="H17" s="38">
        <f t="shared" si="3"/>
        <v>2773.0080000000003</v>
      </c>
      <c r="I17" s="38">
        <f t="shared" si="4"/>
        <v>3928.4280000000008</v>
      </c>
      <c r="J17" s="38">
        <f t="shared" si="5"/>
        <v>5083.8480000000009</v>
      </c>
      <c r="K17" s="39">
        <f t="shared" si="6"/>
        <v>3462.6429449056604</v>
      </c>
      <c r="L17" s="38">
        <f t="shared" si="7"/>
        <v>4721.7858339622635</v>
      </c>
      <c r="M17" s="39">
        <f t="shared" si="8"/>
        <v>5980.9287230188675</v>
      </c>
      <c r="N17" s="38">
        <f t="shared" si="9"/>
        <v>4245.7711335849053</v>
      </c>
    </row>
    <row r="19" spans="2:22">
      <c r="B19" s="1" t="s">
        <v>43</v>
      </c>
      <c r="C19" s="1" t="s">
        <v>44</v>
      </c>
      <c r="D19" s="1" t="s">
        <v>45</v>
      </c>
      <c r="E19" s="1" t="s">
        <v>46</v>
      </c>
      <c r="F19" s="1" t="s">
        <v>7</v>
      </c>
      <c r="G19" s="1" t="s">
        <v>56</v>
      </c>
    </row>
    <row r="20" spans="2:22">
      <c r="B20" s="40"/>
      <c r="C20" s="41" t="s">
        <v>57</v>
      </c>
      <c r="D20" s="42">
        <v>0.15</v>
      </c>
      <c r="E20" s="42">
        <v>0.15</v>
      </c>
      <c r="F20" s="42">
        <v>0.15</v>
      </c>
      <c r="G20" s="43">
        <f>AVERAGE(F39:F42)</f>
        <v>0.25423421419108055</v>
      </c>
    </row>
    <row r="21" spans="2:22">
      <c r="B21" s="40"/>
      <c r="C21" s="41" t="s">
        <v>58</v>
      </c>
      <c r="D21" s="42">
        <v>0.16</v>
      </c>
      <c r="E21" s="42">
        <f>(E17/E46)-1</f>
        <v>0.1199532633500684</v>
      </c>
      <c r="F21" s="42">
        <v>0.12</v>
      </c>
      <c r="G21" s="43">
        <f>H36</f>
        <v>0.22600000000000001</v>
      </c>
    </row>
    <row r="23" spans="2:22">
      <c r="B23" s="1" t="s">
        <v>59</v>
      </c>
      <c r="C23" s="1" t="s">
        <v>60</v>
      </c>
      <c r="D23" s="1" t="s">
        <v>60</v>
      </c>
      <c r="E23" s="1" t="s">
        <v>61</v>
      </c>
      <c r="F23" s="1" t="s">
        <v>20</v>
      </c>
      <c r="G23" s="28"/>
      <c r="H23" s="1" t="s">
        <v>62</v>
      </c>
      <c r="I23" s="1" t="s">
        <v>62</v>
      </c>
      <c r="J23" s="1" t="s">
        <v>63</v>
      </c>
      <c r="K23" s="1" t="s">
        <v>20</v>
      </c>
      <c r="M23" s="1" t="s">
        <v>64</v>
      </c>
      <c r="N23" s="1" t="s">
        <v>64</v>
      </c>
      <c r="O23" s="1" t="s">
        <v>65</v>
      </c>
      <c r="P23" s="1" t="s">
        <v>20</v>
      </c>
      <c r="R23" s="1" t="s">
        <v>66</v>
      </c>
      <c r="S23" s="1" t="s">
        <v>60</v>
      </c>
      <c r="T23" s="1" t="s">
        <v>61</v>
      </c>
      <c r="U23" s="1" t="s">
        <v>67</v>
      </c>
      <c r="V23" s="1" t="s">
        <v>20</v>
      </c>
    </row>
    <row r="24" spans="2:22">
      <c r="C24" s="35" t="s">
        <v>68</v>
      </c>
      <c r="D24" s="35">
        <v>2410</v>
      </c>
      <c r="E24" s="35">
        <v>2118</v>
      </c>
      <c r="F24" s="44">
        <f t="shared" ref="F24:F29" si="11">(D24/E24)^(1/1)-1</f>
        <v>0.13786591123701597</v>
      </c>
      <c r="G24" s="28"/>
      <c r="H24" s="35" t="s">
        <v>68</v>
      </c>
      <c r="I24" s="35">
        <v>2585</v>
      </c>
      <c r="J24" s="35">
        <v>2303</v>
      </c>
      <c r="K24" s="44">
        <f t="shared" ref="K24:K31" si="12">(I24/J24)^(1/1)-1</f>
        <v>0.12244897959183665</v>
      </c>
      <c r="M24" s="35" t="s">
        <v>68</v>
      </c>
      <c r="N24" s="35">
        <v>9360</v>
      </c>
      <c r="O24" s="35">
        <v>7845</v>
      </c>
      <c r="P24" s="44">
        <f t="shared" ref="P24:P29" si="13">(N24/O24)^(1/1)-1</f>
        <v>0.19311663479923524</v>
      </c>
      <c r="R24" s="35" t="s">
        <v>69</v>
      </c>
      <c r="S24" s="35">
        <v>1010</v>
      </c>
      <c r="T24" s="35">
        <v>893</v>
      </c>
      <c r="U24" s="44">
        <f t="shared" ref="U24:U31" si="14">S24/$S$31</f>
        <v>0.5623608017817372</v>
      </c>
      <c r="V24" s="44">
        <f t="shared" ref="V24:V25" si="15">(S24/T24)^(1/1)-1</f>
        <v>0.13101903695408734</v>
      </c>
    </row>
    <row r="25" spans="2:22">
      <c r="C25" s="35" t="s">
        <v>70</v>
      </c>
      <c r="D25" s="35">
        <v>1796</v>
      </c>
      <c r="E25" s="35">
        <v>1593</v>
      </c>
      <c r="F25" s="44">
        <f t="shared" si="11"/>
        <v>0.12743251726302574</v>
      </c>
      <c r="H25" s="35" t="s">
        <v>70</v>
      </c>
      <c r="I25" s="35">
        <v>1807</v>
      </c>
      <c r="J25" s="35">
        <v>1669</v>
      </c>
      <c r="K25" s="44">
        <f t="shared" si="12"/>
        <v>8.2684242061114466E-2</v>
      </c>
      <c r="M25" s="35" t="s">
        <v>70</v>
      </c>
      <c r="N25" s="35">
        <v>6796</v>
      </c>
      <c r="O25" s="35">
        <v>6021</v>
      </c>
      <c r="P25" s="44">
        <f t="shared" si="13"/>
        <v>0.12871616010629472</v>
      </c>
      <c r="R25" s="35" t="s">
        <v>71</v>
      </c>
      <c r="S25" s="35">
        <v>0</v>
      </c>
      <c r="T25" s="35">
        <v>0</v>
      </c>
      <c r="U25" s="44">
        <f t="shared" si="14"/>
        <v>0</v>
      </c>
      <c r="V25" s="44" t="e">
        <f t="shared" si="15"/>
        <v>#DIV/0!</v>
      </c>
    </row>
    <row r="26" spans="2:22">
      <c r="C26" s="35" t="s">
        <v>72</v>
      </c>
      <c r="D26" s="35">
        <v>3</v>
      </c>
      <c r="E26" s="35">
        <v>2</v>
      </c>
      <c r="F26" s="44">
        <f t="shared" si="11"/>
        <v>0.5</v>
      </c>
      <c r="H26" s="35" t="s">
        <v>72</v>
      </c>
      <c r="I26" s="35">
        <v>1</v>
      </c>
      <c r="J26" s="35">
        <v>2</v>
      </c>
      <c r="K26" s="44">
        <f t="shared" si="12"/>
        <v>-0.5</v>
      </c>
      <c r="M26" s="35" t="s">
        <v>72</v>
      </c>
      <c r="N26" s="35">
        <v>2</v>
      </c>
      <c r="O26" s="35">
        <v>3</v>
      </c>
      <c r="P26" s="44">
        <f t="shared" si="13"/>
        <v>-0.33333333333333337</v>
      </c>
      <c r="R26" s="35" t="s">
        <v>73</v>
      </c>
      <c r="S26" s="35">
        <v>-54</v>
      </c>
      <c r="T26" s="35">
        <v>-40</v>
      </c>
      <c r="U26" s="44">
        <f t="shared" si="14"/>
        <v>-3.0066815144766147E-2</v>
      </c>
      <c r="V26" s="44">
        <v>-5.86</v>
      </c>
    </row>
    <row r="27" spans="2:22">
      <c r="C27" s="35" t="s">
        <v>74</v>
      </c>
      <c r="D27" s="45">
        <v>733</v>
      </c>
      <c r="E27" s="45">
        <v>604</v>
      </c>
      <c r="F27" s="44">
        <f t="shared" si="11"/>
        <v>0.21357615894039728</v>
      </c>
      <c r="H27" s="35" t="s">
        <v>74</v>
      </c>
      <c r="I27" s="45">
        <v>864</v>
      </c>
      <c r="J27" s="45">
        <v>713</v>
      </c>
      <c r="K27" s="44">
        <f t="shared" si="12"/>
        <v>0.21178120617110796</v>
      </c>
      <c r="M27" s="35" t="s">
        <v>74</v>
      </c>
      <c r="N27" s="45">
        <v>2916</v>
      </c>
      <c r="O27" s="45">
        <v>2163</v>
      </c>
      <c r="P27" s="44">
        <f t="shared" si="13"/>
        <v>0.34812760055478509</v>
      </c>
      <c r="R27" s="35" t="s">
        <v>75</v>
      </c>
      <c r="S27" s="45">
        <v>340</v>
      </c>
      <c r="T27" s="45">
        <v>292</v>
      </c>
      <c r="U27" s="44">
        <f t="shared" si="14"/>
        <v>0.18930957683741648</v>
      </c>
      <c r="V27" s="44">
        <f t="shared" ref="V27:V31" si="16">(S27/T27)^(1/1)-1</f>
        <v>0.16438356164383561</v>
      </c>
    </row>
    <row r="28" spans="2:22">
      <c r="C28" s="35" t="s">
        <v>46</v>
      </c>
      <c r="D28" s="35">
        <v>545</v>
      </c>
      <c r="E28" s="35">
        <v>430</v>
      </c>
      <c r="F28" s="44">
        <f t="shared" si="11"/>
        <v>0.26744186046511631</v>
      </c>
      <c r="G28" s="28"/>
      <c r="H28" s="35" t="s">
        <v>46</v>
      </c>
      <c r="I28" s="35">
        <v>662</v>
      </c>
      <c r="J28" s="35">
        <v>538</v>
      </c>
      <c r="K28" s="44">
        <f t="shared" si="12"/>
        <v>0.23048327137546476</v>
      </c>
      <c r="M28" s="35" t="s">
        <v>46</v>
      </c>
      <c r="N28" s="35">
        <v>2191</v>
      </c>
      <c r="O28" s="35">
        <v>1600</v>
      </c>
      <c r="P28" s="44">
        <f t="shared" si="13"/>
        <v>0.36937500000000001</v>
      </c>
      <c r="R28" s="35" t="s">
        <v>76</v>
      </c>
      <c r="S28" s="35">
        <v>112</v>
      </c>
      <c r="T28" s="35">
        <v>97</v>
      </c>
      <c r="U28" s="44">
        <f t="shared" si="14"/>
        <v>6.2360801781737196E-2</v>
      </c>
      <c r="V28" s="44">
        <f t="shared" si="16"/>
        <v>0.15463917525773185</v>
      </c>
    </row>
    <row r="29" spans="2:22">
      <c r="C29" s="35" t="s">
        <v>7</v>
      </c>
      <c r="D29" s="35">
        <v>20.49</v>
      </c>
      <c r="E29" s="35">
        <v>16.2</v>
      </c>
      <c r="F29" s="44">
        <f t="shared" si="11"/>
        <v>0.26481481481481484</v>
      </c>
      <c r="G29" s="28"/>
      <c r="H29" s="35" t="s">
        <v>7</v>
      </c>
      <c r="I29" s="35">
        <v>24.93</v>
      </c>
      <c r="J29" s="35">
        <v>20.25</v>
      </c>
      <c r="K29" s="44">
        <f t="shared" si="12"/>
        <v>0.23111111111111104</v>
      </c>
      <c r="M29" s="35" t="s">
        <v>7</v>
      </c>
      <c r="N29" s="35">
        <v>82.53</v>
      </c>
      <c r="O29" s="35">
        <v>60.27</v>
      </c>
      <c r="P29" s="44">
        <f t="shared" si="13"/>
        <v>0.36933797909407651</v>
      </c>
      <c r="R29" s="35" t="s">
        <v>72</v>
      </c>
      <c r="S29" s="35">
        <v>3</v>
      </c>
      <c r="T29" s="35">
        <v>2</v>
      </c>
      <c r="U29" s="44">
        <f t="shared" si="14"/>
        <v>1.6703786191536749E-3</v>
      </c>
      <c r="V29" s="44">
        <f t="shared" si="16"/>
        <v>0.5</v>
      </c>
    </row>
    <row r="30" spans="2:22">
      <c r="C30" s="35" t="s">
        <v>56</v>
      </c>
      <c r="D30" s="46">
        <f t="shared" ref="D30:E30" si="17">D28/D24</f>
        <v>0.22614107883817428</v>
      </c>
      <c r="E30" s="44">
        <f t="shared" si="17"/>
        <v>0.20302171860245516</v>
      </c>
      <c r="F30" s="44">
        <f>D30-E30</f>
        <v>2.3119360235719116E-2</v>
      </c>
      <c r="H30" s="35" t="s">
        <v>56</v>
      </c>
      <c r="I30" s="44">
        <f t="shared" ref="I30:J30" si="18">I28/I24</f>
        <v>0.25609284332688587</v>
      </c>
      <c r="J30" s="44">
        <f t="shared" si="18"/>
        <v>0.233608336951802</v>
      </c>
      <c r="K30" s="44">
        <f t="shared" si="12"/>
        <v>9.6248732679959481E-2</v>
      </c>
      <c r="M30" s="35" t="s">
        <v>56</v>
      </c>
      <c r="N30" s="46">
        <f t="shared" ref="N30:O30" si="19">N28/N24</f>
        <v>0.23408119658119658</v>
      </c>
      <c r="O30" s="44">
        <f t="shared" si="19"/>
        <v>0.20395156150414276</v>
      </c>
      <c r="P30" s="44">
        <f>N30-O30</f>
        <v>3.0129635077053823E-2</v>
      </c>
      <c r="R30" s="35" t="s">
        <v>77</v>
      </c>
      <c r="S30" s="35">
        <v>385</v>
      </c>
      <c r="T30" s="35">
        <v>351</v>
      </c>
      <c r="U30" s="44">
        <f t="shared" si="14"/>
        <v>0.2143652561247216</v>
      </c>
      <c r="V30" s="44">
        <f t="shared" si="16"/>
        <v>9.6866096866096818E-2</v>
      </c>
    </row>
    <row r="31" spans="2:22">
      <c r="C31" s="35" t="s">
        <v>31</v>
      </c>
      <c r="D31" s="45">
        <f t="shared" ref="D31:E31" si="20">(D24-D25+D26)</f>
        <v>617</v>
      </c>
      <c r="E31" s="45">
        <f t="shared" si="20"/>
        <v>527</v>
      </c>
      <c r="F31" s="44">
        <f>(D31/E31)^(1/1)-1</f>
        <v>0.17077798861480087</v>
      </c>
      <c r="H31" s="35" t="s">
        <v>31</v>
      </c>
      <c r="I31" s="45">
        <f t="shared" ref="I31:J31" si="21">(I24-I25+I26)/I26</f>
        <v>779</v>
      </c>
      <c r="J31" s="45">
        <f t="shared" si="21"/>
        <v>318</v>
      </c>
      <c r="K31" s="44">
        <f t="shared" si="12"/>
        <v>1.449685534591195</v>
      </c>
      <c r="M31" s="35" t="s">
        <v>31</v>
      </c>
      <c r="N31" s="45">
        <f t="shared" ref="N31:O31" si="22">(N24-N25+N26)</f>
        <v>2566</v>
      </c>
      <c r="O31" s="45">
        <f t="shared" si="22"/>
        <v>1827</v>
      </c>
      <c r="P31" s="44">
        <f>(N31/O31)^(1/1)-1</f>
        <v>0.40448823207443896</v>
      </c>
      <c r="R31" s="47" t="s">
        <v>78</v>
      </c>
      <c r="S31" s="48">
        <f t="shared" ref="S31:T31" si="23">SUM(S24:S30)</f>
        <v>1796</v>
      </c>
      <c r="T31" s="48">
        <f t="shared" si="23"/>
        <v>1595</v>
      </c>
      <c r="U31" s="49">
        <f t="shared" si="14"/>
        <v>1</v>
      </c>
      <c r="V31" s="49">
        <f t="shared" si="16"/>
        <v>0.12601880877742944</v>
      </c>
    </row>
    <row r="33" spans="2:20">
      <c r="B33" s="1" t="s">
        <v>79</v>
      </c>
      <c r="C33" s="1" t="s">
        <v>79</v>
      </c>
      <c r="D33" s="1" t="s">
        <v>80</v>
      </c>
      <c r="E33" s="1" t="s">
        <v>81</v>
      </c>
      <c r="F33" s="1" t="s">
        <v>64</v>
      </c>
      <c r="G33" s="1" t="s">
        <v>60</v>
      </c>
      <c r="H33" s="1" t="s">
        <v>82</v>
      </c>
      <c r="J33" s="1" t="s">
        <v>83</v>
      </c>
      <c r="K33" s="1" t="s">
        <v>84</v>
      </c>
      <c r="L33" s="1" t="s">
        <v>85</v>
      </c>
      <c r="M33" s="1" t="s">
        <v>86</v>
      </c>
      <c r="N33" s="1" t="s">
        <v>87</v>
      </c>
      <c r="O33" s="1" t="s">
        <v>88</v>
      </c>
      <c r="Q33" s="50" t="s">
        <v>89</v>
      </c>
      <c r="R33" s="50" t="s">
        <v>90</v>
      </c>
      <c r="S33" s="50" t="s">
        <v>91</v>
      </c>
      <c r="T33" s="50" t="s">
        <v>39</v>
      </c>
    </row>
    <row r="34" spans="2:20">
      <c r="C34" s="35" t="s">
        <v>68</v>
      </c>
      <c r="D34" s="44">
        <v>0.21</v>
      </c>
      <c r="E34" s="44">
        <v>0.22</v>
      </c>
      <c r="F34" s="44">
        <v>0.19</v>
      </c>
      <c r="G34" s="44">
        <v>0.14000000000000001</v>
      </c>
      <c r="H34" s="44">
        <v>0.16</v>
      </c>
      <c r="J34" s="35" t="s">
        <v>7</v>
      </c>
      <c r="K34" s="35">
        <v>19.2</v>
      </c>
      <c r="L34" s="35">
        <v>22.2</v>
      </c>
      <c r="M34" s="35">
        <v>24.93</v>
      </c>
      <c r="N34" s="35">
        <v>20.49</v>
      </c>
      <c r="O34" s="51">
        <f>SUM(K34:N34)</f>
        <v>86.82</v>
      </c>
      <c r="Q34" s="52">
        <v>60.27</v>
      </c>
      <c r="R34" s="52">
        <f>O34</f>
        <v>86.82</v>
      </c>
      <c r="S34" s="53">
        <f>F17</f>
        <v>92.433600000000013</v>
      </c>
      <c r="T34" s="54">
        <f ca="1">S36/21</f>
        <v>3.1914801544027278</v>
      </c>
    </row>
    <row r="35" spans="2:20">
      <c r="C35" s="35" t="s">
        <v>46</v>
      </c>
      <c r="D35" s="44">
        <v>0.34</v>
      </c>
      <c r="E35" s="44">
        <v>0.44</v>
      </c>
      <c r="F35" s="44">
        <v>0.37</v>
      </c>
      <c r="G35" s="44">
        <v>0.27</v>
      </c>
      <c r="H35" s="44">
        <v>0.12</v>
      </c>
      <c r="Q35" s="50" t="s">
        <v>92</v>
      </c>
      <c r="R35" s="50" t="s">
        <v>93</v>
      </c>
      <c r="S35" s="50" t="s">
        <v>94</v>
      </c>
      <c r="T35" s="55"/>
    </row>
    <row r="36" spans="2:20">
      <c r="C36" s="35" t="s">
        <v>56</v>
      </c>
      <c r="D36" s="46">
        <v>0.21099999999999999</v>
      </c>
      <c r="E36" s="46">
        <v>0.22600000000000001</v>
      </c>
      <c r="F36" s="46">
        <v>0.23400000000000001</v>
      </c>
      <c r="G36" s="46">
        <v>0.22600000000000001</v>
      </c>
      <c r="H36" s="46">
        <v>0.22600000000000001</v>
      </c>
      <c r="Q36" s="53">
        <f>D4/Q34</f>
        <v>95.818815331010441</v>
      </c>
      <c r="R36" s="53">
        <f ca="1">D3/R34</f>
        <v>71.354526606772637</v>
      </c>
      <c r="S36" s="53">
        <f ca="1">D3/S34</f>
        <v>67.02108324245728</v>
      </c>
      <c r="T36" s="55"/>
    </row>
    <row r="38" spans="2:20">
      <c r="B38" s="1" t="s">
        <v>20</v>
      </c>
      <c r="C38" s="1" t="s">
        <v>95</v>
      </c>
      <c r="D38" s="1" t="s">
        <v>96</v>
      </c>
      <c r="E38" s="1" t="s">
        <v>97</v>
      </c>
      <c r="F38" s="1" t="s">
        <v>98</v>
      </c>
      <c r="G38" s="1" t="s">
        <v>7</v>
      </c>
      <c r="H38" s="1" t="s">
        <v>9</v>
      </c>
      <c r="I38" s="1" t="s">
        <v>99</v>
      </c>
      <c r="J38" s="1" t="s">
        <v>100</v>
      </c>
      <c r="K38" s="1" t="s">
        <v>101</v>
      </c>
      <c r="L38" s="1" t="s">
        <v>102</v>
      </c>
      <c r="M38" s="1" t="s">
        <v>103</v>
      </c>
      <c r="N38" s="1" t="s">
        <v>47</v>
      </c>
      <c r="O38" s="1" t="s">
        <v>104</v>
      </c>
      <c r="P38" s="1" t="s">
        <v>105</v>
      </c>
    </row>
    <row r="39" spans="2:20">
      <c r="C39" s="35" t="s">
        <v>106</v>
      </c>
      <c r="D39" s="44">
        <f t="shared" ref="D39:E39" si="24">(D46/D66)^(1/20)-1</f>
        <v>0.17611326756438062</v>
      </c>
      <c r="E39" s="44">
        <f t="shared" si="24"/>
        <v>0.1913926653662521</v>
      </c>
      <c r="F39" s="46">
        <f>MEDIAN(F46:F66)</f>
        <v>0.27086664534697791</v>
      </c>
      <c r="G39" s="44">
        <f>((4*G46)/G66)^(1/20)-1</f>
        <v>0.18930085358872462</v>
      </c>
      <c r="H39" s="44">
        <f t="shared" ref="H39:I39" si="25">(H46/H66)^(1/20)-1</f>
        <v>7.3626679179882304E-2</v>
      </c>
      <c r="I39" s="44">
        <f t="shared" si="25"/>
        <v>0.22189574984893023</v>
      </c>
      <c r="J39" s="44">
        <f t="shared" ref="J39:K39" si="26">((4*J46)/J66)^(1/20)-1</f>
        <v>0.1437669987520922</v>
      </c>
      <c r="K39" s="44">
        <f t="shared" si="26"/>
        <v>0.14629004587094818</v>
      </c>
      <c r="L39" s="45">
        <f t="shared" ref="L39:M39" si="27">MEDIAN(L46:L66)</f>
        <v>19.525117739403452</v>
      </c>
      <c r="M39" s="45">
        <f t="shared" si="27"/>
        <v>34.859584859584864</v>
      </c>
      <c r="N39" s="44">
        <f>((4*N46)/N66)^(1/20)-1</f>
        <v>0.21719097740875126</v>
      </c>
      <c r="O39" s="56">
        <f t="shared" ref="O39:P39" si="28">MEDIAN(O46:O66)</f>
        <v>5.1979233914353342</v>
      </c>
      <c r="P39" s="56">
        <f t="shared" si="28"/>
        <v>7.888880701495836</v>
      </c>
    </row>
    <row r="40" spans="2:20">
      <c r="C40" s="35" t="s">
        <v>107</v>
      </c>
      <c r="D40" s="44">
        <f t="shared" ref="D40:E40" si="29">(D46/D56)^(1/10)-1</f>
        <v>0.11587307030116656</v>
      </c>
      <c r="E40" s="44">
        <f t="shared" si="29"/>
        <v>9.9704232928947256E-2</v>
      </c>
      <c r="F40" s="46">
        <f>MEDIAN(F46:F56)</f>
        <v>0.25523632993512513</v>
      </c>
      <c r="G40" s="44">
        <f>((2*G46)/G56)^(1/10)-1</f>
        <v>9.9685513743676513E-2</v>
      </c>
      <c r="H40" s="44">
        <f t="shared" ref="H40:I40" si="30">(H46/H56)^(1/10)-1</f>
        <v>6.9771960524086296E-2</v>
      </c>
      <c r="I40" s="44">
        <f t="shared" si="30"/>
        <v>0.15703683767780308</v>
      </c>
      <c r="J40" s="44">
        <f t="shared" ref="J40:K40" si="31">((2*J46)/J56)^(1/10)-1</f>
        <v>0.18947645883715225</v>
      </c>
      <c r="K40" s="44">
        <f t="shared" si="31"/>
        <v>0.20893349571703523</v>
      </c>
      <c r="L40" s="36">
        <f t="shared" ref="L40:M40" si="32">MEDIAN(L46:L56)</f>
        <v>24.387959866220736</v>
      </c>
      <c r="M40" s="36">
        <f t="shared" si="32"/>
        <v>43.529411764705884</v>
      </c>
      <c r="N40" s="44">
        <f>((2*N46)/N56)^(1/10)-1</f>
        <v>0.15871408411261756</v>
      </c>
      <c r="O40" s="56">
        <f t="shared" ref="O40:P40" si="33">MEDIAN(O46:O56)</f>
        <v>5.3146242799080143</v>
      </c>
      <c r="P40" s="56">
        <f t="shared" si="33"/>
        <v>7.888880701495836</v>
      </c>
    </row>
    <row r="41" spans="2:20">
      <c r="C41" s="35" t="s">
        <v>108</v>
      </c>
      <c r="D41" s="44">
        <f t="shared" ref="D41:E41" si="34">(D46/D51)^(1/5)-1</f>
        <v>0.1164952504836414</v>
      </c>
      <c r="E41" s="44">
        <f t="shared" si="34"/>
        <v>9.7341205660147256E-2</v>
      </c>
      <c r="F41" s="46">
        <f>AVERAGE(F46:F51)</f>
        <v>0.2567526849010226</v>
      </c>
      <c r="G41" s="44">
        <f t="shared" ref="G41:K41" si="35">(G46/G51)^(1/5)-1</f>
        <v>9.7419358463751271E-2</v>
      </c>
      <c r="H41" s="44">
        <f t="shared" si="35"/>
        <v>0</v>
      </c>
      <c r="I41" s="44">
        <f t="shared" si="35"/>
        <v>0.15499760870991652</v>
      </c>
      <c r="J41" s="44">
        <f t="shared" si="35"/>
        <v>0.18668929580874694</v>
      </c>
      <c r="K41" s="44">
        <f t="shared" si="35"/>
        <v>0.22692053187890182</v>
      </c>
      <c r="L41" s="36">
        <f t="shared" ref="L41:M41" si="36">AVERAGE(L46:L51)</f>
        <v>37.087873269526739</v>
      </c>
      <c r="M41" s="36">
        <f t="shared" si="36"/>
        <v>59.194081103793565</v>
      </c>
      <c r="N41" s="44">
        <f>(N46/N51)^(1/5)-1</f>
        <v>0.15413630417941659</v>
      </c>
      <c r="O41" s="56">
        <f t="shared" ref="O41:P41" si="37">AVERAGE(O46:O51)</f>
        <v>6.2076854015831486</v>
      </c>
      <c r="P41" s="56">
        <f t="shared" si="37"/>
        <v>10.038643032991978</v>
      </c>
    </row>
    <row r="42" spans="2:20">
      <c r="C42" s="35" t="s">
        <v>109</v>
      </c>
      <c r="D42" s="44">
        <f t="shared" ref="D42:E42" si="38">(D46/D47)-1</f>
        <v>0.19311663479923524</v>
      </c>
      <c r="E42" s="44">
        <f t="shared" si="38"/>
        <v>0.36937500000000001</v>
      </c>
      <c r="F42" s="46">
        <f>F46</f>
        <v>0.23408119658119658</v>
      </c>
      <c r="G42" s="44">
        <f t="shared" ref="G42:K42" si="39">(G46/G47)-1</f>
        <v>0.36933797909407651</v>
      </c>
      <c r="H42" s="44">
        <f t="shared" si="39"/>
        <v>0</v>
      </c>
      <c r="I42" s="44">
        <f t="shared" si="39"/>
        <v>0.10341766533510866</v>
      </c>
      <c r="J42" s="44">
        <f t="shared" si="39"/>
        <v>5.6014692378328679E-2</v>
      </c>
      <c r="K42" s="44">
        <f t="shared" si="39"/>
        <v>0.55321782178217815</v>
      </c>
      <c r="L42" s="45">
        <f t="shared" ref="L42:M42" si="40">L46</f>
        <v>41.802980734278442</v>
      </c>
      <c r="M42" s="45">
        <f t="shared" si="40"/>
        <v>76.032957712347027</v>
      </c>
      <c r="N42" s="44">
        <f>(N46/N47)-1</f>
        <v>0.10301377938250655</v>
      </c>
      <c r="O42" s="56">
        <f t="shared" ref="O42:P42" si="41">O46</f>
        <v>6.1076224196673126</v>
      </c>
      <c r="P42" s="56">
        <f t="shared" si="41"/>
        <v>11.108791502438374</v>
      </c>
    </row>
    <row r="43" spans="2:20">
      <c r="F43" s="57"/>
    </row>
    <row r="44" spans="2:20">
      <c r="B44" s="1" t="s">
        <v>110</v>
      </c>
      <c r="C44" s="1" t="s">
        <v>44</v>
      </c>
      <c r="D44" s="1" t="s">
        <v>96</v>
      </c>
      <c r="E44" s="1" t="s">
        <v>97</v>
      </c>
      <c r="F44" s="1" t="s">
        <v>98</v>
      </c>
      <c r="G44" s="1" t="s">
        <v>7</v>
      </c>
      <c r="H44" s="1" t="s">
        <v>9</v>
      </c>
      <c r="I44" s="1" t="s">
        <v>99</v>
      </c>
      <c r="J44" s="1" t="s">
        <v>100</v>
      </c>
      <c r="K44" s="1" t="s">
        <v>101</v>
      </c>
      <c r="L44" s="1" t="s">
        <v>102</v>
      </c>
      <c r="M44" s="1" t="s">
        <v>103</v>
      </c>
      <c r="N44" s="1" t="s">
        <v>47</v>
      </c>
      <c r="O44" s="1" t="s">
        <v>104</v>
      </c>
      <c r="P44" s="1" t="s">
        <v>105</v>
      </c>
    </row>
    <row r="45" spans="2:20">
      <c r="B45" s="35"/>
      <c r="C45" s="58" t="s">
        <v>111</v>
      </c>
      <c r="D45" s="35">
        <f>D46+D24-E24</f>
        <v>9652</v>
      </c>
      <c r="E45" s="35">
        <f>E46+D28-E28</f>
        <v>2306</v>
      </c>
      <c r="F45" s="59">
        <f t="shared" ref="F45:F70" si="42">E45/D45</f>
        <v>0.23891421467053461</v>
      </c>
      <c r="G45" s="56">
        <f>O34</f>
        <v>86.82</v>
      </c>
      <c r="H45" s="35">
        <v>53</v>
      </c>
      <c r="I45" s="60">
        <v>14916</v>
      </c>
      <c r="J45" s="61">
        <v>4955</v>
      </c>
      <c r="K45" s="61">
        <v>6862</v>
      </c>
      <c r="L45" s="62">
        <f t="shared" ref="L45:L67" si="43">J45/G45</f>
        <v>57.072103202027186</v>
      </c>
      <c r="M45" s="62">
        <f t="shared" ref="M45:M67" si="44">K45/G45</f>
        <v>79.037088228518783</v>
      </c>
      <c r="N45" s="45">
        <f t="shared" ref="N45:N67" si="45">(H45+I45)/(H45/2)</f>
        <v>564.86792452830184</v>
      </c>
      <c r="O45" s="56">
        <f t="shared" ref="O45:O67" si="46">J45/N45</f>
        <v>8.7719620549134891</v>
      </c>
      <c r="P45" s="56">
        <f t="shared" ref="P45:P67" si="47">K45/N45</f>
        <v>12.147972476451335</v>
      </c>
    </row>
    <row r="46" spans="2:20">
      <c r="B46" s="35"/>
      <c r="C46" s="58" t="s">
        <v>112</v>
      </c>
      <c r="D46" s="35">
        <v>9360</v>
      </c>
      <c r="E46" s="35">
        <v>2191</v>
      </c>
      <c r="F46" s="59">
        <f t="shared" si="42"/>
        <v>0.23408119658119658</v>
      </c>
      <c r="G46" s="56">
        <v>82.53</v>
      </c>
      <c r="H46" s="35">
        <v>53</v>
      </c>
      <c r="I46" s="60">
        <v>14916</v>
      </c>
      <c r="J46" s="61">
        <v>3450</v>
      </c>
      <c r="K46" s="61">
        <v>6275</v>
      </c>
      <c r="L46" s="62">
        <f t="shared" si="43"/>
        <v>41.802980734278442</v>
      </c>
      <c r="M46" s="62">
        <f t="shared" si="44"/>
        <v>76.032957712347027</v>
      </c>
      <c r="N46" s="45">
        <f t="shared" si="45"/>
        <v>564.86792452830184</v>
      </c>
      <c r="O46" s="56">
        <f t="shared" si="46"/>
        <v>6.1076224196673126</v>
      </c>
      <c r="P46" s="56">
        <f t="shared" si="47"/>
        <v>11.108791502438374</v>
      </c>
    </row>
    <row r="47" spans="2:20">
      <c r="B47" s="35"/>
      <c r="C47" s="58" t="s">
        <v>113</v>
      </c>
      <c r="D47" s="35">
        <v>7845</v>
      </c>
      <c r="E47" s="35">
        <v>1600</v>
      </c>
      <c r="F47" s="59">
        <f t="shared" si="42"/>
        <v>0.20395156150414276</v>
      </c>
      <c r="G47" s="56">
        <v>60.27</v>
      </c>
      <c r="H47" s="35">
        <v>53</v>
      </c>
      <c r="I47" s="60">
        <v>13518</v>
      </c>
      <c r="J47" s="61">
        <v>3267</v>
      </c>
      <c r="K47" s="61">
        <v>4040</v>
      </c>
      <c r="L47" s="62">
        <f t="shared" si="43"/>
        <v>54.206072672971622</v>
      </c>
      <c r="M47" s="62">
        <f t="shared" si="44"/>
        <v>67.031690725070519</v>
      </c>
      <c r="N47" s="45">
        <f t="shared" si="45"/>
        <v>512.11320754716985</v>
      </c>
      <c r="O47" s="56">
        <f t="shared" si="46"/>
        <v>6.3794488246997272</v>
      </c>
      <c r="P47" s="56">
        <f t="shared" si="47"/>
        <v>7.888880701495836</v>
      </c>
    </row>
    <row r="48" spans="2:20">
      <c r="B48" s="35"/>
      <c r="C48" s="58" t="s">
        <v>114</v>
      </c>
      <c r="D48" s="35">
        <v>7767</v>
      </c>
      <c r="E48" s="35">
        <v>1823</v>
      </c>
      <c r="F48" s="59">
        <f t="shared" si="42"/>
        <v>0.23471095661130423</v>
      </c>
      <c r="G48" s="56">
        <v>68.69</v>
      </c>
      <c r="H48" s="35">
        <v>53</v>
      </c>
      <c r="I48" s="60">
        <v>12714</v>
      </c>
      <c r="J48" s="61">
        <v>2740</v>
      </c>
      <c r="K48" s="61">
        <v>4640</v>
      </c>
      <c r="L48" s="62">
        <f t="shared" si="43"/>
        <v>39.889357985150681</v>
      </c>
      <c r="M48" s="62">
        <f t="shared" si="44"/>
        <v>67.549861697481447</v>
      </c>
      <c r="N48" s="45">
        <f t="shared" si="45"/>
        <v>481.77358490566036</v>
      </c>
      <c r="O48" s="56">
        <f t="shared" si="46"/>
        <v>5.6873188689590348</v>
      </c>
      <c r="P48" s="56">
        <f t="shared" si="47"/>
        <v>9.6310801284561762</v>
      </c>
    </row>
    <row r="49" spans="1:19">
      <c r="B49" s="35"/>
      <c r="C49" s="58" t="s">
        <v>115</v>
      </c>
      <c r="D49" s="35">
        <v>8960</v>
      </c>
      <c r="E49" s="35">
        <v>2960</v>
      </c>
      <c r="F49" s="59">
        <f t="shared" si="42"/>
        <v>0.33035714285714285</v>
      </c>
      <c r="G49" s="56">
        <v>111.52</v>
      </c>
      <c r="H49" s="35">
        <v>53</v>
      </c>
      <c r="I49" s="60">
        <v>11675</v>
      </c>
      <c r="J49" s="61">
        <v>3788</v>
      </c>
      <c r="K49" s="61">
        <v>5425</v>
      </c>
      <c r="L49" s="62">
        <f t="shared" si="43"/>
        <v>33.967001434720231</v>
      </c>
      <c r="M49" s="62">
        <f t="shared" si="44"/>
        <v>48.645982783357248</v>
      </c>
      <c r="N49" s="45">
        <f t="shared" si="45"/>
        <v>442.56603773584908</v>
      </c>
      <c r="O49" s="56">
        <f t="shared" si="46"/>
        <v>8.5591746248294669</v>
      </c>
      <c r="P49" s="56">
        <f t="shared" si="47"/>
        <v>12.258057639836288</v>
      </c>
      <c r="R49" s="1" t="s">
        <v>116</v>
      </c>
      <c r="S49" s="1">
        <v>2022</v>
      </c>
    </row>
    <row r="50" spans="1:19">
      <c r="A50" s="63" t="s">
        <v>117</v>
      </c>
      <c r="B50" s="35"/>
      <c r="C50" s="58" t="s">
        <v>118</v>
      </c>
      <c r="D50" s="35">
        <v>7031</v>
      </c>
      <c r="E50" s="35">
        <v>1984</v>
      </c>
      <c r="F50" s="59">
        <f t="shared" si="42"/>
        <v>0.28217892191722371</v>
      </c>
      <c r="G50" s="56">
        <v>74.75</v>
      </c>
      <c r="H50" s="35">
        <v>53</v>
      </c>
      <c r="I50" s="60">
        <v>9241</v>
      </c>
      <c r="J50" s="61">
        <v>1823</v>
      </c>
      <c r="K50" s="61">
        <v>3915</v>
      </c>
      <c r="L50" s="62">
        <f t="shared" si="43"/>
        <v>24.387959866220736</v>
      </c>
      <c r="M50" s="62">
        <f t="shared" si="44"/>
        <v>52.374581939799334</v>
      </c>
      <c r="N50" s="45">
        <f t="shared" si="45"/>
        <v>350.71698113207549</v>
      </c>
      <c r="O50" s="56">
        <f t="shared" si="46"/>
        <v>5.1979233914353342</v>
      </c>
      <c r="P50" s="56">
        <f t="shared" si="47"/>
        <v>11.162846998063266</v>
      </c>
      <c r="R50" s="35" t="s">
        <v>119</v>
      </c>
      <c r="S50" s="44">
        <v>0.52</v>
      </c>
    </row>
    <row r="51" spans="1:19">
      <c r="B51" s="35"/>
      <c r="C51" s="58" t="s">
        <v>120</v>
      </c>
      <c r="D51" s="35">
        <v>5395</v>
      </c>
      <c r="E51" s="35">
        <v>1377</v>
      </c>
      <c r="F51" s="59">
        <f t="shared" si="42"/>
        <v>0.25523632993512513</v>
      </c>
      <c r="G51" s="56">
        <v>51.85</v>
      </c>
      <c r="H51" s="35">
        <v>53</v>
      </c>
      <c r="I51" s="60">
        <v>7256.83</v>
      </c>
      <c r="J51" s="61">
        <v>1466</v>
      </c>
      <c r="K51" s="61">
        <v>2257</v>
      </c>
      <c r="L51" s="62">
        <f t="shared" si="43"/>
        <v>28.273866923818709</v>
      </c>
      <c r="M51" s="62">
        <f t="shared" si="44"/>
        <v>43.529411764705884</v>
      </c>
      <c r="N51" s="45">
        <f t="shared" si="45"/>
        <v>275.84264150943397</v>
      </c>
      <c r="O51" s="56">
        <f t="shared" si="46"/>
        <v>5.3146242799080143</v>
      </c>
      <c r="P51" s="56">
        <f t="shared" si="47"/>
        <v>8.1822012276619294</v>
      </c>
      <c r="R51" s="35" t="s">
        <v>121</v>
      </c>
      <c r="S51" s="44">
        <v>0.18</v>
      </c>
    </row>
    <row r="52" spans="1:19">
      <c r="B52" s="64"/>
      <c r="C52" s="58" t="s">
        <v>122</v>
      </c>
      <c r="D52" s="64">
        <v>5102</v>
      </c>
      <c r="E52" s="64">
        <v>1353</v>
      </c>
      <c r="F52" s="59">
        <f t="shared" si="42"/>
        <v>0.26519012152097216</v>
      </c>
      <c r="G52" s="65">
        <v>50.96</v>
      </c>
      <c r="H52" s="35">
        <v>53</v>
      </c>
      <c r="I52" s="60">
        <v>6896.23</v>
      </c>
      <c r="J52" s="66">
        <v>995</v>
      </c>
      <c r="K52" s="66">
        <v>1767</v>
      </c>
      <c r="L52" s="62">
        <f t="shared" si="43"/>
        <v>19.525117739403452</v>
      </c>
      <c r="M52" s="62">
        <f t="shared" si="44"/>
        <v>34.674254317111462</v>
      </c>
      <c r="N52" s="45">
        <f t="shared" si="45"/>
        <v>262.23509433962261</v>
      </c>
      <c r="O52" s="56">
        <f t="shared" si="46"/>
        <v>3.7943052683534728</v>
      </c>
      <c r="P52" s="56">
        <f t="shared" si="47"/>
        <v>6.7382285519402876</v>
      </c>
      <c r="R52" s="35" t="s">
        <v>123</v>
      </c>
      <c r="S52" s="44">
        <v>0.21</v>
      </c>
    </row>
    <row r="53" spans="1:19">
      <c r="B53" s="64"/>
      <c r="C53" s="58" t="s">
        <v>124</v>
      </c>
      <c r="D53" s="64">
        <v>3949</v>
      </c>
      <c r="E53" s="64">
        <v>870</v>
      </c>
      <c r="F53" s="59">
        <f t="shared" si="42"/>
        <v>0.2203089389718916</v>
      </c>
      <c r="G53" s="65">
        <v>32.76</v>
      </c>
      <c r="H53" s="35">
        <v>53</v>
      </c>
      <c r="I53" s="60">
        <v>5862.48</v>
      </c>
      <c r="J53" s="66">
        <v>533</v>
      </c>
      <c r="K53" s="66">
        <v>1142</v>
      </c>
      <c r="L53" s="62">
        <f t="shared" si="43"/>
        <v>16.269841269841272</v>
      </c>
      <c r="M53" s="62">
        <f t="shared" si="44"/>
        <v>34.859584859584864</v>
      </c>
      <c r="N53" s="45">
        <f t="shared" si="45"/>
        <v>223.22566037735848</v>
      </c>
      <c r="O53" s="56">
        <f t="shared" si="46"/>
        <v>2.3877183254782368</v>
      </c>
      <c r="P53" s="56">
        <f t="shared" si="47"/>
        <v>5.115899301493708</v>
      </c>
      <c r="R53" s="35" t="s">
        <v>125</v>
      </c>
      <c r="S53" s="44">
        <v>0.09</v>
      </c>
    </row>
    <row r="54" spans="1:19">
      <c r="B54" s="64"/>
      <c r="C54" s="58" t="s">
        <v>126</v>
      </c>
      <c r="D54" s="64">
        <v>4142</v>
      </c>
      <c r="E54" s="64">
        <v>1053</v>
      </c>
      <c r="F54" s="59">
        <f t="shared" si="42"/>
        <v>0.25422501207146309</v>
      </c>
      <c r="G54" s="65">
        <v>39.68</v>
      </c>
      <c r="H54" s="35">
        <v>53</v>
      </c>
      <c r="I54" s="60">
        <v>5304.3</v>
      </c>
      <c r="J54" s="66">
        <v>612</v>
      </c>
      <c r="K54" s="66">
        <v>1380</v>
      </c>
      <c r="L54" s="62">
        <f t="shared" si="43"/>
        <v>15.423387096774194</v>
      </c>
      <c r="M54" s="62">
        <f t="shared" si="44"/>
        <v>34.778225806451616</v>
      </c>
      <c r="N54" s="45">
        <f t="shared" si="45"/>
        <v>202.1622641509434</v>
      </c>
      <c r="O54" s="56">
        <f t="shared" si="46"/>
        <v>3.0272712000447988</v>
      </c>
      <c r="P54" s="56">
        <f t="shared" si="47"/>
        <v>6.8261997648068986</v>
      </c>
      <c r="R54" s="35"/>
    </row>
    <row r="55" spans="1:19">
      <c r="B55" s="64" t="s">
        <v>127</v>
      </c>
      <c r="C55" s="58" t="s">
        <v>128</v>
      </c>
      <c r="D55" s="64">
        <v>3816</v>
      </c>
      <c r="E55" s="64">
        <v>1108</v>
      </c>
      <c r="F55" s="59">
        <f t="shared" si="42"/>
        <v>0.29035639412997905</v>
      </c>
      <c r="G55" s="65">
        <v>41.73</v>
      </c>
      <c r="H55" s="35">
        <v>53</v>
      </c>
      <c r="I55" s="60">
        <v>4240.21</v>
      </c>
      <c r="J55" s="66">
        <v>918</v>
      </c>
      <c r="K55" s="66">
        <v>1242</v>
      </c>
      <c r="L55" s="62">
        <f t="shared" si="43"/>
        <v>21.998562185478075</v>
      </c>
      <c r="M55" s="62">
        <f t="shared" si="44"/>
        <v>29.7627606038821</v>
      </c>
      <c r="N55" s="45">
        <f t="shared" si="45"/>
        <v>162.00792452830188</v>
      </c>
      <c r="O55" s="56">
        <f t="shared" si="46"/>
        <v>5.6663894847911003</v>
      </c>
      <c r="P55" s="56">
        <f t="shared" si="47"/>
        <v>7.6662916558938417</v>
      </c>
    </row>
    <row r="56" spans="1:19">
      <c r="B56" s="64"/>
      <c r="C56" s="58" t="s">
        <v>129</v>
      </c>
      <c r="D56" s="64">
        <v>3127</v>
      </c>
      <c r="E56" s="64">
        <v>847</v>
      </c>
      <c r="F56" s="59">
        <f t="shared" si="42"/>
        <v>0.27086664534697791</v>
      </c>
      <c r="G56" s="65">
        <v>63.82</v>
      </c>
      <c r="H56" s="35">
        <v>27</v>
      </c>
      <c r="I56" s="60">
        <v>3468.81</v>
      </c>
      <c r="J56" s="66">
        <v>1217</v>
      </c>
      <c r="K56" s="66">
        <v>1882</v>
      </c>
      <c r="L56" s="62">
        <f t="shared" si="43"/>
        <v>19.069257286117203</v>
      </c>
      <c r="M56" s="62">
        <f t="shared" si="44"/>
        <v>29.489188342212472</v>
      </c>
      <c r="N56" s="45">
        <f t="shared" si="45"/>
        <v>258.94888888888886</v>
      </c>
      <c r="O56" s="56">
        <f t="shared" si="46"/>
        <v>4.6997691522136504</v>
      </c>
      <c r="P56" s="56">
        <f t="shared" si="47"/>
        <v>7.2678435040806004</v>
      </c>
    </row>
    <row r="57" spans="1:19">
      <c r="B57" s="64"/>
      <c r="C57" s="58" t="s">
        <v>130</v>
      </c>
      <c r="D57" s="64">
        <v>2514</v>
      </c>
      <c r="E57" s="64">
        <v>792</v>
      </c>
      <c r="F57" s="59">
        <f t="shared" si="42"/>
        <v>0.31503579952267302</v>
      </c>
      <c r="G57" s="65">
        <v>59.65</v>
      </c>
      <c r="H57" s="35">
        <v>27</v>
      </c>
      <c r="I57" s="60">
        <v>2936.8</v>
      </c>
      <c r="J57" s="66">
        <v>905</v>
      </c>
      <c r="K57" s="66">
        <v>1459</v>
      </c>
      <c r="L57" s="62">
        <f t="shared" si="43"/>
        <v>15.171835708298408</v>
      </c>
      <c r="M57" s="62">
        <f t="shared" si="44"/>
        <v>24.459346186085501</v>
      </c>
      <c r="N57" s="45">
        <f t="shared" si="45"/>
        <v>219.54074074074074</v>
      </c>
      <c r="O57" s="56">
        <f t="shared" si="46"/>
        <v>4.1222417167150276</v>
      </c>
      <c r="P57" s="56">
        <f t="shared" si="47"/>
        <v>6.6456913421958292</v>
      </c>
    </row>
    <row r="58" spans="1:19">
      <c r="B58" s="64"/>
      <c r="C58" s="58" t="s">
        <v>131</v>
      </c>
      <c r="D58" s="64">
        <v>2129</v>
      </c>
      <c r="E58" s="64">
        <v>611</v>
      </c>
      <c r="F58" s="59">
        <f t="shared" si="42"/>
        <v>0.2869891968060122</v>
      </c>
      <c r="G58" s="65">
        <v>46.06</v>
      </c>
      <c r="H58" s="35">
        <v>27</v>
      </c>
      <c r="I58" s="60">
        <v>2474.04</v>
      </c>
      <c r="J58" s="66">
        <v>752</v>
      </c>
      <c r="K58" s="66">
        <v>1233</v>
      </c>
      <c r="L58" s="62">
        <f t="shared" si="43"/>
        <v>16.326530612244898</v>
      </c>
      <c r="M58" s="62">
        <f t="shared" si="44"/>
        <v>26.769431176726009</v>
      </c>
      <c r="N58" s="45">
        <f t="shared" si="45"/>
        <v>185.26222222222222</v>
      </c>
      <c r="O58" s="56">
        <f t="shared" si="46"/>
        <v>4.0591114096535845</v>
      </c>
      <c r="P58" s="56">
        <f t="shared" si="47"/>
        <v>6.655431340562326</v>
      </c>
    </row>
    <row r="59" spans="1:19">
      <c r="B59" s="64"/>
      <c r="C59" s="58" t="s">
        <v>132</v>
      </c>
      <c r="D59" s="64">
        <v>1845</v>
      </c>
      <c r="E59" s="64">
        <v>546</v>
      </c>
      <c r="F59" s="59">
        <f t="shared" si="42"/>
        <v>0.29593495934959352</v>
      </c>
      <c r="G59" s="65">
        <v>41.15</v>
      </c>
      <c r="H59" s="35">
        <v>27</v>
      </c>
      <c r="I59" s="60">
        <v>2104.9699999999998</v>
      </c>
      <c r="J59" s="66">
        <v>668</v>
      </c>
      <c r="K59" s="66">
        <v>843</v>
      </c>
      <c r="L59" s="62">
        <f t="shared" si="43"/>
        <v>16.233292831105711</v>
      </c>
      <c r="M59" s="62">
        <f t="shared" si="44"/>
        <v>20.486026731470233</v>
      </c>
      <c r="N59" s="45">
        <f t="shared" si="45"/>
        <v>157.92370370370369</v>
      </c>
      <c r="O59" s="56">
        <f t="shared" si="46"/>
        <v>4.2298906645027845</v>
      </c>
      <c r="P59" s="56">
        <f t="shared" si="47"/>
        <v>5.3380207038560581</v>
      </c>
    </row>
    <row r="60" spans="1:19">
      <c r="B60" s="64"/>
      <c r="C60" s="58" t="s">
        <v>133</v>
      </c>
      <c r="D60" s="64">
        <v>1319</v>
      </c>
      <c r="E60" s="64">
        <v>436</v>
      </c>
      <c r="F60" s="59">
        <f t="shared" si="42"/>
        <v>0.33055344958301741</v>
      </c>
      <c r="G60" s="65">
        <v>32.9</v>
      </c>
      <c r="H60" s="35">
        <v>27</v>
      </c>
      <c r="I60" s="60">
        <v>1770.95</v>
      </c>
      <c r="J60" s="66">
        <v>582</v>
      </c>
      <c r="K60" s="66">
        <v>784</v>
      </c>
      <c r="L60" s="62">
        <f t="shared" si="43"/>
        <v>17.689969604863222</v>
      </c>
      <c r="M60" s="62">
        <f t="shared" si="44"/>
        <v>23.829787234042556</v>
      </c>
      <c r="N60" s="45">
        <f t="shared" si="45"/>
        <v>133.18148148148148</v>
      </c>
      <c r="O60" s="56">
        <f t="shared" si="46"/>
        <v>4.36997691815679</v>
      </c>
      <c r="P60" s="56">
        <f t="shared" si="47"/>
        <v>5.8867043021218608</v>
      </c>
    </row>
    <row r="61" spans="1:19">
      <c r="B61" s="64" t="s">
        <v>127</v>
      </c>
      <c r="C61" s="58" t="s">
        <v>134</v>
      </c>
      <c r="D61" s="64">
        <v>947</v>
      </c>
      <c r="E61" s="64">
        <v>344</v>
      </c>
      <c r="F61" s="59">
        <f t="shared" si="42"/>
        <v>0.36325237592397042</v>
      </c>
      <c r="G61" s="65">
        <v>26.4</v>
      </c>
      <c r="H61" s="35">
        <v>26.4</v>
      </c>
      <c r="I61" s="60">
        <v>1516</v>
      </c>
      <c r="J61" s="66">
        <v>417</v>
      </c>
      <c r="K61" s="66">
        <v>715</v>
      </c>
      <c r="L61" s="62">
        <f t="shared" si="43"/>
        <v>15.795454545454547</v>
      </c>
      <c r="M61" s="62">
        <f t="shared" si="44"/>
        <v>27.083333333333336</v>
      </c>
      <c r="N61" s="45">
        <f t="shared" si="45"/>
        <v>116.84848484848486</v>
      </c>
      <c r="O61" s="56">
        <f t="shared" si="46"/>
        <v>3.568724066390041</v>
      </c>
      <c r="P61" s="56">
        <f t="shared" si="47"/>
        <v>6.1190352697095429</v>
      </c>
    </row>
    <row r="62" spans="1:19">
      <c r="B62" s="64"/>
      <c r="C62" s="58" t="s">
        <v>135</v>
      </c>
      <c r="D62" s="64">
        <v>1204</v>
      </c>
      <c r="E62" s="64">
        <v>425</v>
      </c>
      <c r="F62" s="59">
        <f t="shared" si="42"/>
        <v>0.35299003322259137</v>
      </c>
      <c r="G62" s="65">
        <v>65.59</v>
      </c>
      <c r="H62" s="35">
        <v>12.9</v>
      </c>
      <c r="I62" s="60">
        <v>1228.43</v>
      </c>
      <c r="J62" s="66">
        <v>765</v>
      </c>
      <c r="K62" s="66">
        <v>1635</v>
      </c>
      <c r="L62" s="62">
        <f t="shared" si="43"/>
        <v>11.663363317578899</v>
      </c>
      <c r="M62" s="62">
        <f t="shared" si="44"/>
        <v>24.927580423845097</v>
      </c>
      <c r="N62" s="45">
        <f t="shared" si="45"/>
        <v>192.45426356589149</v>
      </c>
      <c r="O62" s="56">
        <f t="shared" si="46"/>
        <v>3.9749703946573427</v>
      </c>
      <c r="P62" s="56">
        <f t="shared" si="47"/>
        <v>8.4955249611303998</v>
      </c>
    </row>
    <row r="63" spans="1:19">
      <c r="B63" s="64"/>
      <c r="C63" s="58" t="s">
        <v>136</v>
      </c>
      <c r="D63" s="64">
        <v>1047</v>
      </c>
      <c r="E63" s="64">
        <v>348</v>
      </c>
      <c r="F63" s="59">
        <f t="shared" si="42"/>
        <v>0.33237822349570201</v>
      </c>
      <c r="G63" s="65">
        <v>54.77</v>
      </c>
      <c r="H63" s="35">
        <v>12.9</v>
      </c>
      <c r="I63" s="67">
        <v>848</v>
      </c>
      <c r="J63" s="66">
        <v>990</v>
      </c>
      <c r="K63" s="66">
        <v>7180</v>
      </c>
      <c r="L63" s="62">
        <f t="shared" si="43"/>
        <v>18.075588825999635</v>
      </c>
      <c r="M63" s="62">
        <f t="shared" si="44"/>
        <v>131.09366441482564</v>
      </c>
      <c r="N63" s="45">
        <f t="shared" si="45"/>
        <v>133.47286821705427</v>
      </c>
      <c r="O63" s="56">
        <f t="shared" si="46"/>
        <v>7.4172377744221158</v>
      </c>
      <c r="P63" s="56">
        <f t="shared" si="47"/>
        <v>53.793704262980597</v>
      </c>
    </row>
    <row r="64" spans="1:19">
      <c r="B64" s="64"/>
      <c r="C64" s="58" t="s">
        <v>137</v>
      </c>
      <c r="D64" s="64">
        <v>738</v>
      </c>
      <c r="E64" s="64">
        <v>192</v>
      </c>
      <c r="F64" s="59">
        <f t="shared" si="42"/>
        <v>0.26016260162601629</v>
      </c>
      <c r="G64" s="65">
        <v>29.9</v>
      </c>
      <c r="H64" s="35">
        <v>12.9</v>
      </c>
      <c r="I64" s="67">
        <v>529</v>
      </c>
      <c r="J64" s="66">
        <v>1118</v>
      </c>
      <c r="K64" s="66">
        <v>3541</v>
      </c>
      <c r="L64" s="62">
        <f t="shared" si="43"/>
        <v>37.391304347826086</v>
      </c>
      <c r="M64" s="62">
        <f t="shared" si="44"/>
        <v>118.42809364548495</v>
      </c>
      <c r="N64" s="45">
        <f t="shared" si="45"/>
        <v>84.015503875968989</v>
      </c>
      <c r="O64" s="56">
        <f t="shared" si="46"/>
        <v>13.30706772467245</v>
      </c>
      <c r="P64" s="56">
        <f t="shared" si="47"/>
        <v>42.146982838162025</v>
      </c>
    </row>
    <row r="65" spans="2:16">
      <c r="B65" s="64"/>
      <c r="C65" s="58" t="s">
        <v>138</v>
      </c>
      <c r="D65" s="64">
        <v>392</v>
      </c>
      <c r="E65" s="64">
        <v>70.400000000000006</v>
      </c>
      <c r="F65" s="59">
        <f t="shared" si="42"/>
        <v>0.17959183673469389</v>
      </c>
      <c r="G65" s="65">
        <v>11</v>
      </c>
      <c r="H65" s="35">
        <v>12.8</v>
      </c>
      <c r="I65" s="67">
        <v>328</v>
      </c>
      <c r="J65" s="66">
        <v>901</v>
      </c>
      <c r="K65" s="66">
        <v>1920</v>
      </c>
      <c r="L65" s="62">
        <f t="shared" si="43"/>
        <v>81.909090909090907</v>
      </c>
      <c r="M65" s="62">
        <f t="shared" si="44"/>
        <v>174.54545454545453</v>
      </c>
      <c r="N65" s="45">
        <f t="shared" si="45"/>
        <v>53.25</v>
      </c>
      <c r="O65" s="56">
        <f t="shared" si="46"/>
        <v>16.920187793427232</v>
      </c>
      <c r="P65" s="56">
        <f t="shared" si="47"/>
        <v>36.056338028169016</v>
      </c>
    </row>
    <row r="66" spans="2:16">
      <c r="B66" s="64"/>
      <c r="C66" s="58" t="s">
        <v>139</v>
      </c>
      <c r="D66" s="64">
        <v>365</v>
      </c>
      <c r="E66" s="64">
        <v>66</v>
      </c>
      <c r="F66" s="59">
        <f t="shared" si="42"/>
        <v>0.18082191780821918</v>
      </c>
      <c r="G66" s="65">
        <v>10.3</v>
      </c>
      <c r="H66" s="35">
        <v>12.8</v>
      </c>
      <c r="I66" s="67">
        <v>271</v>
      </c>
      <c r="J66" s="66">
        <v>940</v>
      </c>
      <c r="K66" s="66">
        <v>1636</v>
      </c>
      <c r="L66" s="62">
        <f t="shared" si="43"/>
        <v>91.262135922330089</v>
      </c>
      <c r="M66" s="62">
        <f t="shared" si="44"/>
        <v>158.83495145631068</v>
      </c>
      <c r="N66" s="45">
        <f t="shared" si="45"/>
        <v>44.34375</v>
      </c>
      <c r="O66" s="56">
        <f t="shared" si="46"/>
        <v>21.198026779422129</v>
      </c>
      <c r="P66" s="56">
        <f t="shared" si="47"/>
        <v>36.893587033121918</v>
      </c>
    </row>
    <row r="67" spans="2:16">
      <c r="B67" s="64"/>
      <c r="C67" s="58" t="s">
        <v>140</v>
      </c>
      <c r="D67" s="64">
        <v>317</v>
      </c>
      <c r="E67" s="64">
        <v>72.8</v>
      </c>
      <c r="F67" s="59">
        <f t="shared" si="42"/>
        <v>0.22965299684542587</v>
      </c>
      <c r="G67" s="65">
        <v>11.37</v>
      </c>
      <c r="H67" s="35">
        <v>12.8</v>
      </c>
      <c r="I67" s="67">
        <v>216</v>
      </c>
      <c r="J67" s="68">
        <v>1540</v>
      </c>
      <c r="K67" s="66">
        <v>2045</v>
      </c>
      <c r="L67" s="62">
        <f t="shared" si="43"/>
        <v>135.44415127528586</v>
      </c>
      <c r="M67" s="62">
        <f t="shared" si="44"/>
        <v>179.85927880386984</v>
      </c>
      <c r="N67" s="45">
        <f t="shared" si="45"/>
        <v>35.75</v>
      </c>
      <c r="O67" s="56">
        <f t="shared" si="46"/>
        <v>43.07692307692308</v>
      </c>
      <c r="P67" s="56">
        <f t="shared" si="47"/>
        <v>57.2027972027972</v>
      </c>
    </row>
    <row r="68" spans="2:16">
      <c r="B68" s="64" t="s">
        <v>141</v>
      </c>
      <c r="C68" s="58" t="s">
        <v>142</v>
      </c>
      <c r="D68" s="64">
        <v>247</v>
      </c>
      <c r="E68" s="64">
        <v>54.9</v>
      </c>
      <c r="F68" s="59">
        <f t="shared" si="42"/>
        <v>0.22226720647773279</v>
      </c>
      <c r="G68" s="65">
        <v>8.57</v>
      </c>
      <c r="H68" s="35">
        <v>12.8</v>
      </c>
      <c r="I68" s="67">
        <v>155</v>
      </c>
      <c r="J68" s="35"/>
      <c r="K68" s="35"/>
      <c r="L68" s="35"/>
      <c r="M68" s="64"/>
      <c r="N68" s="35"/>
      <c r="O68" s="35"/>
      <c r="P68" s="35"/>
    </row>
    <row r="69" spans="2:16">
      <c r="B69" s="64"/>
      <c r="C69" s="58" t="s">
        <v>143</v>
      </c>
      <c r="D69" s="64">
        <v>220</v>
      </c>
      <c r="E69" s="64">
        <v>36.6</v>
      </c>
      <c r="F69" s="59">
        <f t="shared" si="42"/>
        <v>0.16636363636363638</v>
      </c>
      <c r="G69" s="65">
        <v>6.33</v>
      </c>
      <c r="H69" s="35">
        <v>11.6</v>
      </c>
      <c r="I69" s="67">
        <v>95</v>
      </c>
      <c r="J69" s="35"/>
      <c r="K69" s="35"/>
      <c r="L69" s="35"/>
      <c r="M69" s="64"/>
      <c r="N69" s="35"/>
      <c r="O69" s="35"/>
      <c r="P69" s="35"/>
    </row>
    <row r="70" spans="2:16">
      <c r="B70" s="64"/>
      <c r="C70" s="58" t="s">
        <v>144</v>
      </c>
      <c r="D70" s="64">
        <v>188</v>
      </c>
      <c r="E70" s="64">
        <v>26.3</v>
      </c>
      <c r="F70" s="59">
        <f t="shared" si="42"/>
        <v>0.13989361702127659</v>
      </c>
      <c r="G70" s="65">
        <v>4.55</v>
      </c>
      <c r="H70" s="35">
        <v>11.6</v>
      </c>
      <c r="I70" s="67">
        <v>81.5</v>
      </c>
      <c r="J70" s="35"/>
      <c r="K70" s="35"/>
      <c r="L70" s="35"/>
      <c r="M70" s="64"/>
      <c r="N70" s="35"/>
      <c r="O70" s="35"/>
      <c r="P70" s="35"/>
    </row>
  </sheetData>
  <mergeCells count="1">
    <mergeCell ref="T34:T36"/>
  </mergeCells>
  <conditionalFormatting sqref="D32:D70">
    <cfRule type="colorScale" priority="1">
      <colorScale>
        <cfvo type="min"/>
        <cfvo type="max"/>
        <color rgb="FFFFFFFF"/>
        <color rgb="FF57BB8A"/>
      </colorScale>
    </cfRule>
  </conditionalFormatting>
  <conditionalFormatting sqref="D39:E42 G39:K42 N39:N4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8:F21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4:G34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5:G3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6:G3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2:E7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3:F31 K23:P31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2:F7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9:F42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8:G2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2:G70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2:H70">
    <cfRule type="colorScale" priority="20">
      <colorScale>
        <cfvo type="min"/>
        <cfvo type="max"/>
        <color rgb="FFFFFFFF"/>
        <color rgb="FF57BB8A"/>
      </colorScale>
    </cfRule>
  </conditionalFormatting>
  <conditionalFormatting sqref="I32:I70">
    <cfRule type="colorScale" priority="3">
      <colorScale>
        <cfvo type="min"/>
        <cfvo type="max"/>
        <color rgb="FFFFFFFF"/>
        <color rgb="FF57BB8A"/>
      </colorScale>
    </cfRule>
  </conditionalFormatting>
  <conditionalFormatting sqref="J39:P42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23:K3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4:N34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2:P67">
    <cfRule type="colorScale" priority="2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Q36:S36">
    <cfRule type="colorScale" priority="13">
      <colorScale>
        <cfvo type="min"/>
        <cfvo type="max"/>
        <color rgb="FFFFFFFF"/>
        <color rgb="FFE67C73"/>
      </colorScale>
    </cfRule>
  </conditionalFormatting>
  <conditionalFormatting sqref="Q34:T34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4:U3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24:V30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2025-08-28T00:15:41Z</dcterms:created>
  <dcterms:modified xsi:type="dcterms:W3CDTF">2025-08-28T00:15:58Z</dcterms:modified>
</cp:coreProperties>
</file>