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1_FY_24\"/>
    </mc:Choice>
  </mc:AlternateContent>
  <xr:revisionPtr revIDLastSave="0" documentId="8_{F403B63A-7318-4D64-AEDF-13D878833A58}" xr6:coauthVersionLast="47" xr6:coauthVersionMax="47" xr10:uidLastSave="{00000000-0000-0000-0000-000000000000}"/>
  <bookViews>
    <workbookView xWindow="-108" yWindow="-108" windowWidth="23256" windowHeight="12456" xr2:uid="{2A21EEF7-9312-4FF1-9E7C-4EF56B63DD4F}"/>
  </bookViews>
  <sheets>
    <sheet name="DIVISLA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L49" i="1"/>
  <c r="L48" i="1"/>
  <c r="L47" i="1"/>
  <c r="K47" i="1"/>
  <c r="J47" i="1"/>
  <c r="Q46" i="1"/>
  <c r="P46" i="1"/>
  <c r="O46" i="1"/>
  <c r="Q41" i="1" s="1"/>
  <c r="L46" i="1"/>
  <c r="K46" i="1"/>
  <c r="J46" i="1"/>
  <c r="L45" i="1"/>
  <c r="K45" i="1"/>
  <c r="J45" i="1"/>
  <c r="R44" i="1"/>
  <c r="Q44" i="1"/>
  <c r="L44" i="1"/>
  <c r="K44" i="1"/>
  <c r="J44" i="1"/>
  <c r="R43" i="1"/>
  <c r="L43" i="1"/>
  <c r="K43" i="1"/>
  <c r="J43" i="1"/>
  <c r="R42" i="1"/>
  <c r="L42" i="1"/>
  <c r="K42" i="1"/>
  <c r="J42" i="1"/>
  <c r="R41" i="1"/>
  <c r="L41" i="1"/>
  <c r="K41" i="1"/>
  <c r="J41" i="1"/>
  <c r="L40" i="1"/>
  <c r="K40" i="1"/>
  <c r="J40" i="1"/>
  <c r="R39" i="1"/>
  <c r="Q39" i="1"/>
  <c r="L39" i="1"/>
  <c r="K39" i="1"/>
  <c r="J39" i="1"/>
  <c r="R38" i="1"/>
  <c r="L38" i="1"/>
  <c r="K38" i="1"/>
  <c r="J38" i="1"/>
  <c r="L37" i="1"/>
  <c r="K37" i="1"/>
  <c r="J37" i="1"/>
  <c r="L36" i="1"/>
  <c r="K36" i="1"/>
  <c r="J36" i="1"/>
  <c r="U35" i="1"/>
  <c r="T35" i="1"/>
  <c r="V35" i="1" s="1"/>
  <c r="P35" i="1"/>
  <c r="O35" i="1"/>
  <c r="Q35" i="1" s="1"/>
  <c r="L35" i="1"/>
  <c r="K35" i="1"/>
  <c r="J35" i="1"/>
  <c r="V34" i="1"/>
  <c r="U34" i="1"/>
  <c r="T34" i="1"/>
  <c r="Q34" i="1"/>
  <c r="P34" i="1"/>
  <c r="O34" i="1"/>
  <c r="L34" i="1"/>
  <c r="L23" i="1" s="1"/>
  <c r="K34" i="1"/>
  <c r="J34" i="1"/>
  <c r="V33" i="1"/>
  <c r="Q33" i="1"/>
  <c r="L33" i="1"/>
  <c r="K33" i="1"/>
  <c r="J33" i="1"/>
  <c r="V32" i="1"/>
  <c r="Q32" i="1"/>
  <c r="L32" i="1"/>
  <c r="L22" i="1" s="1"/>
  <c r="G17" i="1" s="1"/>
  <c r="K32" i="1"/>
  <c r="J32" i="1"/>
  <c r="V31" i="1"/>
  <c r="Q31" i="1"/>
  <c r="L31" i="1"/>
  <c r="K31" i="1"/>
  <c r="K23" i="1" s="1"/>
  <c r="J31" i="1"/>
  <c r="J23" i="1" s="1"/>
  <c r="V30" i="1"/>
  <c r="L30" i="1"/>
  <c r="L24" i="1" s="1"/>
  <c r="K30" i="1"/>
  <c r="J30" i="1"/>
  <c r="V29" i="1"/>
  <c r="Q29" i="1"/>
  <c r="K29" i="1"/>
  <c r="K24" i="1" s="1"/>
  <c r="J29" i="1"/>
  <c r="V28" i="1"/>
  <c r="Q28" i="1"/>
  <c r="K28" i="1"/>
  <c r="J28" i="1"/>
  <c r="J25" i="1" s="1"/>
  <c r="K25" i="1"/>
  <c r="I25" i="1"/>
  <c r="H25" i="1"/>
  <c r="G25" i="1"/>
  <c r="F25" i="1"/>
  <c r="E25" i="1"/>
  <c r="D25" i="1"/>
  <c r="N24" i="1"/>
  <c r="J24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D18" i="1"/>
  <c r="D14" i="1" s="1"/>
  <c r="N14" i="1"/>
  <c r="F14" i="1"/>
  <c r="G14" i="1" s="1"/>
  <c r="P9" i="1"/>
  <c r="O9" i="1"/>
  <c r="M9" i="1"/>
  <c r="I9" i="1"/>
  <c r="H9" i="1"/>
  <c r="G9" i="1"/>
  <c r="E9" i="1"/>
  <c r="D9" i="1"/>
  <c r="C9" i="1"/>
  <c r="S5" i="1"/>
  <c r="R5" i="1"/>
  <c r="Q5" i="1"/>
  <c r="P5" i="1"/>
  <c r="O5" i="1"/>
  <c r="M5" i="1"/>
  <c r="L5" i="1"/>
  <c r="K5" i="1"/>
  <c r="J5" i="1"/>
  <c r="D5" i="1"/>
  <c r="N4" i="1"/>
  <c r="H4" i="1"/>
  <c r="G4" i="1"/>
  <c r="F4" i="1"/>
  <c r="E4" i="1"/>
  <c r="E5" i="1" s="1"/>
  <c r="N3" i="1"/>
  <c r="N5" i="1" s="1"/>
  <c r="I3" i="1"/>
  <c r="I5" i="1" s="1"/>
  <c r="H3" i="1"/>
  <c r="K9" i="1" s="1"/>
  <c r="E3" i="1"/>
  <c r="D3" i="1"/>
  <c r="P24" i="1" s="1"/>
  <c r="Q22" i="1" s="1"/>
  <c r="Q9" i="1" s="1"/>
  <c r="E14" i="1" l="1"/>
  <c r="F3" i="1"/>
  <c r="D13" i="1"/>
  <c r="H5" i="1"/>
  <c r="O24" i="1"/>
  <c r="Q38" i="1"/>
  <c r="Q43" i="1"/>
  <c r="R46" i="1"/>
  <c r="N9" i="1"/>
  <c r="J22" i="1"/>
  <c r="K22" i="1"/>
  <c r="Q40" i="1"/>
  <c r="Q42" i="1"/>
  <c r="D12" i="1" l="1"/>
  <c r="E13" i="1"/>
  <c r="G3" i="1"/>
  <c r="E18" i="1"/>
  <c r="F5" i="1"/>
  <c r="F9" i="1"/>
  <c r="L9" i="1" l="1"/>
  <c r="J9" i="1"/>
  <c r="G5" i="1"/>
  <c r="E12" i="1"/>
  <c r="F13" i="1"/>
  <c r="F12" i="1" l="1"/>
  <c r="G12" i="1" s="1"/>
  <c r="G13" i="1"/>
</calcChain>
</file>

<file path=xl/sharedStrings.xml><?xml version="1.0" encoding="utf-8"?>
<sst xmlns="http://schemas.openxmlformats.org/spreadsheetml/2006/main" count="181" uniqueCount="132">
  <si>
    <t>DATA</t>
  </si>
  <si>
    <t>Company</t>
  </si>
  <si>
    <t>Price</t>
  </si>
  <si>
    <t>Marketcap in Cr</t>
  </si>
  <si>
    <t>Sales in Cr</t>
  </si>
  <si>
    <t>Profit in Cr</t>
  </si>
  <si>
    <t>PBIT</t>
  </si>
  <si>
    <t>TRAIL_EPS</t>
  </si>
  <si>
    <t>FV</t>
  </si>
  <si>
    <t>Equity</t>
  </si>
  <si>
    <t>TOTAL EQ</t>
  </si>
  <si>
    <t>DEBT</t>
  </si>
  <si>
    <t>LEASE</t>
  </si>
  <si>
    <t>CUR.ASSETS</t>
  </si>
  <si>
    <t>CUR.LIABILITIES</t>
  </si>
  <si>
    <t>ASSETS</t>
  </si>
  <si>
    <t>LIABILITIES</t>
  </si>
  <si>
    <t>TRADE REC</t>
  </si>
  <si>
    <t>DIVISLAB</t>
  </si>
  <si>
    <t>LAST YEAR</t>
  </si>
  <si>
    <t>GROWTH</t>
  </si>
  <si>
    <t>LIQUIDITY</t>
  </si>
  <si>
    <t>SOLVENCY</t>
  </si>
  <si>
    <t>PROFITABILITY</t>
  </si>
  <si>
    <t>RATIO</t>
  </si>
  <si>
    <t>SALES GR</t>
  </si>
  <si>
    <t>PR.MARGIN</t>
  </si>
  <si>
    <t>CUR.RATIO</t>
  </si>
  <si>
    <t>TRADE REC Days</t>
  </si>
  <si>
    <t>DEBT2EQUITY</t>
  </si>
  <si>
    <t>DEBTRATIO</t>
  </si>
  <si>
    <t>ICR</t>
  </si>
  <si>
    <t>ROE</t>
  </si>
  <si>
    <t>ROCE</t>
  </si>
  <si>
    <t>ROA</t>
  </si>
  <si>
    <t>TRAIL PE</t>
  </si>
  <si>
    <t>YIELD_23</t>
  </si>
  <si>
    <t>BOOKVALUE</t>
  </si>
  <si>
    <t>PBV</t>
  </si>
  <si>
    <t>PEG</t>
  </si>
  <si>
    <t>ESTIMATE</t>
  </si>
  <si>
    <t>Year</t>
  </si>
  <si>
    <t>REVENUE</t>
  </si>
  <si>
    <t>PROFIT</t>
  </si>
  <si>
    <t>EPS</t>
  </si>
  <si>
    <t>FAIRVALUE</t>
  </si>
  <si>
    <t>FY_2035</t>
  </si>
  <si>
    <t>FY_2030</t>
  </si>
  <si>
    <t>Q2</t>
  </si>
  <si>
    <t>Q3</t>
  </si>
  <si>
    <t>Q4</t>
  </si>
  <si>
    <t>Q1</t>
  </si>
  <si>
    <t>EPS_FY_23</t>
  </si>
  <si>
    <t>FY_2024</t>
  </si>
  <si>
    <t>MARGIN</t>
  </si>
  <si>
    <t>TREND</t>
  </si>
  <si>
    <t>H1</t>
  </si>
  <si>
    <t>9M</t>
  </si>
  <si>
    <t>FY_23</t>
  </si>
  <si>
    <t>FY_24_Q1</t>
  </si>
  <si>
    <t>EST-2024</t>
  </si>
  <si>
    <t>LONG TERM</t>
  </si>
  <si>
    <t>SALES</t>
  </si>
  <si>
    <t>CURRENT YEAR</t>
  </si>
  <si>
    <t>YEAR</t>
  </si>
  <si>
    <t>Sales</t>
  </si>
  <si>
    <t>Profit</t>
  </si>
  <si>
    <t>RESERVE</t>
  </si>
  <si>
    <t>HIGH Price</t>
  </si>
  <si>
    <t>Low Price</t>
  </si>
  <si>
    <t>HIGHPE</t>
  </si>
  <si>
    <t>LOWPE</t>
  </si>
  <si>
    <t>Margin</t>
  </si>
  <si>
    <t>EPS_23</t>
  </si>
  <si>
    <t>EPS_24</t>
  </si>
  <si>
    <t>PRE_COVID 19Y</t>
  </si>
  <si>
    <t>PRE_COVID 10Y</t>
  </si>
  <si>
    <t>PE_22</t>
  </si>
  <si>
    <t>PE_23</t>
  </si>
  <si>
    <t>PE_24</t>
  </si>
  <si>
    <t>DURING COVID</t>
  </si>
  <si>
    <t>POST COVID</t>
  </si>
  <si>
    <t>CC_GROWTH</t>
  </si>
  <si>
    <t>Actual</t>
  </si>
  <si>
    <t>Q1_FY_24</t>
  </si>
  <si>
    <t>Q1_FY_23</t>
  </si>
  <si>
    <t>Q4_FY_23</t>
  </si>
  <si>
    <t>Q4_FY_22</t>
  </si>
  <si>
    <t>FY_2023</t>
  </si>
  <si>
    <t>FY_2022</t>
  </si>
  <si>
    <t>COST</t>
  </si>
  <si>
    <t>FY_2021</t>
  </si>
  <si>
    <t>FINANCE</t>
  </si>
  <si>
    <t>PRE_COVID_ERA</t>
  </si>
  <si>
    <t>FY_2020</t>
  </si>
  <si>
    <t>EBITDA</t>
  </si>
  <si>
    <t>FY_2019</t>
  </si>
  <si>
    <t>FY_2018</t>
  </si>
  <si>
    <t>FY_2017</t>
  </si>
  <si>
    <t>Bonus 1:1</t>
  </si>
  <si>
    <t>FY_2016</t>
  </si>
  <si>
    <t>FY_2015</t>
  </si>
  <si>
    <t xml:space="preserve"> </t>
  </si>
  <si>
    <t>FY_2014</t>
  </si>
  <si>
    <t>MAJORCOST</t>
  </si>
  <si>
    <t>SHARE</t>
  </si>
  <si>
    <t>FY_2013</t>
  </si>
  <si>
    <t>MATERIAL</t>
  </si>
  <si>
    <t>FY_2012</t>
  </si>
  <si>
    <t>STOCK</t>
  </si>
  <si>
    <t>FY_2011</t>
  </si>
  <si>
    <t>INVENTORY</t>
  </si>
  <si>
    <t>FY_2010</t>
  </si>
  <si>
    <t>EMPLOYEE</t>
  </si>
  <si>
    <t>FY_2009</t>
  </si>
  <si>
    <t>D&amp;A</t>
  </si>
  <si>
    <t>FY_2008</t>
  </si>
  <si>
    <t>FY_2007</t>
  </si>
  <si>
    <t>OTHER EXP</t>
  </si>
  <si>
    <t>FY_2006</t>
  </si>
  <si>
    <t>FY_2005</t>
  </si>
  <si>
    <t>TOTAL</t>
  </si>
  <si>
    <t>FY_2004</t>
  </si>
  <si>
    <t>IPO</t>
  </si>
  <si>
    <t>FY_2003</t>
  </si>
  <si>
    <t>SHP-2022</t>
  </si>
  <si>
    <t>FY_2002</t>
  </si>
  <si>
    <t>PROMOTER</t>
  </si>
  <si>
    <t>FY_2001</t>
  </si>
  <si>
    <t>MF &amp; INSURANCE</t>
  </si>
  <si>
    <t>FII</t>
  </si>
  <si>
    <t>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</si>
</sst>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13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Calibri"/>
    </font>
    <font>
      <sz val="11"/>
      <color theme="1"/>
      <name val="Arial"/>
    </font>
    <font>
      <sz val="11"/>
      <color theme="1"/>
      <name val="Calibri"/>
    </font>
    <font>
      <b/>
      <i/>
      <sz val="11"/>
      <color theme="1"/>
      <name val="Calibri"/>
    </font>
    <font>
      <b/>
      <sz val="11"/>
      <color theme="1"/>
      <name val="Calibri"/>
    </font>
    <font>
      <sz val="11"/>
      <color rgb="FF000000"/>
      <name val="Arial"/>
    </font>
    <font>
      <sz val="11"/>
      <color rgb="FF000000"/>
      <name val="Calibri"/>
    </font>
    <font>
      <sz val="25"/>
      <color theme="1"/>
      <name val="Calibri"/>
      <scheme val="minor"/>
    </font>
    <font>
      <sz val="11"/>
      <color theme="1"/>
      <name val="&quot;Times New Roman&quot;"/>
    </font>
    <font>
      <b/>
      <i/>
      <sz val="11"/>
      <color theme="1"/>
      <name val="Calibri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C343D"/>
        <bgColor rgb="FF0C343D"/>
      </patternFill>
    </fill>
    <fill>
      <patternFill patternType="solid">
        <fgColor rgb="FFD0E0E3"/>
        <bgColor rgb="FFD0E0E3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1" fontId="2" fillId="2" borderId="0" xfId="0" applyNumberFormat="1" applyFont="1" applyFill="1"/>
    <xf numFmtId="0" fontId="3" fillId="0" borderId="0" xfId="0" applyFont="1"/>
    <xf numFmtId="0" fontId="4" fillId="3" borderId="0" xfId="0" applyFont="1" applyFill="1"/>
    <xf numFmtId="1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1" xfId="0" applyFont="1" applyBorder="1"/>
    <xf numFmtId="1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5" fillId="4" borderId="0" xfId="0" applyFont="1" applyFill="1"/>
    <xf numFmtId="164" fontId="5" fillId="4" borderId="0" xfId="0" applyNumberFormat="1" applyFont="1" applyFill="1" applyAlignment="1">
      <alignment horizontal="right"/>
    </xf>
    <xf numFmtId="9" fontId="5" fillId="4" borderId="0" xfId="0" applyNumberFormat="1" applyFont="1" applyFill="1" applyAlignment="1">
      <alignment horizontal="right"/>
    </xf>
    <xf numFmtId="0" fontId="6" fillId="0" borderId="0" xfId="0" applyFont="1"/>
    <xf numFmtId="1" fontId="6" fillId="0" borderId="0" xfId="0" applyNumberFormat="1" applyFont="1"/>
    <xf numFmtId="1" fontId="3" fillId="0" borderId="0" xfId="0" applyNumberFormat="1" applyFont="1"/>
    <xf numFmtId="10" fontId="2" fillId="2" borderId="0" xfId="0" applyNumberFormat="1" applyFont="1" applyFill="1"/>
    <xf numFmtId="9" fontId="2" fillId="2" borderId="0" xfId="0" applyNumberFormat="1" applyFont="1" applyFill="1"/>
    <xf numFmtId="164" fontId="2" fillId="2" borderId="0" xfId="0" applyNumberFormat="1" applyFont="1" applyFill="1"/>
    <xf numFmtId="0" fontId="3" fillId="0" borderId="1" xfId="0" applyFont="1" applyBorder="1"/>
    <xf numFmtId="9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165" fontId="4" fillId="3" borderId="0" xfId="0" applyNumberFormat="1" applyFont="1" applyFill="1" applyAlignment="1">
      <alignment horizontal="right"/>
    </xf>
    <xf numFmtId="166" fontId="4" fillId="3" borderId="0" xfId="0" applyNumberFormat="1" applyFont="1" applyFill="1" applyAlignment="1">
      <alignment horizontal="right"/>
    </xf>
    <xf numFmtId="164" fontId="1" fillId="0" borderId="0" xfId="0" applyNumberFormat="1" applyFont="1"/>
    <xf numFmtId="9" fontId="3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1" fontId="1" fillId="0" borderId="2" xfId="0" applyNumberFormat="1" applyFont="1" applyBorder="1"/>
    <xf numFmtId="166" fontId="1" fillId="0" borderId="2" xfId="0" applyNumberFormat="1" applyFont="1" applyBorder="1"/>
    <xf numFmtId="0" fontId="7" fillId="0" borderId="0" xfId="0" applyFont="1"/>
    <xf numFmtId="0" fontId="8" fillId="0" borderId="3" xfId="0" applyFont="1" applyBorder="1"/>
    <xf numFmtId="9" fontId="8" fillId="0" borderId="4" xfId="0" applyNumberFormat="1" applyFont="1" applyBorder="1" applyAlignment="1">
      <alignment horizontal="right"/>
    </xf>
    <xf numFmtId="9" fontId="1" fillId="0" borderId="2" xfId="0" applyNumberFormat="1" applyFont="1" applyBorder="1"/>
    <xf numFmtId="164" fontId="1" fillId="0" borderId="2" xfId="0" applyNumberFormat="1" applyFont="1" applyBorder="1"/>
    <xf numFmtId="0" fontId="2" fillId="2" borderId="0" xfId="0" applyFont="1" applyFill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9" fillId="4" borderId="0" xfId="0" applyNumberFormat="1" applyFont="1" applyFill="1" applyAlignment="1">
      <alignment horizontal="center" vertical="center"/>
    </xf>
    <xf numFmtId="0" fontId="0" fillId="0" borderId="0" xfId="0"/>
    <xf numFmtId="1" fontId="1" fillId="0" borderId="0" xfId="0" applyNumberFormat="1" applyFont="1"/>
    <xf numFmtId="0" fontId="1" fillId="0" borderId="0" xfId="0" applyFont="1"/>
    <xf numFmtId="9" fontId="1" fillId="0" borderId="0" xfId="0" applyNumberFormat="1" applyFont="1"/>
    <xf numFmtId="0" fontId="1" fillId="0" borderId="2" xfId="0" applyFont="1" applyBorder="1" applyAlignment="1">
      <alignment horizontal="left"/>
    </xf>
    <xf numFmtId="1" fontId="10" fillId="0" borderId="2" xfId="0" applyNumberFormat="1" applyFont="1" applyBorder="1" applyAlignment="1">
      <alignment horizontal="right"/>
    </xf>
    <xf numFmtId="0" fontId="1" fillId="5" borderId="2" xfId="0" applyFont="1" applyFill="1" applyBorder="1"/>
    <xf numFmtId="1" fontId="0" fillId="0" borderId="2" xfId="0" applyNumberFormat="1" applyBorder="1"/>
    <xf numFmtId="9" fontId="0" fillId="0" borderId="2" xfId="0" applyNumberFormat="1" applyBorder="1"/>
    <xf numFmtId="0" fontId="0" fillId="0" borderId="2" xfId="0" applyBorder="1"/>
    <xf numFmtId="166" fontId="0" fillId="0" borderId="2" xfId="0" applyNumberFormat="1" applyBorder="1"/>
    <xf numFmtId="0" fontId="0" fillId="5" borderId="2" xfId="0" applyFill="1" applyBorder="1"/>
    <xf numFmtId="1" fontId="3" fillId="0" borderId="2" xfId="0" applyNumberFormat="1" applyFont="1" applyBorder="1" applyAlignment="1">
      <alignment horizontal="right"/>
    </xf>
    <xf numFmtId="0" fontId="11" fillId="0" borderId="2" xfId="0" applyFont="1" applyBorder="1"/>
    <xf numFmtId="1" fontId="11" fillId="0" borderId="2" xfId="0" applyNumberFormat="1" applyFont="1" applyBorder="1"/>
    <xf numFmtId="9" fontId="11" fillId="0" borderId="2" xfId="0" applyNumberFormat="1" applyFont="1" applyBorder="1"/>
    <xf numFmtId="0" fontId="12" fillId="5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51</xdr:row>
      <xdr:rowOff>-152400</xdr:rowOff>
    </xdr:from>
    <xdr:ext cx="6172200" cy="61722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EF1EA9C-D68C-4057-BCD2-B51A29F39E2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9563100"/>
          <a:ext cx="6172200" cy="6172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57511-D268-4921-BE0E-25C730963780}">
  <sheetPr>
    <outlinePr summaryBelow="0" summaryRight="0"/>
  </sheetPr>
  <dimension ref="A2:V53"/>
  <sheetViews>
    <sheetView showGridLines="0" tabSelected="1" workbookViewId="0"/>
  </sheetViews>
  <sheetFormatPr defaultColWidth="14.44140625" defaultRowHeight="15" customHeight="1"/>
  <cols>
    <col min="1" max="1" width="5.5546875" customWidth="1"/>
  </cols>
  <sheetData>
    <row r="2" spans="2:19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1" t="s">
        <v>15</v>
      </c>
      <c r="R2" s="1" t="s">
        <v>16</v>
      </c>
      <c r="S2" s="1" t="s">
        <v>17</v>
      </c>
    </row>
    <row r="3" spans="2:19">
      <c r="B3" s="3"/>
      <c r="C3" s="4" t="s">
        <v>18</v>
      </c>
      <c r="D3" s="5">
        <f ca="1">IFERROR(__xludf.DUMMYFUNCTION("GOOGLEFINANCE(""NSE:""&amp;C3,""price"")"),3792)</f>
        <v>3792</v>
      </c>
      <c r="E3" s="5">
        <f ca="1">IFERROR(__xludf.DUMMYFUNCTION("GOOGLEFINANCE(""NSE:""&amp;C3,""MARKETCAP"")/10000000"),100828.5599187)</f>
        <v>100828.5599187</v>
      </c>
      <c r="F3" s="5">
        <f t="shared" ref="F3:G3" si="0">D14</f>
        <v>6601.95</v>
      </c>
      <c r="G3" s="5">
        <f t="shared" si="0"/>
        <v>1320.39</v>
      </c>
      <c r="H3" s="5">
        <f>2369-0.7-343</f>
        <v>2025.3000000000002</v>
      </c>
      <c r="I3" s="5">
        <f ca="1">IFERROR(__xludf.DUMMYFUNCTION("GOOGLEFINANCE(""NSE:""&amp;C3,""eps"")"),55.66)</f>
        <v>55.66</v>
      </c>
      <c r="J3" s="5">
        <v>2</v>
      </c>
      <c r="K3" s="6">
        <v>53</v>
      </c>
      <c r="L3" s="7">
        <v>12767</v>
      </c>
      <c r="M3" s="7">
        <v>0</v>
      </c>
      <c r="N3" s="6">
        <f>2.8+0.5</f>
        <v>3.3</v>
      </c>
      <c r="O3" s="5">
        <v>9312</v>
      </c>
      <c r="P3" s="5">
        <v>1101</v>
      </c>
      <c r="Q3" s="6">
        <v>14439</v>
      </c>
      <c r="R3" s="6">
        <v>1672</v>
      </c>
      <c r="S3" s="7">
        <v>1793</v>
      </c>
    </row>
    <row r="4" spans="2:19">
      <c r="B4" s="3"/>
      <c r="C4" s="8" t="s">
        <v>19</v>
      </c>
      <c r="D4" s="9">
        <v>2823</v>
      </c>
      <c r="E4" s="9">
        <f ca="1">(D4*E3)/D3</f>
        <v>75063.033926817006</v>
      </c>
      <c r="F4" s="5">
        <f t="shared" ref="F4:G4" si="1">D29</f>
        <v>8960</v>
      </c>
      <c r="G4" s="5">
        <f t="shared" si="1"/>
        <v>2960</v>
      </c>
      <c r="H4" s="5">
        <f>3684-0.8-312</f>
        <v>3371.2</v>
      </c>
      <c r="I4" s="5">
        <v>68.7</v>
      </c>
      <c r="J4" s="10">
        <v>2</v>
      </c>
      <c r="K4" s="11">
        <v>53</v>
      </c>
      <c r="L4" s="10">
        <v>11728</v>
      </c>
      <c r="M4" s="10">
        <v>0</v>
      </c>
      <c r="N4" s="10">
        <f>2.9+0.9</f>
        <v>3.8</v>
      </c>
      <c r="O4" s="12">
        <v>8352</v>
      </c>
      <c r="P4" s="10">
        <v>1196</v>
      </c>
      <c r="Q4" s="10">
        <v>13375</v>
      </c>
      <c r="R4" s="11">
        <v>1647</v>
      </c>
      <c r="S4" s="13">
        <v>2424</v>
      </c>
    </row>
    <row r="5" spans="2:19">
      <c r="B5" s="3"/>
      <c r="C5" s="14" t="s">
        <v>20</v>
      </c>
      <c r="D5" s="15">
        <f t="shared" ref="D5:S5" ca="1" si="2">(D3/D4)-1</f>
        <v>0.3432518597236982</v>
      </c>
      <c r="E5" s="15">
        <f t="shared" ca="1" si="2"/>
        <v>0.3432518597236982</v>
      </c>
      <c r="F5" s="15">
        <f t="shared" si="2"/>
        <v>-0.26317522321428577</v>
      </c>
      <c r="G5" s="16">
        <f t="shared" si="2"/>
        <v>-0.55392229729729725</v>
      </c>
      <c r="H5" s="16">
        <f t="shared" si="2"/>
        <v>-0.39923469387755095</v>
      </c>
      <c r="I5" s="16">
        <f t="shared" ca="1" si="2"/>
        <v>-0.18981077147016023</v>
      </c>
      <c r="J5" s="16">
        <f t="shared" si="2"/>
        <v>0</v>
      </c>
      <c r="K5" s="16">
        <f t="shared" si="2"/>
        <v>0</v>
      </c>
      <c r="L5" s="16">
        <f t="shared" si="2"/>
        <v>8.8591405184174521E-2</v>
      </c>
      <c r="M5" s="16" t="e">
        <f t="shared" si="2"/>
        <v>#DIV/0!</v>
      </c>
      <c r="N5" s="16">
        <f t="shared" si="2"/>
        <v>-0.13157894736842102</v>
      </c>
      <c r="O5" s="16">
        <f t="shared" si="2"/>
        <v>0.11494252873563227</v>
      </c>
      <c r="P5" s="16">
        <f t="shared" si="2"/>
        <v>-7.9431438127090304E-2</v>
      </c>
      <c r="Q5" s="16">
        <f t="shared" si="2"/>
        <v>7.9551401869158989E-2</v>
      </c>
      <c r="R5" s="16">
        <f t="shared" si="2"/>
        <v>1.5179113539769196E-2</v>
      </c>
      <c r="S5" s="16">
        <f t="shared" si="2"/>
        <v>-0.26031353135313529</v>
      </c>
    </row>
    <row r="6" spans="2:19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>
      <c r="B7" s="3"/>
      <c r="C7" s="17" t="s">
        <v>20</v>
      </c>
      <c r="D7" s="18" t="s">
        <v>21</v>
      </c>
      <c r="E7" s="19"/>
      <c r="F7" s="19"/>
      <c r="G7" s="18" t="s">
        <v>22</v>
      </c>
      <c r="H7" s="19"/>
      <c r="I7" s="19"/>
      <c r="J7" s="18" t="s">
        <v>23</v>
      </c>
      <c r="K7" s="19"/>
      <c r="L7" s="19"/>
      <c r="M7" s="19"/>
      <c r="N7" s="19"/>
      <c r="O7" s="3"/>
      <c r="P7" s="3"/>
      <c r="Q7" s="3"/>
      <c r="S7" s="3"/>
    </row>
    <row r="8" spans="2:19">
      <c r="B8" s="1" t="s">
        <v>24</v>
      </c>
      <c r="C8" s="20" t="s">
        <v>25</v>
      </c>
      <c r="D8" s="1" t="s">
        <v>26</v>
      </c>
      <c r="E8" s="21" t="s">
        <v>27</v>
      </c>
      <c r="F8" s="2" t="s">
        <v>28</v>
      </c>
      <c r="G8" s="21" t="s">
        <v>29</v>
      </c>
      <c r="H8" s="21" t="s">
        <v>30</v>
      </c>
      <c r="I8" s="21" t="s">
        <v>31</v>
      </c>
      <c r="J8" s="21" t="s">
        <v>32</v>
      </c>
      <c r="K8" s="2" t="s">
        <v>33</v>
      </c>
      <c r="L8" s="22" t="s">
        <v>34</v>
      </c>
      <c r="M8" s="1" t="s">
        <v>35</v>
      </c>
      <c r="N8" s="1" t="s">
        <v>36</v>
      </c>
      <c r="O8" s="1" t="s">
        <v>37</v>
      </c>
      <c r="P8" s="1" t="s">
        <v>38</v>
      </c>
      <c r="Q8" s="1" t="s">
        <v>39</v>
      </c>
      <c r="S8" s="3"/>
    </row>
    <row r="9" spans="2:19">
      <c r="B9" s="23"/>
      <c r="C9" s="24">
        <f>Q28</f>
        <v>-0.21152993348115301</v>
      </c>
      <c r="D9" s="25">
        <f>O34</f>
        <v>0.20022497187851518</v>
      </c>
      <c r="E9" s="24">
        <f>O3/P3</f>
        <v>8.4577656675749324</v>
      </c>
      <c r="F9" s="26">
        <f>(S3/F3)*365</f>
        <v>99.12904520634055</v>
      </c>
      <c r="G9" s="24">
        <f>M3/L3</f>
        <v>0</v>
      </c>
      <c r="H9" s="24">
        <f>R3/Q3</f>
        <v>0.11579749290117045</v>
      </c>
      <c r="I9" s="5">
        <f>O35</f>
        <v>411</v>
      </c>
      <c r="J9" s="24">
        <f>G3/L3</f>
        <v>0.10342210386151798</v>
      </c>
      <c r="K9" s="24">
        <f>H3/(Q3-P3)</f>
        <v>0.15184435447593345</v>
      </c>
      <c r="L9" s="24">
        <f>G3/Q3</f>
        <v>9.1446083523789745E-2</v>
      </c>
      <c r="M9" s="5">
        <f ca="1">IFERROR(__xludf.DUMMYFUNCTION("GOOGLEFINANCE(""NSE:""&amp;C3,""pe"")"),68.22)</f>
        <v>68.22</v>
      </c>
      <c r="N9" s="25">
        <f ca="1">I3/D3</f>
        <v>1.4678270042194092E-2</v>
      </c>
      <c r="O9" s="5">
        <f>(L3)/(K3/J3)</f>
        <v>481.77358490566036</v>
      </c>
      <c r="P9" s="5">
        <f ca="1">D3/O9</f>
        <v>7.8709172084279784</v>
      </c>
      <c r="Q9" s="27">
        <f ca="1">Q22</f>
        <v>-1.4331065759637189</v>
      </c>
      <c r="R9" s="28"/>
      <c r="S9" s="29"/>
    </row>
    <row r="11" spans="2:19"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44</v>
      </c>
      <c r="G11" s="1" t="s">
        <v>45</v>
      </c>
    </row>
    <row r="12" spans="2:19">
      <c r="C12" s="30" t="s">
        <v>46</v>
      </c>
      <c r="D12" s="31">
        <f t="shared" ref="D12:F12" si="3">FV(12%,5,0,-D13,0)</f>
        <v>26912.21144666984</v>
      </c>
      <c r="E12" s="31">
        <f t="shared" si="3"/>
        <v>7190.9696470251956</v>
      </c>
      <c r="F12" s="31">
        <f t="shared" si="3"/>
        <v>293.10884390437371</v>
      </c>
      <c r="G12" s="32">
        <f t="shared" ref="G12:G14" si="4">F12*25</f>
        <v>7327.7210976093429</v>
      </c>
    </row>
    <row r="13" spans="2:19">
      <c r="C13" s="30" t="s">
        <v>47</v>
      </c>
      <c r="D13" s="31">
        <f>FV(D17,6,0,-D14,0)</f>
        <v>15270.711521617963</v>
      </c>
      <c r="E13" s="31">
        <f t="shared" ref="E13:E14" si="5">D13*G17</f>
        <v>4080.3492963793919</v>
      </c>
      <c r="F13" s="31">
        <f>(E13*F14)/E14</f>
        <v>166.31782967997248</v>
      </c>
      <c r="G13" s="32">
        <f t="shared" si="4"/>
        <v>4157.9457419993123</v>
      </c>
      <c r="I13" s="1" t="s">
        <v>7</v>
      </c>
      <c r="J13" s="1" t="s">
        <v>48</v>
      </c>
      <c r="K13" s="1" t="s">
        <v>49</v>
      </c>
      <c r="L13" s="1" t="s">
        <v>50</v>
      </c>
      <c r="M13" s="1" t="s">
        <v>51</v>
      </c>
      <c r="N13" s="1" t="s">
        <v>52</v>
      </c>
    </row>
    <row r="14" spans="2:19">
      <c r="C14" s="30" t="s">
        <v>53</v>
      </c>
      <c r="D14" s="31">
        <f>FV(D18,1,0,-D28,0)</f>
        <v>6601.95</v>
      </c>
      <c r="E14" s="31">
        <f t="shared" si="5"/>
        <v>1320.39</v>
      </c>
      <c r="F14" s="31">
        <f>FV(F18,1,0,-F30,0)</f>
        <v>53.82</v>
      </c>
      <c r="G14" s="32">
        <f t="shared" si="4"/>
        <v>1345.5</v>
      </c>
      <c r="I14" s="30" t="s">
        <v>44</v>
      </c>
      <c r="J14" s="30">
        <v>18.600000000000001</v>
      </c>
      <c r="K14" s="30">
        <v>11.56</v>
      </c>
      <c r="L14" s="30">
        <v>12.09</v>
      </c>
      <c r="M14" s="30">
        <v>13.41</v>
      </c>
      <c r="N14" s="33">
        <f>SUM(J14:M14)</f>
        <v>55.66</v>
      </c>
    </row>
    <row r="16" spans="2:19">
      <c r="B16" s="1" t="s">
        <v>40</v>
      </c>
      <c r="C16" s="1" t="s">
        <v>41</v>
      </c>
      <c r="D16" s="1" t="s">
        <v>42</v>
      </c>
      <c r="E16" s="1" t="s">
        <v>43</v>
      </c>
      <c r="F16" s="1" t="s">
        <v>44</v>
      </c>
      <c r="G16" s="1" t="s">
        <v>54</v>
      </c>
      <c r="I16" s="1" t="s">
        <v>55</v>
      </c>
      <c r="J16" s="1" t="s">
        <v>56</v>
      </c>
      <c r="K16" s="1" t="s">
        <v>57</v>
      </c>
      <c r="L16" s="1" t="s">
        <v>58</v>
      </c>
      <c r="M16" s="1" t="s">
        <v>59</v>
      </c>
      <c r="N16" s="1" t="s">
        <v>60</v>
      </c>
    </row>
    <row r="17" spans="2:22">
      <c r="B17" s="34"/>
      <c r="C17" s="35" t="s">
        <v>61</v>
      </c>
      <c r="D17" s="36">
        <v>0.15</v>
      </c>
      <c r="E17" s="36">
        <v>0.15</v>
      </c>
      <c r="F17" s="36">
        <v>0.15</v>
      </c>
      <c r="G17" s="36">
        <f>AVERAGE(L22:L25)</f>
        <v>0.26720099391590568</v>
      </c>
      <c r="I17" s="30" t="s">
        <v>62</v>
      </c>
      <c r="J17" s="37">
        <v>0.04</v>
      </c>
      <c r="K17" s="37">
        <v>-9.7000000000000003E-2</v>
      </c>
      <c r="L17" s="37">
        <v>-0.13</v>
      </c>
      <c r="M17" s="37">
        <v>-0.21</v>
      </c>
      <c r="N17" s="37">
        <v>-0.15</v>
      </c>
    </row>
    <row r="18" spans="2:22">
      <c r="B18" s="34"/>
      <c r="C18" s="35" t="s">
        <v>63</v>
      </c>
      <c r="D18" s="36">
        <f>N17</f>
        <v>-0.15</v>
      </c>
      <c r="E18" s="36">
        <f>(E14/E28)-1</f>
        <v>-0.27570488206253418</v>
      </c>
      <c r="F18" s="36">
        <v>-0.28000000000000003</v>
      </c>
      <c r="G18" s="36">
        <v>0.2</v>
      </c>
      <c r="I18" s="30" t="s">
        <v>43</v>
      </c>
      <c r="J18" s="37">
        <v>2.75E-2</v>
      </c>
      <c r="K18" s="37">
        <v>-0.27</v>
      </c>
      <c r="L18" s="37">
        <v>-0.38</v>
      </c>
      <c r="M18" s="37">
        <v>-0.49</v>
      </c>
      <c r="N18" s="37">
        <v>-0.28000000000000003</v>
      </c>
    </row>
    <row r="19" spans="2:22">
      <c r="I19" s="30" t="s">
        <v>54</v>
      </c>
      <c r="J19" s="37">
        <v>0.27950000000000003</v>
      </c>
      <c r="K19" s="30">
        <v>25.82</v>
      </c>
      <c r="L19" s="38">
        <v>0.23</v>
      </c>
      <c r="M19" s="38">
        <v>0.2</v>
      </c>
      <c r="N19" s="37">
        <v>0.2</v>
      </c>
    </row>
    <row r="21" spans="2:22">
      <c r="B21" s="1" t="s">
        <v>20</v>
      </c>
      <c r="C21" s="1" t="s">
        <v>64</v>
      </c>
      <c r="D21" s="1" t="s">
        <v>65</v>
      </c>
      <c r="E21" s="1" t="s">
        <v>66</v>
      </c>
      <c r="F21" s="1" t="s">
        <v>44</v>
      </c>
      <c r="G21" s="1" t="s">
        <v>67</v>
      </c>
      <c r="H21" s="1" t="s">
        <v>68</v>
      </c>
      <c r="I21" s="1" t="s">
        <v>69</v>
      </c>
      <c r="J21" s="1" t="s">
        <v>70</v>
      </c>
      <c r="K21" s="1" t="s">
        <v>71</v>
      </c>
      <c r="L21" s="1" t="s">
        <v>72</v>
      </c>
      <c r="N21" s="39" t="s">
        <v>73</v>
      </c>
      <c r="O21" s="39" t="s">
        <v>73</v>
      </c>
      <c r="P21" s="39" t="s">
        <v>74</v>
      </c>
      <c r="Q21" s="39" t="s">
        <v>39</v>
      </c>
    </row>
    <row r="22" spans="2:22">
      <c r="C22" s="30" t="s">
        <v>75</v>
      </c>
      <c r="D22" s="37">
        <f t="shared" ref="D22:E22" si="6">(D31/D50)^(1/19)-1</f>
        <v>0.19030764308567938</v>
      </c>
      <c r="E22" s="37">
        <f t="shared" si="6"/>
        <v>0.23160809975740504</v>
      </c>
      <c r="F22" s="37">
        <f>((4*F31)/F50)^(1/19)-1</f>
        <v>0.2226583663349444</v>
      </c>
      <c r="G22" s="37">
        <f>(G31/G50)^(1/19)-1</f>
        <v>0.26692418853794853</v>
      </c>
      <c r="H22" s="37">
        <f t="shared" ref="H22:I22" si="7">((4*H31)/H47)^(1/16)-1</f>
        <v>9.7251390496513768E-2</v>
      </c>
      <c r="I22" s="37">
        <f t="shared" si="7"/>
        <v>8.7156526899643483E-2</v>
      </c>
      <c r="J22" s="32">
        <f t="shared" ref="J22:K22" si="8">MEDIAN(J31:J47)</f>
        <v>34.674254317111462</v>
      </c>
      <c r="K22" s="32">
        <f t="shared" si="8"/>
        <v>18.075588825999635</v>
      </c>
      <c r="L22" s="37">
        <f>MEDIAN(L31:L50)</f>
        <v>0.26267636157349422</v>
      </c>
      <c r="N22" s="40">
        <v>68.7</v>
      </c>
      <c r="O22" s="40">
        <v>55.7</v>
      </c>
      <c r="P22" s="40">
        <v>54</v>
      </c>
      <c r="Q22" s="41">
        <f ca="1">P24/-49</f>
        <v>-1.4331065759637189</v>
      </c>
    </row>
    <row r="23" spans="2:22">
      <c r="C23" s="30" t="s">
        <v>76</v>
      </c>
      <c r="D23" s="37">
        <f t="shared" ref="D23:E23" si="9">(D31/D41)^(1/10)-1</f>
        <v>0.19004709081105831</v>
      </c>
      <c r="E23" s="37">
        <f t="shared" si="9"/>
        <v>0.14878180869350155</v>
      </c>
      <c r="F23" s="37">
        <f>((2*F31)/F41)^(1/10)-1</f>
        <v>0.14661464104742294</v>
      </c>
      <c r="G23" s="37">
        <f>(G31/G41)^(1/10)-1</f>
        <v>0.17142949470410795</v>
      </c>
      <c r="H23" s="37">
        <f t="shared" ref="H23:I23" si="10">((2*H31)/H41)^(1/10)-1</f>
        <v>0.20233517075863849</v>
      </c>
      <c r="I23" s="37">
        <f t="shared" si="10"/>
        <v>0.2153539899612702</v>
      </c>
      <c r="J23" s="31">
        <f t="shared" ref="J23:L23" si="11">MEDIAN(J31:J41)</f>
        <v>29.489188342212472</v>
      </c>
      <c r="K23" s="31">
        <f t="shared" si="11"/>
        <v>16.326530612244898</v>
      </c>
      <c r="L23" s="37">
        <f t="shared" si="11"/>
        <v>0.2869891968060122</v>
      </c>
      <c r="N23" s="39" t="s">
        <v>77</v>
      </c>
      <c r="O23" s="39" t="s">
        <v>78</v>
      </c>
      <c r="P23" s="39" t="s">
        <v>79</v>
      </c>
      <c r="Q23" s="42"/>
    </row>
    <row r="24" spans="2:22">
      <c r="C24" s="30" t="s">
        <v>80</v>
      </c>
      <c r="D24" s="37">
        <f t="shared" ref="D24:I24" si="12">(D29/D31)^(1/2)-1</f>
        <v>0.28871914484538097</v>
      </c>
      <c r="E24" s="37">
        <f t="shared" si="12"/>
        <v>0.46615162277751132</v>
      </c>
      <c r="F24" s="37">
        <f t="shared" si="12"/>
        <v>0.46656730910352273</v>
      </c>
      <c r="G24" s="37">
        <f t="shared" si="12"/>
        <v>0.26839631012019072</v>
      </c>
      <c r="H24" s="37">
        <f t="shared" si="12"/>
        <v>0.55036548637347416</v>
      </c>
      <c r="I24" s="37">
        <f t="shared" si="12"/>
        <v>0.60745195061420865</v>
      </c>
      <c r="J24" s="31">
        <f t="shared" ref="J24:L24" si="13">AVERAGE(J29:J31)</f>
        <v>48.183325495954158</v>
      </c>
      <c r="K24" s="31">
        <f t="shared" si="13"/>
        <v>28.87627607491989</v>
      </c>
      <c r="L24" s="37">
        <f t="shared" si="13"/>
        <v>0.28913841728411632</v>
      </c>
      <c r="N24" s="40">
        <f>D4/N22</f>
        <v>41.091703056768559</v>
      </c>
      <c r="O24" s="40">
        <f ca="1">D3/O22</f>
        <v>68.078994614003591</v>
      </c>
      <c r="P24" s="40">
        <f ca="1">D3/P22</f>
        <v>70.222222222222229</v>
      </c>
      <c r="Q24" s="42"/>
    </row>
    <row r="25" spans="2:22">
      <c r="C25" s="30" t="s">
        <v>81</v>
      </c>
      <c r="D25" s="37">
        <f t="shared" ref="D25:I25" si="14">(D28/D29)-1</f>
        <v>-0.13314732142857144</v>
      </c>
      <c r="E25" s="37">
        <f t="shared" si="14"/>
        <v>-0.38412162162162167</v>
      </c>
      <c r="F25" s="37">
        <f t="shared" si="14"/>
        <v>-0.38405667144906741</v>
      </c>
      <c r="G25" s="37">
        <f t="shared" si="14"/>
        <v>8.8993576017130538E-2</v>
      </c>
      <c r="H25" s="37">
        <f t="shared" si="14"/>
        <v>-0.14470046082949306</v>
      </c>
      <c r="I25" s="37">
        <f t="shared" si="14"/>
        <v>-0.27666314677930304</v>
      </c>
      <c r="J25" s="32">
        <f t="shared" ref="J25:K25" si="15">J28</f>
        <v>67.549861697481447</v>
      </c>
      <c r="K25" s="32">
        <f t="shared" si="15"/>
        <v>39.889357985150681</v>
      </c>
      <c r="L25" s="37">
        <v>0.23</v>
      </c>
    </row>
    <row r="26" spans="2:22">
      <c r="F26" s="43"/>
      <c r="P26" s="44" t="s">
        <v>82</v>
      </c>
      <c r="Q26" s="45">
        <v>-0.28999999999999998</v>
      </c>
    </row>
    <row r="27" spans="2:22">
      <c r="B27" s="1" t="s">
        <v>83</v>
      </c>
      <c r="C27" s="1" t="s">
        <v>41</v>
      </c>
      <c r="D27" s="1" t="s">
        <v>65</v>
      </c>
      <c r="E27" s="1" t="s">
        <v>66</v>
      </c>
      <c r="F27" s="1" t="s">
        <v>44</v>
      </c>
      <c r="G27" s="1" t="s">
        <v>67</v>
      </c>
      <c r="H27" s="1" t="s">
        <v>68</v>
      </c>
      <c r="I27" s="1" t="s">
        <v>69</v>
      </c>
      <c r="J27" s="1" t="s">
        <v>70</v>
      </c>
      <c r="K27" s="1" t="s">
        <v>71</v>
      </c>
      <c r="L27" s="1" t="s">
        <v>72</v>
      </c>
      <c r="N27" s="1" t="s">
        <v>58</v>
      </c>
      <c r="O27" s="1" t="s">
        <v>84</v>
      </c>
      <c r="P27" s="1" t="s">
        <v>85</v>
      </c>
      <c r="Q27" s="1" t="s">
        <v>20</v>
      </c>
      <c r="S27" s="1" t="s">
        <v>86</v>
      </c>
      <c r="T27" s="1" t="s">
        <v>86</v>
      </c>
      <c r="U27" s="1" t="s">
        <v>87</v>
      </c>
      <c r="V27" s="1" t="s">
        <v>20</v>
      </c>
    </row>
    <row r="28" spans="2:22">
      <c r="B28" s="30" t="s">
        <v>81</v>
      </c>
      <c r="C28" s="46" t="s">
        <v>88</v>
      </c>
      <c r="D28" s="30">
        <v>7767</v>
      </c>
      <c r="E28" s="30">
        <v>1823</v>
      </c>
      <c r="F28" s="33">
        <v>68.69</v>
      </c>
      <c r="G28" s="47">
        <v>12714</v>
      </c>
      <c r="H28" s="48">
        <v>4640</v>
      </c>
      <c r="I28" s="48">
        <v>2740</v>
      </c>
      <c r="J28" s="49">
        <f t="shared" ref="J28:J47" si="16">H28/F28</f>
        <v>67.549861697481447</v>
      </c>
      <c r="K28" s="49">
        <f t="shared" ref="K28:K47" si="17">I28/F28</f>
        <v>39.889357985150681</v>
      </c>
      <c r="L28" s="50">
        <v>0.23</v>
      </c>
      <c r="N28" s="30" t="s">
        <v>62</v>
      </c>
      <c r="O28" s="30">
        <v>1778</v>
      </c>
      <c r="P28" s="30">
        <v>2255</v>
      </c>
      <c r="Q28" s="37">
        <f t="shared" ref="Q28:Q29" si="18">(O28/P28)^(1/1)-1</f>
        <v>-0.21152993348115301</v>
      </c>
      <c r="S28" s="30" t="s">
        <v>62</v>
      </c>
      <c r="T28" s="30">
        <v>1950</v>
      </c>
      <c r="U28" s="30">
        <v>2518</v>
      </c>
      <c r="V28" s="37">
        <f t="shared" ref="V28:V35" si="19">(T28/U28)^(1/1)-1</f>
        <v>-0.22557585385226375</v>
      </c>
    </row>
    <row r="29" spans="2:22">
      <c r="B29" s="30" t="s">
        <v>80</v>
      </c>
      <c r="C29" s="46" t="s">
        <v>89</v>
      </c>
      <c r="D29" s="30">
        <v>8960</v>
      </c>
      <c r="E29" s="30">
        <v>2960</v>
      </c>
      <c r="F29" s="33">
        <v>111.52</v>
      </c>
      <c r="G29" s="47">
        <v>11675</v>
      </c>
      <c r="H29" s="48">
        <v>5425</v>
      </c>
      <c r="I29" s="48">
        <v>3788</v>
      </c>
      <c r="J29" s="49">
        <f t="shared" si="16"/>
        <v>48.645982783357248</v>
      </c>
      <c r="K29" s="49">
        <f t="shared" si="17"/>
        <v>33.967001434720231</v>
      </c>
      <c r="L29" s="50">
        <v>0.33</v>
      </c>
      <c r="N29" s="30" t="s">
        <v>90</v>
      </c>
      <c r="O29" s="30">
        <v>1367</v>
      </c>
      <c r="P29" s="30">
        <v>1491</v>
      </c>
      <c r="Q29" s="37">
        <f t="shared" si="18"/>
        <v>-8.316566063044939E-2</v>
      </c>
      <c r="S29" s="30" t="s">
        <v>90</v>
      </c>
      <c r="T29" s="30">
        <v>1550</v>
      </c>
      <c r="U29" s="30">
        <v>1495</v>
      </c>
      <c r="V29" s="37">
        <f t="shared" si="19"/>
        <v>3.6789297658862852E-2</v>
      </c>
    </row>
    <row r="30" spans="2:22">
      <c r="B30" s="30" t="s">
        <v>80</v>
      </c>
      <c r="C30" s="46" t="s">
        <v>91</v>
      </c>
      <c r="D30" s="30">
        <v>7031</v>
      </c>
      <c r="E30" s="30">
        <v>1984</v>
      </c>
      <c r="F30" s="33">
        <v>74.75</v>
      </c>
      <c r="G30" s="47">
        <v>9241</v>
      </c>
      <c r="H30" s="48">
        <v>3915</v>
      </c>
      <c r="I30" s="48">
        <v>1823</v>
      </c>
      <c r="J30" s="49">
        <f t="shared" si="16"/>
        <v>52.374581939799334</v>
      </c>
      <c r="K30" s="49">
        <f t="shared" si="17"/>
        <v>24.387959866220736</v>
      </c>
      <c r="L30" s="50">
        <f t="shared" ref="L30:L50" si="20">E30/D30</f>
        <v>0.28217892191722371</v>
      </c>
      <c r="N30" s="30" t="s">
        <v>92</v>
      </c>
      <c r="O30" s="30">
        <v>0</v>
      </c>
      <c r="P30" s="30">
        <v>0</v>
      </c>
      <c r="Q30" s="37"/>
      <c r="S30" s="30" t="s">
        <v>92</v>
      </c>
      <c r="T30" s="30">
        <v>0.24</v>
      </c>
      <c r="U30" s="30">
        <v>0.08</v>
      </c>
      <c r="V30" s="37">
        <f t="shared" si="19"/>
        <v>2</v>
      </c>
    </row>
    <row r="31" spans="2:22">
      <c r="B31" s="30" t="s">
        <v>93</v>
      </c>
      <c r="C31" s="46" t="s">
        <v>94</v>
      </c>
      <c r="D31" s="30">
        <v>5395</v>
      </c>
      <c r="E31" s="30">
        <v>1377</v>
      </c>
      <c r="F31" s="33">
        <v>51.85</v>
      </c>
      <c r="G31" s="47">
        <v>7256.83</v>
      </c>
      <c r="H31" s="48">
        <v>2257</v>
      </c>
      <c r="I31" s="48">
        <v>1466</v>
      </c>
      <c r="J31" s="49">
        <f t="shared" si="16"/>
        <v>43.529411764705884</v>
      </c>
      <c r="K31" s="49">
        <f t="shared" si="17"/>
        <v>28.273866923818709</v>
      </c>
      <c r="L31" s="50">
        <f t="shared" si="20"/>
        <v>0.25523632993512513</v>
      </c>
      <c r="N31" s="30" t="s">
        <v>95</v>
      </c>
      <c r="O31" s="32">
        <v>492</v>
      </c>
      <c r="P31" s="32">
        <v>852</v>
      </c>
      <c r="Q31" s="37">
        <f t="shared" ref="Q31:Q33" si="21">(O31/P31)^(1/1)-1</f>
        <v>-0.42253521126760563</v>
      </c>
      <c r="S31" s="30" t="s">
        <v>95</v>
      </c>
      <c r="T31" s="32">
        <v>466</v>
      </c>
      <c r="U31" s="32">
        <v>1075</v>
      </c>
      <c r="V31" s="37">
        <f t="shared" si="19"/>
        <v>-0.56651162790697673</v>
      </c>
    </row>
    <row r="32" spans="2:22">
      <c r="B32" s="51"/>
      <c r="C32" s="46" t="s">
        <v>96</v>
      </c>
      <c r="D32" s="51">
        <v>5102</v>
      </c>
      <c r="E32" s="51">
        <v>1353</v>
      </c>
      <c r="F32" s="52">
        <v>50.96</v>
      </c>
      <c r="G32" s="47">
        <v>6896.23</v>
      </c>
      <c r="H32" s="53">
        <v>1767</v>
      </c>
      <c r="I32" s="53">
        <v>995</v>
      </c>
      <c r="J32" s="49">
        <f t="shared" si="16"/>
        <v>34.674254317111462</v>
      </c>
      <c r="K32" s="49">
        <f t="shared" si="17"/>
        <v>19.525117739403452</v>
      </c>
      <c r="L32" s="50">
        <f t="shared" si="20"/>
        <v>0.26519012152097216</v>
      </c>
      <c r="N32" s="30" t="s">
        <v>43</v>
      </c>
      <c r="O32" s="30">
        <v>356</v>
      </c>
      <c r="P32" s="30">
        <v>702</v>
      </c>
      <c r="Q32" s="37">
        <f t="shared" si="21"/>
        <v>-0.49287749287749283</v>
      </c>
      <c r="S32" s="30" t="s">
        <v>43</v>
      </c>
      <c r="T32" s="30">
        <v>320</v>
      </c>
      <c r="U32" s="30">
        <v>894</v>
      </c>
      <c r="V32" s="37">
        <f t="shared" si="19"/>
        <v>-0.64205816554809836</v>
      </c>
    </row>
    <row r="33" spans="1:22">
      <c r="B33" s="51"/>
      <c r="C33" s="46" t="s">
        <v>97</v>
      </c>
      <c r="D33" s="51">
        <v>3949</v>
      </c>
      <c r="E33" s="51">
        <v>870</v>
      </c>
      <c r="F33" s="52">
        <v>32.76</v>
      </c>
      <c r="G33" s="47">
        <v>5862.48</v>
      </c>
      <c r="H33" s="53">
        <v>1142</v>
      </c>
      <c r="I33" s="53">
        <v>533</v>
      </c>
      <c r="J33" s="49">
        <f t="shared" si="16"/>
        <v>34.859584859584864</v>
      </c>
      <c r="K33" s="49">
        <f t="shared" si="17"/>
        <v>16.269841269841272</v>
      </c>
      <c r="L33" s="50">
        <f t="shared" si="20"/>
        <v>0.2203089389718916</v>
      </c>
      <c r="N33" s="30" t="s">
        <v>44</v>
      </c>
      <c r="O33" s="30">
        <v>13.41</v>
      </c>
      <c r="P33" s="30">
        <v>26.44</v>
      </c>
      <c r="Q33" s="37">
        <f t="shared" si="21"/>
        <v>-0.49281391830559762</v>
      </c>
      <c r="S33" s="30" t="s">
        <v>44</v>
      </c>
      <c r="T33" s="30">
        <v>12.09</v>
      </c>
      <c r="U33" s="30">
        <v>33.700000000000003</v>
      </c>
      <c r="V33" s="37">
        <f t="shared" si="19"/>
        <v>-0.641246290801187</v>
      </c>
    </row>
    <row r="34" spans="1:22">
      <c r="B34" s="51"/>
      <c r="C34" s="46" t="s">
        <v>98</v>
      </c>
      <c r="D34" s="51">
        <v>4142</v>
      </c>
      <c r="E34" s="51">
        <v>1053</v>
      </c>
      <c r="F34" s="52">
        <v>39.68</v>
      </c>
      <c r="G34" s="47">
        <v>5304.3</v>
      </c>
      <c r="H34" s="53">
        <v>1380</v>
      </c>
      <c r="I34" s="53">
        <v>612</v>
      </c>
      <c r="J34" s="49">
        <f t="shared" si="16"/>
        <v>34.778225806451616</v>
      </c>
      <c r="K34" s="49">
        <f t="shared" si="17"/>
        <v>15.423387096774194</v>
      </c>
      <c r="L34" s="50">
        <f t="shared" si="20"/>
        <v>0.25422501207146309</v>
      </c>
      <c r="N34" s="30" t="s">
        <v>54</v>
      </c>
      <c r="O34" s="38">
        <f t="shared" ref="O34:P34" si="22">O32/O28</f>
        <v>0.20022497187851518</v>
      </c>
      <c r="P34" s="37">
        <f t="shared" si="22"/>
        <v>0.31130820399113079</v>
      </c>
      <c r="Q34" s="37">
        <f>O34-P34</f>
        <v>-0.11108323211261562</v>
      </c>
      <c r="S34" s="30" t="s">
        <v>54</v>
      </c>
      <c r="T34" s="37">
        <f t="shared" ref="T34:U34" si="23">T32/T28</f>
        <v>0.1641025641025641</v>
      </c>
      <c r="U34" s="37">
        <f t="shared" si="23"/>
        <v>0.35504368546465448</v>
      </c>
      <c r="V34" s="37">
        <f t="shared" si="19"/>
        <v>-0.53779613376928814</v>
      </c>
    </row>
    <row r="35" spans="1:22">
      <c r="B35" s="51" t="s">
        <v>99</v>
      </c>
      <c r="C35" s="46" t="s">
        <v>100</v>
      </c>
      <c r="D35" s="51">
        <v>3816</v>
      </c>
      <c r="E35" s="51">
        <v>1108</v>
      </c>
      <c r="F35" s="52">
        <v>41.73</v>
      </c>
      <c r="G35" s="47">
        <v>4240.21</v>
      </c>
      <c r="H35" s="53">
        <v>1242</v>
      </c>
      <c r="I35" s="53">
        <v>918</v>
      </c>
      <c r="J35" s="49">
        <f t="shared" si="16"/>
        <v>29.7627606038821</v>
      </c>
      <c r="K35" s="49">
        <f t="shared" si="17"/>
        <v>21.998562185478075</v>
      </c>
      <c r="L35" s="50">
        <f t="shared" si="20"/>
        <v>0.29035639412997905</v>
      </c>
      <c r="N35" s="30" t="s">
        <v>31</v>
      </c>
      <c r="O35" s="32">
        <f t="shared" ref="O35:P35" si="24">(O28-O29+O30)</f>
        <v>411</v>
      </c>
      <c r="P35" s="32">
        <f t="shared" si="24"/>
        <v>764</v>
      </c>
      <c r="Q35" s="37">
        <f>(O35/P35)^(1/1)-1</f>
        <v>-0.4620418848167539</v>
      </c>
      <c r="S35" s="30" t="s">
        <v>31</v>
      </c>
      <c r="T35" s="32">
        <f t="shared" ref="T35:U35" si="25">(T28-T29+T30)/T30</f>
        <v>1667.6666666666667</v>
      </c>
      <c r="U35" s="32">
        <f t="shared" si="25"/>
        <v>12788.5</v>
      </c>
      <c r="V35" s="37">
        <f t="shared" si="19"/>
        <v>-0.86959638216626911</v>
      </c>
    </row>
    <row r="36" spans="1:22">
      <c r="B36" s="51"/>
      <c r="C36" s="46" t="s">
        <v>101</v>
      </c>
      <c r="D36" s="51">
        <v>3127</v>
      </c>
      <c r="E36" s="51">
        <v>847</v>
      </c>
      <c r="F36" s="52">
        <v>63.82</v>
      </c>
      <c r="G36" s="47">
        <v>3468.81</v>
      </c>
      <c r="H36" s="53">
        <v>1882</v>
      </c>
      <c r="I36" s="53">
        <v>1217</v>
      </c>
      <c r="J36" s="49">
        <f t="shared" si="16"/>
        <v>29.489188342212472</v>
      </c>
      <c r="K36" s="49">
        <f t="shared" si="17"/>
        <v>19.069257286117203</v>
      </c>
      <c r="L36" s="50">
        <f t="shared" si="20"/>
        <v>0.27086664534697791</v>
      </c>
    </row>
    <row r="37" spans="1:22">
      <c r="A37" s="44" t="s">
        <v>102</v>
      </c>
      <c r="B37" s="51"/>
      <c r="C37" s="46" t="s">
        <v>103</v>
      </c>
      <c r="D37" s="51">
        <v>2514</v>
      </c>
      <c r="E37" s="51">
        <v>792</v>
      </c>
      <c r="F37" s="52">
        <v>59.65</v>
      </c>
      <c r="G37" s="47">
        <v>2936.8</v>
      </c>
      <c r="H37" s="53">
        <v>1459</v>
      </c>
      <c r="I37" s="53">
        <v>905</v>
      </c>
      <c r="J37" s="49">
        <f t="shared" si="16"/>
        <v>24.459346186085501</v>
      </c>
      <c r="K37" s="49">
        <f t="shared" si="17"/>
        <v>15.171835708298408</v>
      </c>
      <c r="L37" s="50">
        <f t="shared" si="20"/>
        <v>0.31503579952267302</v>
      </c>
      <c r="N37" s="1" t="s">
        <v>104</v>
      </c>
      <c r="O37" s="1" t="s">
        <v>84</v>
      </c>
      <c r="P37" s="1" t="s">
        <v>85</v>
      </c>
      <c r="Q37" s="1" t="s">
        <v>105</v>
      </c>
      <c r="R37" s="1" t="s">
        <v>20</v>
      </c>
    </row>
    <row r="38" spans="1:22">
      <c r="B38" s="51"/>
      <c r="C38" s="46" t="s">
        <v>106</v>
      </c>
      <c r="D38" s="51">
        <v>2129</v>
      </c>
      <c r="E38" s="51">
        <v>611</v>
      </c>
      <c r="F38" s="52">
        <v>46.06</v>
      </c>
      <c r="G38" s="47">
        <v>2474.04</v>
      </c>
      <c r="H38" s="53">
        <v>1233</v>
      </c>
      <c r="I38" s="53">
        <v>752</v>
      </c>
      <c r="J38" s="49">
        <f t="shared" si="16"/>
        <v>26.769431176726009</v>
      </c>
      <c r="K38" s="49">
        <f t="shared" si="17"/>
        <v>16.326530612244898</v>
      </c>
      <c r="L38" s="50">
        <f t="shared" si="20"/>
        <v>0.2869891968060122</v>
      </c>
      <c r="N38" s="30" t="s">
        <v>107</v>
      </c>
      <c r="O38" s="30">
        <v>829</v>
      </c>
      <c r="P38" s="30">
        <v>779</v>
      </c>
      <c r="Q38" s="37">
        <f t="shared" ref="Q38:Q44" si="26">O38/$O$46</f>
        <v>0.60643745427944407</v>
      </c>
      <c r="R38" s="37">
        <f t="shared" ref="R38:R39" si="27">(O38/P38)^(1/1)-1</f>
        <v>6.4184852374839618E-2</v>
      </c>
    </row>
    <row r="39" spans="1:22">
      <c r="B39" s="51"/>
      <c r="C39" s="46" t="s">
        <v>108</v>
      </c>
      <c r="D39" s="51">
        <v>1845</v>
      </c>
      <c r="E39" s="51">
        <v>546</v>
      </c>
      <c r="F39" s="52">
        <v>41.15</v>
      </c>
      <c r="G39" s="47">
        <v>2104.9699999999998</v>
      </c>
      <c r="H39" s="53">
        <v>843</v>
      </c>
      <c r="I39" s="53">
        <v>668</v>
      </c>
      <c r="J39" s="49">
        <f t="shared" si="16"/>
        <v>20.486026731470233</v>
      </c>
      <c r="K39" s="49">
        <f t="shared" si="17"/>
        <v>16.233292831105711</v>
      </c>
      <c r="L39" s="50">
        <f t="shared" si="20"/>
        <v>0.29593495934959352</v>
      </c>
      <c r="N39" s="30" t="s">
        <v>109</v>
      </c>
      <c r="O39" s="30">
        <v>0</v>
      </c>
      <c r="P39" s="30">
        <v>4</v>
      </c>
      <c r="Q39" s="37">
        <f t="shared" si="26"/>
        <v>0</v>
      </c>
      <c r="R39" s="37">
        <f t="shared" si="27"/>
        <v>-1</v>
      </c>
    </row>
    <row r="40" spans="1:22">
      <c r="B40" s="51"/>
      <c r="C40" s="46" t="s">
        <v>110</v>
      </c>
      <c r="D40" s="51">
        <v>1319</v>
      </c>
      <c r="E40" s="51">
        <v>436</v>
      </c>
      <c r="F40" s="52">
        <v>32.9</v>
      </c>
      <c r="G40" s="47">
        <v>1770.95</v>
      </c>
      <c r="H40" s="53">
        <v>784</v>
      </c>
      <c r="I40" s="53">
        <v>582</v>
      </c>
      <c r="J40" s="49">
        <f t="shared" si="16"/>
        <v>23.829787234042556</v>
      </c>
      <c r="K40" s="49">
        <f t="shared" si="17"/>
        <v>17.689969604863222</v>
      </c>
      <c r="L40" s="50">
        <f t="shared" si="20"/>
        <v>0.33055344958301741</v>
      </c>
      <c r="N40" s="30" t="s">
        <v>111</v>
      </c>
      <c r="O40" s="30">
        <v>-141</v>
      </c>
      <c r="P40" s="30">
        <v>29</v>
      </c>
      <c r="Q40" s="37">
        <f t="shared" si="26"/>
        <v>-0.10314557425018288</v>
      </c>
      <c r="R40" s="37">
        <v>-5.86</v>
      </c>
    </row>
    <row r="41" spans="1:22">
      <c r="B41" s="51" t="s">
        <v>99</v>
      </c>
      <c r="C41" s="46" t="s">
        <v>112</v>
      </c>
      <c r="D41" s="51">
        <v>947</v>
      </c>
      <c r="E41" s="51">
        <v>344</v>
      </c>
      <c r="F41" s="52">
        <v>26.4</v>
      </c>
      <c r="G41" s="47">
        <v>1491.37</v>
      </c>
      <c r="H41" s="53">
        <v>715</v>
      </c>
      <c r="I41" s="53">
        <v>417</v>
      </c>
      <c r="J41" s="49">
        <f t="shared" si="16"/>
        <v>27.083333333333336</v>
      </c>
      <c r="K41" s="49">
        <f t="shared" si="17"/>
        <v>15.795454545454547</v>
      </c>
      <c r="L41" s="50">
        <f t="shared" si="20"/>
        <v>0.36325237592397042</v>
      </c>
      <c r="N41" s="30" t="s">
        <v>113</v>
      </c>
      <c r="O41" s="32">
        <v>263</v>
      </c>
      <c r="P41" s="32">
        <v>246</v>
      </c>
      <c r="Q41" s="37">
        <f t="shared" si="26"/>
        <v>0.19239209948792976</v>
      </c>
      <c r="R41" s="37">
        <f t="shared" ref="R41:R44" si="28">(O41/P41)^(1/1)-1</f>
        <v>6.9105691056910556E-2</v>
      </c>
    </row>
    <row r="42" spans="1:22">
      <c r="B42" s="51"/>
      <c r="C42" s="46" t="s">
        <v>114</v>
      </c>
      <c r="D42" s="51">
        <v>1204</v>
      </c>
      <c r="E42" s="51">
        <v>425</v>
      </c>
      <c r="F42" s="52">
        <v>65.59</v>
      </c>
      <c r="G42" s="47">
        <v>1228.43</v>
      </c>
      <c r="H42" s="53">
        <v>1635</v>
      </c>
      <c r="I42" s="53">
        <v>765</v>
      </c>
      <c r="J42" s="49">
        <f t="shared" si="16"/>
        <v>24.927580423845097</v>
      </c>
      <c r="K42" s="49">
        <f t="shared" si="17"/>
        <v>11.663363317578899</v>
      </c>
      <c r="L42" s="50">
        <f t="shared" si="20"/>
        <v>0.35299003322259137</v>
      </c>
      <c r="N42" s="30" t="s">
        <v>115</v>
      </c>
      <c r="O42" s="30">
        <v>93</v>
      </c>
      <c r="P42" s="30">
        <v>84</v>
      </c>
      <c r="Q42" s="37">
        <f t="shared" si="26"/>
        <v>6.8032187271397218E-2</v>
      </c>
      <c r="R42" s="37">
        <f t="shared" si="28"/>
        <v>0.10714285714285721</v>
      </c>
    </row>
    <row r="43" spans="1:22">
      <c r="B43" s="51"/>
      <c r="C43" s="46" t="s">
        <v>116</v>
      </c>
      <c r="D43" s="51">
        <v>1047</v>
      </c>
      <c r="E43" s="51">
        <v>348</v>
      </c>
      <c r="F43" s="52">
        <v>54.77</v>
      </c>
      <c r="G43" s="54">
        <v>848</v>
      </c>
      <c r="H43" s="53">
        <v>7180</v>
      </c>
      <c r="I43" s="53">
        <v>990</v>
      </c>
      <c r="J43" s="49">
        <f t="shared" si="16"/>
        <v>131.09366441482564</v>
      </c>
      <c r="K43" s="49">
        <f t="shared" si="17"/>
        <v>18.075588825999635</v>
      </c>
      <c r="L43" s="50">
        <f t="shared" si="20"/>
        <v>0.33237822349570201</v>
      </c>
      <c r="N43" s="30" t="s">
        <v>92</v>
      </c>
      <c r="O43" s="30">
        <v>0</v>
      </c>
      <c r="P43" s="30">
        <v>0</v>
      </c>
      <c r="Q43" s="37">
        <f t="shared" si="26"/>
        <v>0</v>
      </c>
      <c r="R43" s="37" t="e">
        <f t="shared" si="28"/>
        <v>#DIV/0!</v>
      </c>
    </row>
    <row r="44" spans="1:22">
      <c r="B44" s="51"/>
      <c r="C44" s="46" t="s">
        <v>117</v>
      </c>
      <c r="D44" s="51">
        <v>738</v>
      </c>
      <c r="E44" s="51">
        <v>192</v>
      </c>
      <c r="F44" s="52">
        <v>29.9</v>
      </c>
      <c r="G44" s="54">
        <v>529</v>
      </c>
      <c r="H44" s="53">
        <v>3541</v>
      </c>
      <c r="I44" s="53">
        <v>1118</v>
      </c>
      <c r="J44" s="49">
        <f t="shared" si="16"/>
        <v>118.42809364548495</v>
      </c>
      <c r="K44" s="49">
        <f t="shared" si="17"/>
        <v>37.391304347826086</v>
      </c>
      <c r="L44" s="50">
        <f t="shared" si="20"/>
        <v>0.26016260162601629</v>
      </c>
      <c r="N44" s="30" t="s">
        <v>118</v>
      </c>
      <c r="O44" s="30">
        <v>323</v>
      </c>
      <c r="P44" s="30">
        <v>349</v>
      </c>
      <c r="Q44" s="37">
        <f t="shared" si="26"/>
        <v>0.23628383321141186</v>
      </c>
      <c r="R44" s="37">
        <f t="shared" si="28"/>
        <v>-7.4498567335243515E-2</v>
      </c>
    </row>
    <row r="45" spans="1:22">
      <c r="B45" s="51"/>
      <c r="C45" s="46" t="s">
        <v>119</v>
      </c>
      <c r="D45" s="51">
        <v>392</v>
      </c>
      <c r="E45" s="51">
        <v>70.400000000000006</v>
      </c>
      <c r="F45" s="52">
        <v>11</v>
      </c>
      <c r="G45" s="54">
        <v>328</v>
      </c>
      <c r="H45" s="53">
        <v>1920</v>
      </c>
      <c r="I45" s="53">
        <v>901</v>
      </c>
      <c r="J45" s="49">
        <f t="shared" si="16"/>
        <v>174.54545454545453</v>
      </c>
      <c r="K45" s="49">
        <f t="shared" si="17"/>
        <v>81.909090909090907</v>
      </c>
      <c r="L45" s="50">
        <f t="shared" si="20"/>
        <v>0.17959183673469389</v>
      </c>
      <c r="N45" s="30"/>
      <c r="O45" s="30"/>
      <c r="P45" s="30"/>
      <c r="Q45" s="30"/>
      <c r="R45" s="37"/>
    </row>
    <row r="46" spans="1:22">
      <c r="B46" s="51"/>
      <c r="C46" s="46" t="s">
        <v>120</v>
      </c>
      <c r="D46" s="51">
        <v>365</v>
      </c>
      <c r="E46" s="51">
        <v>66</v>
      </c>
      <c r="F46" s="52">
        <v>10.3</v>
      </c>
      <c r="G46" s="54">
        <v>270</v>
      </c>
      <c r="H46" s="53">
        <v>1636</v>
      </c>
      <c r="I46" s="53">
        <v>940</v>
      </c>
      <c r="J46" s="49">
        <f t="shared" si="16"/>
        <v>158.83495145631068</v>
      </c>
      <c r="K46" s="49">
        <f t="shared" si="17"/>
        <v>91.262135922330089</v>
      </c>
      <c r="L46" s="50">
        <f t="shared" si="20"/>
        <v>0.18082191780821918</v>
      </c>
      <c r="N46" s="55" t="s">
        <v>121</v>
      </c>
      <c r="O46" s="56">
        <f t="shared" ref="O46:P46" si="29">SUM(O38:O44)</f>
        <v>1367</v>
      </c>
      <c r="P46" s="56">
        <f t="shared" si="29"/>
        <v>1491</v>
      </c>
      <c r="Q46" s="57">
        <f>O46/$O$46</f>
        <v>1</v>
      </c>
      <c r="R46" s="57">
        <f>(O46/P46)^(1/1)-1</f>
        <v>-8.316566063044939E-2</v>
      </c>
    </row>
    <row r="47" spans="1:22">
      <c r="B47" s="51"/>
      <c r="C47" s="46" t="s">
        <v>122</v>
      </c>
      <c r="D47" s="51">
        <v>317</v>
      </c>
      <c r="E47" s="51">
        <v>72.8</v>
      </c>
      <c r="F47" s="52">
        <v>11.37</v>
      </c>
      <c r="G47" s="54">
        <v>216</v>
      </c>
      <c r="H47" s="53">
        <v>2045</v>
      </c>
      <c r="I47" s="58">
        <v>1540</v>
      </c>
      <c r="J47" s="49">
        <f t="shared" si="16"/>
        <v>179.85927880386984</v>
      </c>
      <c r="K47" s="49">
        <f t="shared" si="17"/>
        <v>135.44415127528586</v>
      </c>
      <c r="L47" s="50">
        <f t="shared" si="20"/>
        <v>0.22965299684542587</v>
      </c>
    </row>
    <row r="48" spans="1:22">
      <c r="B48" s="51" t="s">
        <v>123</v>
      </c>
      <c r="C48" s="46" t="s">
        <v>124</v>
      </c>
      <c r="D48" s="51">
        <v>260</v>
      </c>
      <c r="E48" s="51">
        <v>54.9</v>
      </c>
      <c r="F48" s="52">
        <v>8.57</v>
      </c>
      <c r="G48" s="54">
        <v>155</v>
      </c>
      <c r="H48" s="30"/>
      <c r="I48" s="30"/>
      <c r="J48" s="30"/>
      <c r="K48" s="51"/>
      <c r="L48" s="50">
        <f t="shared" si="20"/>
        <v>0.21115384615384614</v>
      </c>
      <c r="N48" s="1" t="s">
        <v>125</v>
      </c>
      <c r="O48" s="1">
        <v>2022</v>
      </c>
    </row>
    <row r="49" spans="2:15">
      <c r="B49" s="51"/>
      <c r="C49" s="46" t="s">
        <v>126</v>
      </c>
      <c r="D49" s="51">
        <v>220</v>
      </c>
      <c r="E49" s="51">
        <v>36.6</v>
      </c>
      <c r="F49" s="52">
        <v>6.33</v>
      </c>
      <c r="G49" s="54">
        <v>95</v>
      </c>
      <c r="H49" s="30"/>
      <c r="I49" s="30"/>
      <c r="J49" s="30"/>
      <c r="K49" s="51"/>
      <c r="L49" s="50">
        <f t="shared" si="20"/>
        <v>0.16636363636363638</v>
      </c>
      <c r="N49" s="30" t="s">
        <v>127</v>
      </c>
      <c r="O49" s="37">
        <v>0.52</v>
      </c>
    </row>
    <row r="50" spans="2:15">
      <c r="B50" s="51"/>
      <c r="C50" s="46" t="s">
        <v>128</v>
      </c>
      <c r="D50" s="51">
        <v>197</v>
      </c>
      <c r="E50" s="51">
        <v>26.3</v>
      </c>
      <c r="F50" s="52">
        <v>4.55</v>
      </c>
      <c r="G50" s="54">
        <v>81</v>
      </c>
      <c r="H50" s="30"/>
      <c r="I50" s="30"/>
      <c r="J50" s="30"/>
      <c r="K50" s="51"/>
      <c r="L50" s="50">
        <f t="shared" si="20"/>
        <v>0.13350253807106599</v>
      </c>
      <c r="N50" s="30" t="s">
        <v>129</v>
      </c>
      <c r="O50" s="37">
        <v>0.18</v>
      </c>
    </row>
    <row r="51" spans="2:15">
      <c r="N51" s="30" t="s">
        <v>130</v>
      </c>
      <c r="O51" s="37">
        <v>0.21</v>
      </c>
    </row>
    <row r="52" spans="2:15">
      <c r="N52" s="30" t="s">
        <v>131</v>
      </c>
      <c r="O52" s="37">
        <v>0.09</v>
      </c>
    </row>
    <row r="53" spans="2:15">
      <c r="N53" s="30"/>
    </row>
  </sheetData>
  <mergeCells count="1">
    <mergeCell ref="Q22:Q24"/>
  </mergeCells>
  <conditionalFormatting sqref="D28:D50">
    <cfRule type="colorScale" priority="1">
      <colorScale>
        <cfvo type="min"/>
        <cfvo type="max"/>
        <color rgb="FFFFFFFF"/>
        <color rgb="FF57BB8A"/>
      </colorScale>
    </cfRule>
  </conditionalFormatting>
  <conditionalFormatting sqref="D17:F1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22:I2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8:E50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7:G18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8:G50">
    <cfRule type="colorScale" priority="3">
      <colorScale>
        <cfvo type="min"/>
        <cfvo type="max"/>
        <color rgb="FFFFFFFF"/>
        <color rgb="FF57BB8A"/>
      </colorScale>
    </cfRule>
  </conditionalFormatting>
  <conditionalFormatting sqref="J22:K25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28:K47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4:M1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7:M17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8:M1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19:M19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2:L25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8:L5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2:P22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24:P24">
    <cfRule type="colorScale" priority="15">
      <colorScale>
        <cfvo type="min"/>
        <cfvo type="max"/>
        <color rgb="FFFFFFFF"/>
        <color rgb="FFE67C73"/>
      </colorScale>
    </cfRule>
  </conditionalFormatting>
  <conditionalFormatting sqref="Q28:Q35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38:Q44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R38:R44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8:V35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DIVISLAB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2023-09-12T08:43:58Z</dcterms:created>
  <dcterms:modified xsi:type="dcterms:W3CDTF">2023-09-12T08:54:35Z</dcterms:modified>
</cp:coreProperties>
</file>