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i\Desktop\Documents\Annual Result\Q3_FY24\"/>
    </mc:Choice>
  </mc:AlternateContent>
  <xr:revisionPtr revIDLastSave="0" documentId="8_{56067C5E-0653-4B97-9198-70B2C3CAF821}" xr6:coauthVersionLast="47" xr6:coauthVersionMax="47" xr10:uidLastSave="{00000000-0000-0000-0000-000000000000}"/>
  <bookViews>
    <workbookView xWindow="-108" yWindow="-108" windowWidth="23256" windowHeight="12456" xr2:uid="{E26B6D62-4853-4D29-A7DA-8930BC820BA4}"/>
  </bookViews>
  <sheets>
    <sheet name="BritanniaINtrinsic" sheetId="1" r:id="rId1"/>
    <sheet name="PACKAGED FOOD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28" i="2" l="1"/>
  <c r="AF228" i="2"/>
  <c r="V228" i="2"/>
  <c r="U228" i="2"/>
  <c r="T228" i="2"/>
  <c r="S228" i="2"/>
  <c r="Z228" i="2" s="1"/>
  <c r="R228" i="2"/>
  <c r="Q228" i="2"/>
  <c r="Y228" i="2" s="1"/>
  <c r="P228" i="2"/>
  <c r="O228" i="2"/>
  <c r="M228" i="2"/>
  <c r="L228" i="2"/>
  <c r="AC228" i="2" s="1"/>
  <c r="K228" i="2"/>
  <c r="AD228" i="2" s="1"/>
  <c r="J228" i="2"/>
  <c r="I228" i="2"/>
  <c r="AG228" i="2" s="1"/>
  <c r="H228" i="2"/>
  <c r="AE228" i="2" s="1"/>
  <c r="G228" i="2"/>
  <c r="F228" i="2"/>
  <c r="E228" i="2"/>
  <c r="AB228" i="2" s="1"/>
  <c r="D228" i="2"/>
  <c r="AL204" i="2"/>
  <c r="AK204" i="2"/>
  <c r="AI204" i="2"/>
  <c r="AH204" i="2"/>
  <c r="AG204" i="2"/>
  <c r="AF204" i="2"/>
  <c r="AE204" i="2"/>
  <c r="AD204" i="2"/>
  <c r="AC204" i="2"/>
  <c r="AB204" i="2"/>
  <c r="AA204" i="2"/>
  <c r="Z204" i="2"/>
  <c r="Y204" i="2"/>
  <c r="X204" i="2"/>
  <c r="W204" i="2"/>
  <c r="N204" i="2"/>
  <c r="AJ204" i="2" s="1"/>
  <c r="AK203" i="2"/>
  <c r="AL203" i="2" s="1"/>
  <c r="AJ203" i="2"/>
  <c r="AI203" i="2"/>
  <c r="AH203" i="2"/>
  <c r="AG203" i="2"/>
  <c r="AF203" i="2"/>
  <c r="AE203" i="2"/>
  <c r="AD203" i="2"/>
  <c r="AC203" i="2"/>
  <c r="AB203" i="2"/>
  <c r="AA203" i="2"/>
  <c r="Z203" i="2"/>
  <c r="Y203" i="2"/>
  <c r="X203" i="2"/>
  <c r="W203" i="2"/>
  <c r="N203" i="2"/>
  <c r="AL202" i="2"/>
  <c r="AK202" i="2"/>
  <c r="AI202" i="2"/>
  <c r="AH202" i="2"/>
  <c r="AG202" i="2"/>
  <c r="AF202" i="2"/>
  <c r="AE202" i="2"/>
  <c r="AD202" i="2"/>
  <c r="AC202" i="2"/>
  <c r="AB202" i="2"/>
  <c r="AA202" i="2"/>
  <c r="Z202" i="2"/>
  <c r="Y202" i="2"/>
  <c r="X202" i="2"/>
  <c r="W202" i="2"/>
  <c r="N202" i="2"/>
  <c r="AJ202" i="2" s="1"/>
  <c r="AL201" i="2"/>
  <c r="AK201" i="2"/>
  <c r="AI201" i="2"/>
  <c r="AH201" i="2"/>
  <c r="AG201" i="2"/>
  <c r="AF201" i="2"/>
  <c r="AE201" i="2"/>
  <c r="AD201" i="2"/>
  <c r="AC201" i="2"/>
  <c r="AB201" i="2"/>
  <c r="AA201" i="2"/>
  <c r="Z201" i="2"/>
  <c r="Y201" i="2"/>
  <c r="X201" i="2"/>
  <c r="W201" i="2"/>
  <c r="N201" i="2"/>
  <c r="AJ201" i="2" s="1"/>
  <c r="AK200" i="2"/>
  <c r="AL200" i="2" s="1"/>
  <c r="AJ200" i="2"/>
  <c r="AI200" i="2"/>
  <c r="AH200" i="2"/>
  <c r="AG200" i="2"/>
  <c r="AF200" i="2"/>
  <c r="AE200" i="2"/>
  <c r="AD200" i="2"/>
  <c r="AC200" i="2"/>
  <c r="AB200" i="2"/>
  <c r="AA200" i="2"/>
  <c r="Z200" i="2"/>
  <c r="Y200" i="2"/>
  <c r="X200" i="2"/>
  <c r="W200" i="2"/>
  <c r="N200" i="2"/>
  <c r="AL199" i="2"/>
  <c r="AK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W199" i="2"/>
  <c r="N199" i="2"/>
  <c r="AJ199" i="2" s="1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W198" i="2"/>
  <c r="N198" i="2"/>
  <c r="AK197" i="2"/>
  <c r="AL197" i="2" s="1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W197" i="2"/>
  <c r="N197" i="2"/>
  <c r="AL196" i="2"/>
  <c r="AK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W196" i="2"/>
  <c r="N196" i="2"/>
  <c r="AJ196" i="2" s="1"/>
  <c r="AK195" i="2"/>
  <c r="AL195" i="2" s="1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W195" i="2"/>
  <c r="N195" i="2"/>
  <c r="AL194" i="2"/>
  <c r="AK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W194" i="2"/>
  <c r="N194" i="2"/>
  <c r="AJ194" i="2" s="1"/>
  <c r="K172" i="2"/>
  <c r="G172" i="2"/>
  <c r="C172" i="2"/>
  <c r="K21" i="2"/>
  <c r="G21" i="2"/>
  <c r="C21" i="2"/>
  <c r="D77" i="1"/>
  <c r="Q60" i="1"/>
  <c r="P60" i="1"/>
  <c r="S60" i="1" s="1"/>
  <c r="H59" i="1"/>
  <c r="S58" i="1"/>
  <c r="S57" i="1"/>
  <c r="S56" i="1"/>
  <c r="R56" i="1"/>
  <c r="S55" i="1"/>
  <c r="S54" i="1"/>
  <c r="S53" i="1"/>
  <c r="S52" i="1"/>
  <c r="R52" i="1"/>
  <c r="F49" i="1"/>
  <c r="C49" i="1"/>
  <c r="C52" i="1" s="1"/>
  <c r="D52" i="1" s="1"/>
  <c r="V48" i="1"/>
  <c r="U48" i="1"/>
  <c r="W48" i="1" s="1"/>
  <c r="Q48" i="1"/>
  <c r="R48" i="1" s="1"/>
  <c r="P48" i="1"/>
  <c r="M48" i="1"/>
  <c r="I57" i="1" s="1"/>
  <c r="V47" i="1"/>
  <c r="U47" i="1"/>
  <c r="W47" i="1" s="1"/>
  <c r="R47" i="1"/>
  <c r="Q47" i="1"/>
  <c r="P47" i="1"/>
  <c r="D9" i="1" s="1"/>
  <c r="W46" i="1"/>
  <c r="R46" i="1"/>
  <c r="W45" i="1"/>
  <c r="R45" i="1"/>
  <c r="L45" i="1"/>
  <c r="J45" i="1"/>
  <c r="I45" i="1"/>
  <c r="H45" i="1"/>
  <c r="G45" i="1"/>
  <c r="F45" i="1"/>
  <c r="E45" i="1"/>
  <c r="D45" i="1"/>
  <c r="C45" i="1"/>
  <c r="W44" i="1"/>
  <c r="R44" i="1"/>
  <c r="J44" i="1"/>
  <c r="I44" i="1"/>
  <c r="G44" i="1"/>
  <c r="F44" i="1"/>
  <c r="E44" i="1"/>
  <c r="D44" i="1"/>
  <c r="C44" i="1"/>
  <c r="W43" i="1"/>
  <c r="R43" i="1"/>
  <c r="J43" i="1"/>
  <c r="I43" i="1"/>
  <c r="G43" i="1"/>
  <c r="F43" i="1"/>
  <c r="E43" i="1"/>
  <c r="D43" i="1"/>
  <c r="C43" i="1"/>
  <c r="W42" i="1"/>
  <c r="R42" i="1"/>
  <c r="J42" i="1"/>
  <c r="I42" i="1"/>
  <c r="G42" i="1"/>
  <c r="F42" i="1"/>
  <c r="E42" i="1"/>
  <c r="D42" i="1"/>
  <c r="C42" i="1"/>
  <c r="C48" i="1" s="1"/>
  <c r="L39" i="1"/>
  <c r="K39" i="1"/>
  <c r="K45" i="1" s="1"/>
  <c r="L38" i="1"/>
  <c r="K38" i="1"/>
  <c r="L37" i="1"/>
  <c r="K37" i="1"/>
  <c r="H37" i="1"/>
  <c r="L36" i="1"/>
  <c r="K36" i="1"/>
  <c r="H36" i="1"/>
  <c r="L35" i="1"/>
  <c r="K35" i="1"/>
  <c r="H35" i="1"/>
  <c r="H44" i="1" s="1"/>
  <c r="L34" i="1"/>
  <c r="L44" i="1" s="1"/>
  <c r="K34" i="1"/>
  <c r="K44" i="1" s="1"/>
  <c r="M44" i="1" s="1"/>
  <c r="H34" i="1"/>
  <c r="G34" i="1"/>
  <c r="L33" i="1"/>
  <c r="K33" i="1"/>
  <c r="K43" i="1" s="1"/>
  <c r="M43" i="1" s="1"/>
  <c r="H33" i="1"/>
  <c r="L32" i="1"/>
  <c r="K32" i="1"/>
  <c r="H32" i="1"/>
  <c r="L31" i="1"/>
  <c r="K31" i="1"/>
  <c r="H31" i="1"/>
  <c r="L30" i="1"/>
  <c r="K30" i="1"/>
  <c r="H30" i="1"/>
  <c r="L29" i="1"/>
  <c r="K29" i="1"/>
  <c r="H29" i="1"/>
  <c r="L28" i="1"/>
  <c r="K28" i="1"/>
  <c r="H28" i="1"/>
  <c r="L27" i="1"/>
  <c r="K27" i="1"/>
  <c r="H27" i="1"/>
  <c r="K26" i="1"/>
  <c r="H26" i="1"/>
  <c r="G26" i="1"/>
  <c r="L26" i="1" s="1"/>
  <c r="L25" i="1"/>
  <c r="L43" i="1" s="1"/>
  <c r="K25" i="1"/>
  <c r="H25" i="1"/>
  <c r="L24" i="1"/>
  <c r="K24" i="1"/>
  <c r="H24" i="1"/>
  <c r="H43" i="1" s="1"/>
  <c r="L23" i="1"/>
  <c r="K23" i="1"/>
  <c r="H23" i="1"/>
  <c r="L22" i="1"/>
  <c r="K22" i="1"/>
  <c r="H22" i="1"/>
  <c r="L21" i="1"/>
  <c r="K21" i="1"/>
  <c r="H21" i="1"/>
  <c r="L20" i="1"/>
  <c r="K20" i="1"/>
  <c r="K42" i="1" s="1"/>
  <c r="H20" i="1"/>
  <c r="L19" i="1"/>
  <c r="K19" i="1"/>
  <c r="H19" i="1"/>
  <c r="L18" i="1"/>
  <c r="K18" i="1"/>
  <c r="H18" i="1"/>
  <c r="L17" i="1"/>
  <c r="L42" i="1" s="1"/>
  <c r="K17" i="1"/>
  <c r="H17" i="1"/>
  <c r="L16" i="1"/>
  <c r="K16" i="1"/>
  <c r="H16" i="1"/>
  <c r="L15" i="1"/>
  <c r="K15" i="1"/>
  <c r="H15" i="1"/>
  <c r="H42" i="1" s="1"/>
  <c r="L14" i="1"/>
  <c r="K14" i="1"/>
  <c r="H14" i="1"/>
  <c r="L13" i="1"/>
  <c r="K13" i="1"/>
  <c r="H13" i="1"/>
  <c r="L12" i="1"/>
  <c r="K12" i="1"/>
  <c r="H12" i="1"/>
  <c r="S9" i="1"/>
  <c r="R9" i="1"/>
  <c r="Q9" i="1"/>
  <c r="N9" i="1"/>
  <c r="K9" i="1"/>
  <c r="J9" i="1"/>
  <c r="I9" i="1"/>
  <c r="F9" i="1"/>
  <c r="E9" i="1"/>
  <c r="C9" i="1"/>
  <c r="B9" i="1"/>
  <c r="U5" i="1"/>
  <c r="T5" i="1"/>
  <c r="S5" i="1"/>
  <c r="R5" i="1"/>
  <c r="Q5" i="1"/>
  <c r="O5" i="1"/>
  <c r="N5" i="1"/>
  <c r="M5" i="1"/>
  <c r="L5" i="1"/>
  <c r="K5" i="1"/>
  <c r="J5" i="1"/>
  <c r="I5" i="1"/>
  <c r="G5" i="1"/>
  <c r="F5" i="1"/>
  <c r="E5" i="1"/>
  <c r="V4" i="1"/>
  <c r="P4" i="1"/>
  <c r="K4" i="1"/>
  <c r="V3" i="1"/>
  <c r="V5" i="1" s="1"/>
  <c r="P3" i="1"/>
  <c r="H9" i="1" s="1"/>
  <c r="K3" i="1"/>
  <c r="G9" i="1" s="1"/>
  <c r="D3" i="1"/>
  <c r="D4" i="1" s="1"/>
  <c r="C3" i="1"/>
  <c r="C5" i="1" s="1"/>
  <c r="AA228" i="2" l="1"/>
  <c r="N228" i="2"/>
  <c r="W228" i="2"/>
  <c r="X228" i="2"/>
  <c r="E52" i="1"/>
  <c r="D49" i="1"/>
  <c r="E49" i="1" s="1"/>
  <c r="F48" i="1"/>
  <c r="M42" i="1"/>
  <c r="M45" i="1" s="1"/>
  <c r="C53" i="1"/>
  <c r="D53" i="1" s="1"/>
  <c r="C54" i="1"/>
  <c r="D5" i="1"/>
  <c r="O9" i="1"/>
  <c r="I59" i="1"/>
  <c r="R57" i="1"/>
  <c r="P5" i="1"/>
  <c r="R53" i="1"/>
  <c r="R55" i="1"/>
  <c r="R60" i="1"/>
  <c r="R54" i="1"/>
  <c r="R58" i="1"/>
  <c r="E53" i="1" l="1"/>
  <c r="D54" i="1"/>
  <c r="F52" i="1"/>
  <c r="J57" i="1"/>
  <c r="J59" i="1" s="1"/>
  <c r="K57" i="1" s="1"/>
  <c r="P9" i="1" s="1"/>
  <c r="H3" i="1"/>
  <c r="F53" i="1" l="1"/>
  <c r="E54" i="1"/>
  <c r="F54" i="1" s="1"/>
  <c r="H5" i="1"/>
  <c r="M9" i="1"/>
  <c r="L9" i="1"/>
</calcChain>
</file>

<file path=xl/sharedStrings.xml><?xml version="1.0" encoding="utf-8"?>
<sst xmlns="http://schemas.openxmlformats.org/spreadsheetml/2006/main" count="507" uniqueCount="206">
  <si>
    <t>MARKET</t>
  </si>
  <si>
    <t>INCOME</t>
  </si>
  <si>
    <t>BALANCESHEET</t>
  </si>
  <si>
    <t>CASHFLOW</t>
  </si>
  <si>
    <t>DATA</t>
  </si>
  <si>
    <t>Company</t>
  </si>
  <si>
    <t>PRICE</t>
  </si>
  <si>
    <t>MARKTCAOP</t>
  </si>
  <si>
    <t>SALES</t>
  </si>
  <si>
    <t>PROFIT</t>
  </si>
  <si>
    <t>FV</t>
  </si>
  <si>
    <t>F_EPS</t>
  </si>
  <si>
    <t>EQUITY</t>
  </si>
  <si>
    <t>RESERVE</t>
  </si>
  <si>
    <t>BORROWING</t>
  </si>
  <si>
    <t>LEASE</t>
  </si>
  <si>
    <t>CUR.ASSET</t>
  </si>
  <si>
    <t>CUR.LIABILITY</t>
  </si>
  <si>
    <t>ASSET</t>
  </si>
  <si>
    <t>LIABILITY</t>
  </si>
  <si>
    <t>TRADE REC</t>
  </si>
  <si>
    <t>PPE</t>
  </si>
  <si>
    <t>CFO</t>
  </si>
  <si>
    <t>CFI</t>
  </si>
  <si>
    <t>CFF</t>
  </si>
  <si>
    <t>TOTAL</t>
  </si>
  <si>
    <t>BRITANNIA</t>
  </si>
  <si>
    <t>Last Year_23</t>
  </si>
  <si>
    <t>GROWTH</t>
  </si>
  <si>
    <t>RATIO</t>
  </si>
  <si>
    <t>LIQUIDITY</t>
  </si>
  <si>
    <t>SOLVENCY</t>
  </si>
  <si>
    <t>PROFITABILITY</t>
  </si>
  <si>
    <t>VALUATIONS</t>
  </si>
  <si>
    <t>SALES GROWTH</t>
  </si>
  <si>
    <t>PROFIT GROWTH</t>
  </si>
  <si>
    <t>P-MARGIN</t>
  </si>
  <si>
    <t>CUR.RATIO</t>
  </si>
  <si>
    <t>TRADE CYC</t>
  </si>
  <si>
    <t>DEBT2EQUITY</t>
  </si>
  <si>
    <t>DEBTRATIO</t>
  </si>
  <si>
    <t>ICR</t>
  </si>
  <si>
    <t>ROE</t>
  </si>
  <si>
    <t>ROA</t>
  </si>
  <si>
    <t>F_PE</t>
  </si>
  <si>
    <t>YIELD</t>
  </si>
  <si>
    <t>BOOKVALUE</t>
  </si>
  <si>
    <t>PBV</t>
  </si>
  <si>
    <t>PEG</t>
  </si>
  <si>
    <t>OCFR</t>
  </si>
  <si>
    <t>CFD</t>
  </si>
  <si>
    <t>FCF (INC R)</t>
  </si>
  <si>
    <t>ActualData</t>
  </si>
  <si>
    <t>Years</t>
  </si>
  <si>
    <t>Sales</t>
  </si>
  <si>
    <t>Profit</t>
  </si>
  <si>
    <t>Equity</t>
  </si>
  <si>
    <t>Reserve</t>
  </si>
  <si>
    <t>EPS</t>
  </si>
  <si>
    <t>Margin</t>
  </si>
  <si>
    <t>High</t>
  </si>
  <si>
    <t>Low</t>
  </si>
  <si>
    <t>HPE</t>
  </si>
  <si>
    <t>LPE</t>
  </si>
  <si>
    <t>FY_1996</t>
  </si>
  <si>
    <t>FY_1997</t>
  </si>
  <si>
    <t>FY_1998</t>
  </si>
  <si>
    <t>FY_1999</t>
  </si>
  <si>
    <t>FY_2000</t>
  </si>
  <si>
    <t>FY_2001</t>
  </si>
  <si>
    <t>FY_2002</t>
  </si>
  <si>
    <t>FY_2003</t>
  </si>
  <si>
    <t>FY_2004</t>
  </si>
  <si>
    <t>FY_2005</t>
  </si>
  <si>
    <t>FY_2006</t>
  </si>
  <si>
    <t>FY_2007</t>
  </si>
  <si>
    <t>FY_2008</t>
  </si>
  <si>
    <t>FY_2009</t>
  </si>
  <si>
    <t>FY_2010</t>
  </si>
  <si>
    <t>10:2 SPLIT</t>
  </si>
  <si>
    <t>FY_2011</t>
  </si>
  <si>
    <t>FY_2012</t>
  </si>
  <si>
    <t>FY_2013</t>
  </si>
  <si>
    <t>FY_2014</t>
  </si>
  <si>
    <t>FY_2015</t>
  </si>
  <si>
    <t>FY_2016</t>
  </si>
  <si>
    <t>FY_2017</t>
  </si>
  <si>
    <t>FY_2018</t>
  </si>
  <si>
    <t>2:1 SPLIT</t>
  </si>
  <si>
    <t>FY_2019</t>
  </si>
  <si>
    <t>FY_2020</t>
  </si>
  <si>
    <t>FY_2021</t>
  </si>
  <si>
    <t>FY_2022</t>
  </si>
  <si>
    <t>FY_2023</t>
  </si>
  <si>
    <t>Growth</t>
  </si>
  <si>
    <t>Year</t>
  </si>
  <si>
    <t>APE</t>
  </si>
  <si>
    <t>RESULT</t>
  </si>
  <si>
    <t>9M_FY_24</t>
  </si>
  <si>
    <t>9M_FY_23</t>
  </si>
  <si>
    <t>CAGR</t>
  </si>
  <si>
    <t>H1_FY_24</t>
  </si>
  <si>
    <t>H1_FY_23</t>
  </si>
  <si>
    <t>25 Year</t>
  </si>
  <si>
    <t>15 Year</t>
  </si>
  <si>
    <t>COST</t>
  </si>
  <si>
    <t>5 Year</t>
  </si>
  <si>
    <t>Finance</t>
  </si>
  <si>
    <t>CYear</t>
  </si>
  <si>
    <t>Net Profit</t>
  </si>
  <si>
    <t>Exp Growth</t>
  </si>
  <si>
    <t>Eps</t>
  </si>
  <si>
    <t>TRAIL</t>
  </si>
  <si>
    <t>Q4_FY23</t>
  </si>
  <si>
    <t>Q1_FY24</t>
  </si>
  <si>
    <t>Q2_FY24</t>
  </si>
  <si>
    <t>Q3_FY24</t>
  </si>
  <si>
    <t>TRAIL-2022</t>
  </si>
  <si>
    <t>LTGrowth</t>
  </si>
  <si>
    <t>Cy Growth</t>
  </si>
  <si>
    <t>Expectation</t>
  </si>
  <si>
    <t>FAIRVALUE</t>
  </si>
  <si>
    <t>TREND</t>
  </si>
  <si>
    <t>FY_23</t>
  </si>
  <si>
    <t>Q1_FY_24</t>
  </si>
  <si>
    <t>EST-2024</t>
  </si>
  <si>
    <t>MajorCost</t>
  </si>
  <si>
    <t>SHARE</t>
  </si>
  <si>
    <t>FY_2024</t>
  </si>
  <si>
    <t>MATERIAL</t>
  </si>
  <si>
    <t>FY_2030</t>
  </si>
  <si>
    <t>STOCK</t>
  </si>
  <si>
    <t>FY_2035</t>
  </si>
  <si>
    <t>MARGIN</t>
  </si>
  <si>
    <t>INVENTORIES</t>
  </si>
  <si>
    <t>EMPLOYEE</t>
  </si>
  <si>
    <t>EPS_23</t>
  </si>
  <si>
    <t>T_EPS_24</t>
  </si>
  <si>
    <t>F_EPS_24</t>
  </si>
  <si>
    <t>F_PEG</t>
  </si>
  <si>
    <t>FINANCE</t>
  </si>
  <si>
    <t>D&amp;A</t>
  </si>
  <si>
    <t>PE</t>
  </si>
  <si>
    <t>TRAILPE</t>
  </si>
  <si>
    <t>OTHER EXP</t>
  </si>
  <si>
    <t>PACKAGED FOOD INDUSTRY</t>
  </si>
  <si>
    <t>INDUSTRY</t>
  </si>
  <si>
    <t>Security Name</t>
  </si>
  <si>
    <t>Market cap</t>
  </si>
  <si>
    <t>SALES_2023</t>
  </si>
  <si>
    <t>PROFIT_2023</t>
  </si>
  <si>
    <t>NESTLEIND</t>
  </si>
  <si>
    <t>BIKAJI</t>
  </si>
  <si>
    <t>BBTC</t>
  </si>
  <si>
    <t>ZYDUSWELL</t>
  </si>
  <si>
    <t>BECTORFOOD</t>
  </si>
  <si>
    <t>GOPAL</t>
  </si>
  <si>
    <t>TASTYBIT</t>
  </si>
  <si>
    <t>DIAMONDYD</t>
  </si>
  <si>
    <t>ADFFOODS</t>
  </si>
  <si>
    <t>MISHTANN</t>
  </si>
  <si>
    <t>OTHERS_22</t>
  </si>
  <si>
    <t>SALES_5Y_GR</t>
  </si>
  <si>
    <t>CY SALES GR</t>
  </si>
  <si>
    <t>MARGIN_FY23</t>
  </si>
  <si>
    <t>MARGIN_CY</t>
  </si>
  <si>
    <t>CUR. RATIO</t>
  </si>
  <si>
    <t>TR.DAYS</t>
  </si>
  <si>
    <t>ROPE</t>
  </si>
  <si>
    <t>TRAIL_PE</t>
  </si>
  <si>
    <t>Security Code</t>
  </si>
  <si>
    <t>Price</t>
  </si>
  <si>
    <t>CUR ASSET</t>
  </si>
  <si>
    <t>CUR LIABILITY</t>
  </si>
  <si>
    <t>TOT. ASSET</t>
  </si>
  <si>
    <t>TOT. LIABILITY</t>
  </si>
  <si>
    <t>TOT. EQUITY</t>
  </si>
  <si>
    <t>TRADE REC.</t>
  </si>
  <si>
    <t>TRAIL_EPS</t>
  </si>
  <si>
    <t>SALES_2018</t>
  </si>
  <si>
    <t>PROFIT_2018</t>
  </si>
  <si>
    <t>TRAIL_SALES</t>
  </si>
  <si>
    <t>TRAIL_PROFIT</t>
  </si>
  <si>
    <t>EXPENSE</t>
  </si>
  <si>
    <t>FOODSIN</t>
  </si>
  <si>
    <t>IIL</t>
  </si>
  <si>
    <t>LOTUSCHO</t>
  </si>
  <si>
    <t>BAMBINO</t>
  </si>
  <si>
    <t>TANVI</t>
  </si>
  <si>
    <t>PALASHSEC</t>
  </si>
  <si>
    <t>SUMUKA</t>
  </si>
  <si>
    <t>ANJANIFOODS</t>
  </si>
  <si>
    <t>JFL</t>
  </si>
  <si>
    <t>NGIL</t>
  </si>
  <si>
    <t>GCKL</t>
  </si>
  <si>
    <t>SAMPRE</t>
  </si>
  <si>
    <t>CEETAIN</t>
  </si>
  <si>
    <t>SWOEF</t>
  </si>
  <si>
    <t>CHORDIA</t>
  </si>
  <si>
    <t>PANJON</t>
  </si>
  <si>
    <t>CHOTHANI</t>
  </si>
  <si>
    <t>ICLORGANIC</t>
  </si>
  <si>
    <t>KMGMILK</t>
  </si>
  <si>
    <t>SUPERBAK</t>
  </si>
  <si>
    <t>SONALIS</t>
  </si>
  <si>
    <t>SHAQUAK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</si>
</sst>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22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FFFFFF"/>
      <name val="Calibri"/>
    </font>
    <font>
      <sz val="11"/>
      <color theme="1"/>
      <name val="Calibri"/>
    </font>
    <font>
      <b/>
      <i/>
      <sz val="11"/>
      <color theme="1"/>
      <name val="Calibri"/>
      <scheme val="minor"/>
    </font>
    <font>
      <b/>
      <sz val="14"/>
      <color rgb="FFFFFFFF"/>
      <name val="Calibri"/>
      <scheme val="minor"/>
    </font>
    <font>
      <sz val="11"/>
      <color rgb="FFFFFFFF"/>
      <name val="Arial"/>
    </font>
    <font>
      <sz val="11"/>
      <color theme="1"/>
      <name val="Arial"/>
    </font>
    <font>
      <i/>
      <sz val="11"/>
      <color theme="1"/>
      <name val="Arial"/>
    </font>
    <font>
      <i/>
      <sz val="11"/>
      <color rgb="FF000000"/>
      <name val="Arial"/>
    </font>
    <font>
      <b/>
      <sz val="11"/>
      <color rgb="FFFFFFFF"/>
      <name val="Calibri"/>
      <scheme val="minor"/>
    </font>
    <font>
      <sz val="11"/>
      <color theme="1"/>
      <name val="&quot;Times New Roman&quot;"/>
    </font>
    <font>
      <sz val="9"/>
      <color theme="1"/>
      <name val="Arial"/>
    </font>
    <font>
      <sz val="11"/>
      <color rgb="FF000000"/>
      <name val="Arial"/>
    </font>
    <font>
      <sz val="11"/>
      <color rgb="FF000000"/>
      <name val="Calibri"/>
    </font>
    <font>
      <b/>
      <sz val="14"/>
      <color rgb="FFFFFFFF"/>
      <name val="Calibri"/>
    </font>
    <font>
      <sz val="34"/>
      <color theme="1"/>
      <name val="Calibri"/>
    </font>
    <font>
      <b/>
      <i/>
      <sz val="9"/>
      <color theme="1"/>
      <name val="Arial"/>
    </font>
    <font>
      <b/>
      <i/>
      <sz val="11"/>
      <color theme="1"/>
      <name val="Arial"/>
    </font>
    <font>
      <sz val="36"/>
      <color rgb="FFFFFFFF"/>
      <name val="Calibri"/>
      <scheme val="minor"/>
    </font>
    <font>
      <sz val="11"/>
      <color rgb="FFFFFFFF"/>
      <name val="Calibri"/>
      <scheme val="minor"/>
    </font>
    <font>
      <sz val="11"/>
      <color rgb="FF333333"/>
      <name val="Arial"/>
    </font>
  </fonts>
  <fills count="19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  <fill>
      <patternFill patternType="solid">
        <fgColor rgb="FF073763"/>
        <bgColor rgb="FF073763"/>
      </patternFill>
    </fill>
    <fill>
      <patternFill patternType="solid">
        <fgColor rgb="FF20124D"/>
        <bgColor rgb="FF20124D"/>
      </patternFill>
    </fill>
    <fill>
      <patternFill patternType="solid">
        <fgColor rgb="FFB7B7B7"/>
        <bgColor rgb="FFB7B7B7"/>
      </patternFill>
    </fill>
    <fill>
      <patternFill patternType="solid">
        <fgColor rgb="FF3D85C6"/>
        <bgColor rgb="FF3D85C6"/>
      </patternFill>
    </fill>
    <fill>
      <patternFill patternType="solid">
        <fgColor rgb="FFFDF9F9"/>
        <bgColor rgb="FFFDF9F9"/>
      </patternFill>
    </fill>
    <fill>
      <patternFill patternType="solid">
        <fgColor rgb="FF57BB8A"/>
        <bgColor rgb="FF57BB8A"/>
      </patternFill>
    </fill>
    <fill>
      <patternFill patternType="solid">
        <fgColor rgb="FFEAF7F1"/>
        <bgColor rgb="FFEAF7F1"/>
      </patternFill>
    </fill>
    <fill>
      <patternFill patternType="solid">
        <fgColor rgb="FFEBF7F1"/>
        <bgColor rgb="FFEBF7F1"/>
      </patternFill>
    </fill>
    <fill>
      <patternFill patternType="solid">
        <fgColor rgb="FFFEFEFE"/>
        <bgColor rgb="FFFEFEFE"/>
      </patternFill>
    </fill>
    <fill>
      <patternFill patternType="solid">
        <fgColor rgb="FFB8CCE4"/>
        <bgColor rgb="FFB8CCE4"/>
      </patternFill>
    </fill>
    <fill>
      <patternFill patternType="solid">
        <fgColor rgb="FF92D3B3"/>
        <bgColor rgb="FF92D3B3"/>
      </patternFill>
    </fill>
    <fill>
      <patternFill patternType="solid">
        <fgColor rgb="FFF3BFBB"/>
        <bgColor rgb="FFF3BFBB"/>
      </patternFill>
    </fill>
    <fill>
      <patternFill patternType="solid">
        <fgColor rgb="FFFEFFFE"/>
        <bgColor rgb="FFFEFFFE"/>
      </patternFill>
    </fill>
    <fill>
      <patternFill patternType="solid">
        <fgColor rgb="FFF2FAF6"/>
        <bgColor rgb="FFF2FAF6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1" xfId="0" applyFont="1" applyBorder="1"/>
    <xf numFmtId="1" fontId="3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4" borderId="1" xfId="0" applyFont="1" applyFill="1" applyBorder="1"/>
    <xf numFmtId="9" fontId="4" fillId="4" borderId="1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0" fontId="5" fillId="5" borderId="0" xfId="0" applyFont="1" applyFill="1"/>
    <xf numFmtId="0" fontId="6" fillId="6" borderId="5" xfId="0" applyFont="1" applyFill="1" applyBorder="1"/>
    <xf numFmtId="0" fontId="3" fillId="0" borderId="5" xfId="0" applyFont="1" applyBorder="1"/>
    <xf numFmtId="1" fontId="3" fillId="0" borderId="5" xfId="0" applyNumberFormat="1" applyFont="1" applyBorder="1"/>
    <xf numFmtId="9" fontId="7" fillId="7" borderId="1" xfId="0" applyNumberFormat="1" applyFont="1" applyFill="1" applyBorder="1"/>
    <xf numFmtId="1" fontId="7" fillId="7" borderId="1" xfId="0" applyNumberFormat="1" applyFont="1" applyFill="1" applyBorder="1" applyAlignment="1">
      <alignment horizontal="right"/>
    </xf>
    <xf numFmtId="164" fontId="7" fillId="7" borderId="1" xfId="0" applyNumberFormat="1" applyFont="1" applyFill="1" applyBorder="1"/>
    <xf numFmtId="165" fontId="7" fillId="7" borderId="1" xfId="0" applyNumberFormat="1" applyFont="1" applyFill="1" applyBorder="1"/>
    <xf numFmtId="1" fontId="7" fillId="7" borderId="1" xfId="0" applyNumberFormat="1" applyFont="1" applyFill="1" applyBorder="1"/>
    <xf numFmtId="0" fontId="7" fillId="7" borderId="1" xfId="0" applyFont="1" applyFill="1" applyBorder="1"/>
    <xf numFmtId="9" fontId="8" fillId="7" borderId="1" xfId="0" applyNumberFormat="1" applyFont="1" applyFill="1" applyBorder="1" applyAlignment="1">
      <alignment horizontal="right"/>
    </xf>
    <xf numFmtId="166" fontId="8" fillId="7" borderId="1" xfId="0" applyNumberFormat="1" applyFont="1" applyFill="1" applyBorder="1" applyAlignment="1">
      <alignment horizontal="right"/>
    </xf>
    <xf numFmtId="3" fontId="8" fillId="7" borderId="1" xfId="0" applyNumberFormat="1" applyFont="1" applyFill="1" applyBorder="1" applyAlignment="1">
      <alignment horizontal="right"/>
    </xf>
    <xf numFmtId="4" fontId="8" fillId="7" borderId="1" xfId="0" applyNumberFormat="1" applyFont="1" applyFill="1" applyBorder="1" applyAlignment="1">
      <alignment horizontal="right"/>
    </xf>
    <xf numFmtId="165" fontId="8" fillId="7" borderId="1" xfId="0" applyNumberFormat="1" applyFont="1" applyFill="1" applyBorder="1" applyAlignment="1">
      <alignment horizontal="right"/>
    </xf>
    <xf numFmtId="164" fontId="9" fillId="7" borderId="1" xfId="0" applyNumberFormat="1" applyFont="1" applyFill="1" applyBorder="1" applyAlignment="1">
      <alignment horizontal="right"/>
    </xf>
    <xf numFmtId="3" fontId="9" fillId="7" borderId="1" xfId="0" applyNumberFormat="1" applyFont="1" applyFill="1" applyBorder="1" applyAlignment="1">
      <alignment horizontal="right"/>
    </xf>
    <xf numFmtId="0" fontId="1" fillId="0" borderId="0" xfId="0" applyFont="1"/>
    <xf numFmtId="10" fontId="1" fillId="0" borderId="0" xfId="0" applyNumberFormat="1" applyFont="1"/>
    <xf numFmtId="0" fontId="10" fillId="5" borderId="1" xfId="0" applyFont="1" applyFill="1" applyBorder="1" applyAlignment="1">
      <alignment horizontal="right"/>
    </xf>
    <xf numFmtId="0" fontId="10" fillId="5" borderId="1" xfId="0" applyFont="1" applyFill="1" applyBorder="1"/>
    <xf numFmtId="0" fontId="10" fillId="8" borderId="1" xfId="0" applyFont="1" applyFill="1" applyBorder="1" applyAlignment="1">
      <alignment horizontal="left"/>
    </xf>
    <xf numFmtId="1" fontId="1" fillId="0" borderId="1" xfId="0" applyNumberFormat="1" applyFont="1" applyBorder="1"/>
    <xf numFmtId="1" fontId="11" fillId="0" borderId="1" xfId="0" applyNumberFormat="1" applyFont="1" applyBorder="1" applyAlignment="1">
      <alignment horizontal="right"/>
    </xf>
    <xf numFmtId="165" fontId="1" fillId="0" borderId="1" xfId="0" applyNumberFormat="1" applyFont="1" applyBorder="1"/>
    <xf numFmtId="0" fontId="3" fillId="0" borderId="0" xfId="0" applyFont="1"/>
    <xf numFmtId="0" fontId="10" fillId="8" borderId="2" xfId="0" applyFont="1" applyFill="1" applyBorder="1" applyAlignment="1">
      <alignment horizontal="left"/>
    </xf>
    <xf numFmtId="9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4" fontId="12" fillId="3" borderId="6" xfId="0" applyNumberFormat="1" applyFont="1" applyFill="1" applyBorder="1" applyAlignment="1">
      <alignment wrapText="1"/>
    </xf>
    <xf numFmtId="1" fontId="7" fillId="0" borderId="4" xfId="0" applyNumberFormat="1" applyFont="1" applyBorder="1" applyAlignment="1">
      <alignment horizontal="right"/>
    </xf>
    <xf numFmtId="9" fontId="7" fillId="3" borderId="4" xfId="0" applyNumberFormat="1" applyFont="1" applyFill="1" applyBorder="1" applyAlignment="1">
      <alignment horizontal="right"/>
    </xf>
    <xf numFmtId="9" fontId="3" fillId="0" borderId="7" xfId="0" applyNumberFormat="1" applyFont="1" applyBorder="1"/>
    <xf numFmtId="0" fontId="12" fillId="3" borderId="6" xfId="0" applyFont="1" applyFill="1" applyBorder="1" applyAlignment="1">
      <alignment wrapText="1"/>
    </xf>
    <xf numFmtId="9" fontId="7" fillId="9" borderId="4" xfId="0" applyNumberFormat="1" applyFont="1" applyFill="1" applyBorder="1" applyAlignment="1">
      <alignment horizontal="right"/>
    </xf>
    <xf numFmtId="0" fontId="7" fillId="0" borderId="6" xfId="0" applyFont="1" applyBorder="1"/>
    <xf numFmtId="9" fontId="7" fillId="10" borderId="4" xfId="0" applyNumberFormat="1" applyFont="1" applyFill="1" applyBorder="1" applyAlignment="1">
      <alignment horizontal="right"/>
    </xf>
    <xf numFmtId="9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9" fontId="7" fillId="11" borderId="4" xfId="0" applyNumberFormat="1" applyFont="1" applyFill="1" applyBorder="1" applyAlignment="1">
      <alignment horizontal="right"/>
    </xf>
    <xf numFmtId="2" fontId="7" fillId="0" borderId="4" xfId="0" applyNumberFormat="1" applyFont="1" applyBorder="1" applyAlignment="1">
      <alignment horizontal="right"/>
    </xf>
    <xf numFmtId="9" fontId="7" fillId="12" borderId="4" xfId="0" applyNumberFormat="1" applyFont="1" applyFill="1" applyBorder="1" applyAlignment="1">
      <alignment horizontal="right"/>
    </xf>
    <xf numFmtId="0" fontId="5" fillId="5" borderId="1" xfId="0" applyFont="1" applyFill="1" applyBorder="1"/>
    <xf numFmtId="0" fontId="10" fillId="5" borderId="3" xfId="0" applyFont="1" applyFill="1" applyBorder="1"/>
    <xf numFmtId="0" fontId="5" fillId="5" borderId="2" xfId="0" applyFont="1" applyFill="1" applyBorder="1"/>
    <xf numFmtId="165" fontId="7" fillId="0" borderId="4" xfId="0" applyNumberFormat="1" applyFont="1" applyBorder="1" applyAlignment="1">
      <alignment horizontal="right"/>
    </xf>
    <xf numFmtId="165" fontId="7" fillId="13" borderId="4" xfId="0" applyNumberFormat="1" applyFont="1" applyFill="1" applyBorder="1" applyAlignment="1">
      <alignment horizontal="right"/>
    </xf>
    <xf numFmtId="165" fontId="3" fillId="0" borderId="7" xfId="0" applyNumberFormat="1" applyFont="1" applyBorder="1"/>
    <xf numFmtId="9" fontId="4" fillId="0" borderId="1" xfId="0" applyNumberFormat="1" applyFont="1" applyBorder="1"/>
    <xf numFmtId="9" fontId="1" fillId="0" borderId="1" xfId="0" applyNumberFormat="1" applyFont="1" applyBorder="1"/>
    <xf numFmtId="0" fontId="13" fillId="0" borderId="6" xfId="0" applyFont="1" applyBorder="1"/>
    <xf numFmtId="0" fontId="14" fillId="0" borderId="4" xfId="0" applyFont="1" applyBorder="1" applyAlignment="1">
      <alignment horizontal="right"/>
    </xf>
    <xf numFmtId="3" fontId="7" fillId="0" borderId="4" xfId="0" applyNumberFormat="1" applyFont="1" applyBorder="1" applyAlignment="1">
      <alignment horizontal="right"/>
    </xf>
    <xf numFmtId="166" fontId="7" fillId="13" borderId="4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5" fillId="5" borderId="1" xfId="0" applyFont="1" applyFill="1" applyBorder="1" applyAlignment="1">
      <alignment horizontal="left"/>
    </xf>
    <xf numFmtId="3" fontId="1" fillId="14" borderId="1" xfId="0" applyNumberFormat="1" applyFont="1" applyFill="1" applyBorder="1"/>
    <xf numFmtId="1" fontId="1" fillId="14" borderId="1" xfId="0" applyNumberFormat="1" applyFont="1" applyFill="1" applyBorder="1"/>
    <xf numFmtId="9" fontId="7" fillId="0" borderId="4" xfId="0" applyNumberFormat="1" applyFont="1" applyBorder="1" applyAlignment="1">
      <alignment horizontal="right"/>
    </xf>
    <xf numFmtId="165" fontId="1" fillId="0" borderId="0" xfId="0" applyNumberFormat="1" applyFont="1"/>
    <xf numFmtId="9" fontId="14" fillId="0" borderId="4" xfId="0" applyNumberFormat="1" applyFont="1" applyBorder="1" applyAlignment="1">
      <alignment horizontal="right"/>
    </xf>
    <xf numFmtId="0" fontId="15" fillId="5" borderId="1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10" borderId="4" xfId="0" applyFont="1" applyFill="1" applyBorder="1" applyAlignment="1">
      <alignment horizontal="center"/>
    </xf>
    <xf numFmtId="3" fontId="7" fillId="15" borderId="4" xfId="0" applyNumberFormat="1" applyFont="1" applyFill="1" applyBorder="1" applyAlignment="1">
      <alignment horizontal="center"/>
    </xf>
    <xf numFmtId="164" fontId="16" fillId="7" borderId="0" xfId="0" applyNumberFormat="1" applyFont="1" applyFill="1" applyAlignment="1">
      <alignment horizontal="center"/>
    </xf>
    <xf numFmtId="0" fontId="15" fillId="5" borderId="6" xfId="0" applyFont="1" applyFill="1" applyBorder="1" applyAlignment="1">
      <alignment horizontal="center"/>
    </xf>
    <xf numFmtId="0" fontId="15" fillId="5" borderId="4" xfId="0" applyFont="1" applyFill="1" applyBorder="1" applyAlignment="1">
      <alignment horizontal="center"/>
    </xf>
    <xf numFmtId="0" fontId="0" fillId="0" borderId="0" xfId="0"/>
    <xf numFmtId="1" fontId="7" fillId="16" borderId="6" xfId="0" applyNumberFormat="1" applyFont="1" applyFill="1" applyBorder="1" applyAlignment="1">
      <alignment horizontal="center"/>
    </xf>
    <xf numFmtId="1" fontId="7" fillId="17" borderId="4" xfId="0" applyNumberFormat="1" applyFont="1" applyFill="1" applyBorder="1" applyAlignment="1">
      <alignment horizontal="center"/>
    </xf>
    <xf numFmtId="1" fontId="7" fillId="18" borderId="4" xfId="0" applyNumberFormat="1" applyFont="1" applyFill="1" applyBorder="1" applyAlignment="1">
      <alignment horizontal="center"/>
    </xf>
    <xf numFmtId="0" fontId="3" fillId="3" borderId="5" xfId="0" applyFont="1" applyFill="1" applyBorder="1"/>
    <xf numFmtId="0" fontId="17" fillId="0" borderId="6" xfId="0" applyFont="1" applyBorder="1" applyAlignment="1">
      <alignment horizontal="right" wrapText="1"/>
    </xf>
    <xf numFmtId="1" fontId="17" fillId="0" borderId="4" xfId="0" applyNumberFormat="1" applyFont="1" applyBorder="1" applyAlignment="1">
      <alignment wrapText="1"/>
    </xf>
    <xf numFmtId="9" fontId="18" fillId="0" borderId="4" xfId="0" applyNumberFormat="1" applyFont="1" applyBorder="1" applyAlignment="1">
      <alignment horizontal="right"/>
    </xf>
    <xf numFmtId="0" fontId="5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3" fontId="1" fillId="0" borderId="0" xfId="0" applyNumberFormat="1" applyFont="1"/>
    <xf numFmtId="1" fontId="1" fillId="0" borderId="0" xfId="0" applyNumberFormat="1" applyFont="1"/>
    <xf numFmtId="9" fontId="4" fillId="0" borderId="0" xfId="0" applyNumberFormat="1" applyFont="1"/>
    <xf numFmtId="9" fontId="1" fillId="0" borderId="0" xfId="0" applyNumberFormat="1" applyFont="1"/>
    <xf numFmtId="0" fontId="19" fillId="5" borderId="0" xfId="0" applyFont="1" applyFill="1" applyAlignment="1">
      <alignment horizontal="center" vertical="center"/>
    </xf>
    <xf numFmtId="0" fontId="20" fillId="5" borderId="0" xfId="0" applyFont="1" applyFill="1"/>
    <xf numFmtId="1" fontId="7" fillId="0" borderId="0" xfId="0" applyNumberFormat="1" applyFont="1" applyAlignment="1">
      <alignment horizontal="right"/>
    </xf>
    <xf numFmtId="0" fontId="21" fillId="3" borderId="0" xfId="0" applyFont="1" applyFill="1"/>
    <xf numFmtId="0" fontId="7" fillId="0" borderId="0" xfId="0" applyFont="1" applyAlignment="1">
      <alignment horizontal="right"/>
    </xf>
    <xf numFmtId="0" fontId="3" fillId="0" borderId="8" xfId="0" applyFont="1" applyBorder="1"/>
    <xf numFmtId="0" fontId="7" fillId="0" borderId="8" xfId="0" applyFont="1" applyBorder="1" applyAlignment="1">
      <alignment horizontal="right"/>
    </xf>
    <xf numFmtId="0" fontId="1" fillId="0" borderId="8" xfId="0" applyFont="1" applyBorder="1"/>
    <xf numFmtId="0" fontId="1" fillId="0" borderId="9" xfId="0" applyFont="1" applyBorder="1"/>
    <xf numFmtId="165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center"/>
    </xf>
    <xf numFmtId="165" fontId="7" fillId="0" borderId="8" xfId="0" applyNumberFormat="1" applyFont="1" applyBorder="1" applyAlignment="1">
      <alignment horizontal="right"/>
    </xf>
    <xf numFmtId="10" fontId="1" fillId="0" borderId="9" xfId="0" applyNumberFormat="1" applyFont="1" applyBorder="1"/>
    <xf numFmtId="2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2" fontId="7" fillId="0" borderId="8" xfId="0" applyNumberFormat="1" applyFont="1" applyBorder="1" applyAlignment="1">
      <alignment horizontal="right"/>
    </xf>
    <xf numFmtId="164" fontId="7" fillId="0" borderId="8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165" fontId="3" fillId="0" borderId="8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1" fontId="7" fillId="0" borderId="8" xfId="0" applyNumberFormat="1" applyFont="1" applyBorder="1" applyAlignment="1">
      <alignment horizontal="right"/>
    </xf>
    <xf numFmtId="9" fontId="7" fillId="0" borderId="8" xfId="0" applyNumberFormat="1" applyFont="1" applyBorder="1" applyAlignment="1">
      <alignment horizontal="right"/>
    </xf>
    <xf numFmtId="165" fontId="7" fillId="0" borderId="9" xfId="0" applyNumberFormat="1" applyFont="1" applyBorder="1"/>
    <xf numFmtId="1" fontId="7" fillId="0" borderId="9" xfId="0" applyNumberFormat="1" applyFont="1" applyBorder="1"/>
    <xf numFmtId="9" fontId="7" fillId="0" borderId="9" xfId="0" applyNumberFormat="1" applyFont="1" applyBorder="1"/>
    <xf numFmtId="0" fontId="2" fillId="5" borderId="0" xfId="0" applyFont="1" applyFill="1"/>
    <xf numFmtId="1" fontId="3" fillId="0" borderId="0" xfId="0" applyNumberFormat="1" applyFont="1" applyAlignment="1">
      <alignment horizontal="right"/>
    </xf>
    <xf numFmtId="1" fontId="3" fillId="0" borderId="8" xfId="0" applyNumberFormat="1" applyFont="1" applyBorder="1" applyAlignment="1">
      <alignment horizontal="right"/>
    </xf>
    <xf numFmtId="1" fontId="1" fillId="0" borderId="9" xfId="0" applyNumberFormat="1" applyFont="1" applyBorder="1"/>
    <xf numFmtId="165" fontId="1" fillId="0" borderId="9" xfId="0" applyNumberFormat="1" applyFont="1" applyBorder="1"/>
    <xf numFmtId="0" fontId="3" fillId="0" borderId="6" xfId="0" applyFont="1" applyBorder="1" applyAlignment="1">
      <alignment horizontal="right"/>
    </xf>
    <xf numFmtId="0" fontId="3" fillId="0" borderId="4" xfId="0" applyFont="1" applyBorder="1"/>
    <xf numFmtId="165" fontId="7" fillId="0" borderId="0" xfId="0" applyNumberFormat="1" applyFont="1"/>
    <xf numFmtId="164" fontId="7" fillId="0" borderId="0" xfId="0" applyNumberFormat="1" applyFont="1"/>
    <xf numFmtId="2" fontId="7" fillId="0" borderId="0" xfId="0" applyNumberFormat="1" applyFont="1"/>
    <xf numFmtId="1" fontId="7" fillId="0" borderId="0" xfId="0" applyNumberFormat="1" applyFont="1"/>
    <xf numFmtId="9" fontId="7" fillId="0" borderId="0" xfId="0" applyNumberFormat="1" applyFont="1"/>
    <xf numFmtId="1" fontId="7" fillId="0" borderId="7" xfId="0" applyNumberFormat="1" applyFont="1" applyBorder="1" applyAlignment="1">
      <alignment horizontal="right"/>
    </xf>
    <xf numFmtId="0" fontId="21" fillId="3" borderId="4" xfId="0" applyFont="1" applyFill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Market cap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'PACKAGED FOODS'!$C$7</c:f>
              <c:strCache>
                <c:ptCount val="1"/>
                <c:pt idx="0">
                  <c:v>Market cap</c:v>
                </c:pt>
              </c:strCache>
            </c:strRef>
          </c:tx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20DD-4FEB-9742-CAF096AC30F5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20DD-4FEB-9742-CAF096AC30F5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5-20DD-4FEB-9742-CAF096AC30F5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</c:spPr>
            <c:extLst>
              <c:ext xmlns:c16="http://schemas.microsoft.com/office/drawing/2014/chart" uri="{C3380CC4-5D6E-409C-BE32-E72D297353CC}">
                <c16:uniqueId val="{00000007-20DD-4FEB-9742-CAF096AC30F5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</c:spPr>
            <c:extLst>
              <c:ext xmlns:c16="http://schemas.microsoft.com/office/drawing/2014/chart" uri="{C3380CC4-5D6E-409C-BE32-E72D297353CC}">
                <c16:uniqueId val="{00000009-20DD-4FEB-9742-CAF096AC30F5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</c:spPr>
            <c:extLst>
              <c:ext xmlns:c16="http://schemas.microsoft.com/office/drawing/2014/chart" uri="{C3380CC4-5D6E-409C-BE32-E72D297353CC}">
                <c16:uniqueId val="{0000000B-20DD-4FEB-9742-CAF096AC30F5}"/>
              </c:ext>
            </c:extLst>
          </c:dPt>
          <c:dPt>
            <c:idx val="6"/>
            <c:bubble3D val="0"/>
            <c:spPr>
              <a:solidFill>
                <a:srgbClr val="84A7D1"/>
              </a:solidFill>
            </c:spPr>
            <c:extLst>
              <c:ext xmlns:c16="http://schemas.microsoft.com/office/drawing/2014/chart" uri="{C3380CC4-5D6E-409C-BE32-E72D297353CC}">
                <c16:uniqueId val="{0000000D-20DD-4FEB-9742-CAF096AC30F5}"/>
              </c:ext>
            </c:extLst>
          </c:dPt>
          <c:dPt>
            <c:idx val="7"/>
            <c:bubble3D val="0"/>
            <c:spPr>
              <a:solidFill>
                <a:srgbClr val="D38582"/>
              </a:solidFill>
            </c:spPr>
            <c:extLst>
              <c:ext xmlns:c16="http://schemas.microsoft.com/office/drawing/2014/chart" uri="{C3380CC4-5D6E-409C-BE32-E72D297353CC}">
                <c16:uniqueId val="{0000000F-20DD-4FEB-9742-CAF096AC30F5}"/>
              </c:ext>
            </c:extLst>
          </c:dPt>
          <c:dPt>
            <c:idx val="8"/>
            <c:bubble3D val="0"/>
            <c:spPr>
              <a:solidFill>
                <a:srgbClr val="B9CF8B"/>
              </a:solidFill>
            </c:spPr>
            <c:extLst>
              <c:ext xmlns:c16="http://schemas.microsoft.com/office/drawing/2014/chart" uri="{C3380CC4-5D6E-409C-BE32-E72D297353CC}">
                <c16:uniqueId val="{00000011-20DD-4FEB-9742-CAF096AC30F5}"/>
              </c:ext>
            </c:extLst>
          </c:dPt>
          <c:dPt>
            <c:idx val="9"/>
            <c:bubble3D val="0"/>
            <c:spPr>
              <a:solidFill>
                <a:srgbClr val="A693BE"/>
              </a:solidFill>
            </c:spPr>
            <c:extLst>
              <c:ext xmlns:c16="http://schemas.microsoft.com/office/drawing/2014/chart" uri="{C3380CC4-5D6E-409C-BE32-E72D297353CC}">
                <c16:uniqueId val="{00000013-20DD-4FEB-9742-CAF096AC30F5}"/>
              </c:ext>
            </c:extLst>
          </c:dPt>
          <c:dPt>
            <c:idx val="10"/>
            <c:bubble3D val="0"/>
            <c:spPr>
              <a:solidFill>
                <a:srgbClr val="81C5D7"/>
              </a:solidFill>
            </c:spPr>
            <c:extLst>
              <c:ext xmlns:c16="http://schemas.microsoft.com/office/drawing/2014/chart" uri="{C3380CC4-5D6E-409C-BE32-E72D297353CC}">
                <c16:uniqueId val="{00000015-20DD-4FEB-9742-CAF096AC30F5}"/>
              </c:ext>
            </c:extLst>
          </c:dPt>
          <c:dPt>
            <c:idx val="11"/>
            <c:bubble3D val="0"/>
            <c:spPr>
              <a:solidFill>
                <a:srgbClr val="F9B67E"/>
              </a:solidFill>
            </c:spPr>
            <c:extLst>
              <c:ext xmlns:c16="http://schemas.microsoft.com/office/drawing/2014/chart" uri="{C3380CC4-5D6E-409C-BE32-E72D297353CC}">
                <c16:uniqueId val="{00000017-20DD-4FEB-9742-CAF096AC30F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'PACKAGED FOODS'!$B$8:$B$19</c:f>
              <c:strCache>
                <c:ptCount val="12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  <c:pt idx="11">
                  <c:v>OTHERS_22</c:v>
                </c:pt>
              </c:strCache>
            </c:strRef>
          </c:cat>
          <c:val>
            <c:numRef>
              <c:f>'PACKAGED FOODS'!$C$8:$C$19</c:f>
              <c:numCache>
                <c:formatCode>0</c:formatCode>
                <c:ptCount val="12"/>
                <c:pt idx="0">
                  <c:v>252834</c:v>
                </c:pt>
                <c:pt idx="1">
                  <c:v>119083</c:v>
                </c:pt>
                <c:pt idx="2">
                  <c:v>12276</c:v>
                </c:pt>
                <c:pt idx="3">
                  <c:v>10919</c:v>
                </c:pt>
                <c:pt idx="4">
                  <c:v>9356</c:v>
                </c:pt>
                <c:pt idx="5">
                  <c:v>6455</c:v>
                </c:pt>
                <c:pt idx="6">
                  <c:v>4464</c:v>
                </c:pt>
                <c:pt idx="7">
                  <c:v>3131</c:v>
                </c:pt>
                <c:pt idx="8">
                  <c:v>2192</c:v>
                </c:pt>
                <c:pt idx="9">
                  <c:v>2042</c:v>
                </c:pt>
                <c:pt idx="10">
                  <c:v>1868</c:v>
                </c:pt>
                <c:pt idx="11" formatCode="General">
                  <c:v>3027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0DD-4FEB-9742-CAF096AC3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CUR. RATIO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FOODS'!$H$98</c:f>
              <c:strCache>
                <c:ptCount val="1"/>
                <c:pt idx="0">
                  <c:v>CUR. RATIO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FOODS'!$G$99:$G$109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FOODS'!$H$99:$H$109</c:f>
              <c:numCache>
                <c:formatCode>0.0</c:formatCode>
                <c:ptCount val="11"/>
                <c:pt idx="0">
                  <c:v>1.2135126270908494</c:v>
                </c:pt>
                <c:pt idx="1">
                  <c:v>0.86582176624421647</c:v>
                </c:pt>
                <c:pt idx="2">
                  <c:v>1.8076923076923077</c:v>
                </c:pt>
                <c:pt idx="3">
                  <c:v>1.3762488218661639</c:v>
                </c:pt>
                <c:pt idx="4">
                  <c:v>1.4727272727272727</c:v>
                </c:pt>
                <c:pt idx="5">
                  <c:v>1.808411214953271</c:v>
                </c:pt>
                <c:pt idx="6">
                  <c:v>0</c:v>
                </c:pt>
                <c:pt idx="7">
                  <c:v>2</c:v>
                </c:pt>
                <c:pt idx="8">
                  <c:v>1.6265822784810127</c:v>
                </c:pt>
                <c:pt idx="9">
                  <c:v>6.8269230769230766</c:v>
                </c:pt>
                <c:pt idx="10">
                  <c:v>4.1020408163265305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BF6-4A56-B1ED-270256EC6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3056925"/>
        <c:axId val="959435590"/>
      </c:barChart>
      <c:catAx>
        <c:axId val="47305692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59435590"/>
        <c:crosses val="autoZero"/>
        <c:auto val="1"/>
        <c:lblAlgn val="ctr"/>
        <c:lblOffset val="100"/>
        <c:noMultiLvlLbl val="1"/>
      </c:catAx>
      <c:valAx>
        <c:axId val="95943559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CUR. RATIO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73056925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TR.DAYS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FOODS'!$L$98</c:f>
              <c:strCache>
                <c:ptCount val="1"/>
                <c:pt idx="0">
                  <c:v>TR.DAYS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FOODS'!$K$99:$K$109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FOODS'!$L$99:$L$109</c:f>
              <c:numCache>
                <c:formatCode>0.0</c:formatCode>
                <c:ptCount val="11"/>
                <c:pt idx="0">
                  <c:v>5.6106870229007635</c:v>
                </c:pt>
                <c:pt idx="1">
                  <c:v>8.9924056688393232</c:v>
                </c:pt>
                <c:pt idx="2">
                  <c:v>20.230554261760599</c:v>
                </c:pt>
                <c:pt idx="3">
                  <c:v>10.315450014658458</c:v>
                </c:pt>
                <c:pt idx="4">
                  <c:v>20.690876882196633</c:v>
                </c:pt>
                <c:pt idx="5">
                  <c:v>24.737851662404093</c:v>
                </c:pt>
                <c:pt idx="6">
                  <c:v>2.9696745562130178</c:v>
                </c:pt>
                <c:pt idx="7">
                  <c:v>36.432532347504619</c:v>
                </c:pt>
                <c:pt idx="8">
                  <c:v>3.0913490623109499</c:v>
                </c:pt>
                <c:pt idx="9">
                  <c:v>61.081632653061227</c:v>
                </c:pt>
                <c:pt idx="10">
                  <c:v>124.40197841726618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674-46A0-B924-058EDC519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4561558"/>
        <c:axId val="310898916"/>
      </c:barChart>
      <c:catAx>
        <c:axId val="146456155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10898916"/>
        <c:crosses val="autoZero"/>
        <c:auto val="1"/>
        <c:lblAlgn val="ctr"/>
        <c:lblOffset val="100"/>
        <c:noMultiLvlLbl val="1"/>
      </c:catAx>
      <c:valAx>
        <c:axId val="31089891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TR.DAYS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64561558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ROE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FOODS'!$C$129</c:f>
              <c:strCache>
                <c:ptCount val="1"/>
                <c:pt idx="0">
                  <c:v>ROE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FOODS'!$B$130:$B$140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FOODS'!$C$130:$C$140</c:f>
              <c:numCache>
                <c:formatCode>0.0%</c:formatCode>
                <c:ptCount val="11"/>
                <c:pt idx="0">
                  <c:v>1.0500700280112045</c:v>
                </c:pt>
                <c:pt idx="1">
                  <c:v>0.75008701705534286</c:v>
                </c:pt>
                <c:pt idx="2">
                  <c:v>0.18373205741626794</c:v>
                </c:pt>
                <c:pt idx="3">
                  <c:v>-2.5248802064135642E-2</c:v>
                </c:pt>
                <c:pt idx="4">
                  <c:v>5.0316881121567118E-2</c:v>
                </c:pt>
                <c:pt idx="5">
                  <c:v>0.22112211221122113</c:v>
                </c:pt>
                <c:pt idx="6">
                  <c:v>0.40287769784172661</c:v>
                </c:pt>
                <c:pt idx="7">
                  <c:v>0.17266187050359713</c:v>
                </c:pt>
                <c:pt idx="8">
                  <c:v>2.8368794326241134E-2</c:v>
                </c:pt>
                <c:pt idx="9">
                  <c:v>0.14705882352941177</c:v>
                </c:pt>
                <c:pt idx="10">
                  <c:v>0.86274509803921573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931-4DD8-B77C-7F6BC8C6F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0071651"/>
        <c:axId val="805314836"/>
      </c:barChart>
      <c:catAx>
        <c:axId val="196007165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05314836"/>
        <c:crosses val="autoZero"/>
        <c:auto val="1"/>
        <c:lblAlgn val="ctr"/>
        <c:lblOffset val="100"/>
        <c:noMultiLvlLbl val="1"/>
      </c:catAx>
      <c:valAx>
        <c:axId val="80531483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ROE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60071651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ROPE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FOODS'!$G$129</c:f>
              <c:strCache>
                <c:ptCount val="1"/>
                <c:pt idx="0">
                  <c:v>ROPE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FOODS'!$F$130:$F$140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FOODS'!$G$130:$G$140</c:f>
              <c:numCache>
                <c:formatCode>0</c:formatCode>
                <c:ptCount val="11"/>
                <c:pt idx="0">
                  <c:v>31.239583333333332</c:v>
                </c:pt>
                <c:pt idx="1">
                  <c:v>89.791666666666671</c:v>
                </c:pt>
                <c:pt idx="2">
                  <c:v>7.68</c:v>
                </c:pt>
                <c:pt idx="3">
                  <c:v>-10.538461538461538</c:v>
                </c:pt>
                <c:pt idx="4">
                  <c:v>4.1587301587301591</c:v>
                </c:pt>
                <c:pt idx="5">
                  <c:v>2.3103448275862069</c:v>
                </c:pt>
                <c:pt idx="6">
                  <c:v>9.3333333333333339</c:v>
                </c:pt>
                <c:pt idx="7">
                  <c:v>16</c:v>
                </c:pt>
                <c:pt idx="8">
                  <c:v>1.6666666666666667</c:v>
                </c:pt>
                <c:pt idx="9">
                  <c:v>2.9545454545454546</c:v>
                </c:pt>
                <c:pt idx="10">
                  <c:v>2.64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2FD-4008-9160-096720CF7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1692282"/>
        <c:axId val="382764286"/>
      </c:barChart>
      <c:catAx>
        <c:axId val="129169228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82764286"/>
        <c:crosses val="autoZero"/>
        <c:auto val="1"/>
        <c:lblAlgn val="ctr"/>
        <c:lblOffset val="100"/>
        <c:noMultiLvlLbl val="1"/>
      </c:catAx>
      <c:valAx>
        <c:axId val="38276428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ROPE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91692282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ROA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FOODS'!$K$129</c:f>
              <c:strCache>
                <c:ptCount val="1"/>
                <c:pt idx="0">
                  <c:v>ROA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FOODS'!$J$130:$J$140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FOODS'!$K$130:$K$140</c:f>
              <c:numCache>
                <c:formatCode>0%</c:formatCode>
                <c:ptCount val="11"/>
                <c:pt idx="0">
                  <c:v>0.31728734659331359</c:v>
                </c:pt>
                <c:pt idx="1">
                  <c:v>0.24631386444165049</c:v>
                </c:pt>
                <c:pt idx="2">
                  <c:v>0.1329639889196676</c:v>
                </c:pt>
                <c:pt idx="3">
                  <c:v>-9.6587704455724753E-3</c:v>
                </c:pt>
                <c:pt idx="4">
                  <c:v>4.4932258617732805E-2</c:v>
                </c:pt>
                <c:pt idx="5">
                  <c:v>0.13943808532778357</c:v>
                </c:pt>
                <c:pt idx="6">
                  <c:v>0.24295010845986983</c:v>
                </c:pt>
                <c:pt idx="7">
                  <c:v>0.10480349344978165</c:v>
                </c:pt>
                <c:pt idx="8">
                  <c:v>2.1321961620469083E-2</c:v>
                </c:pt>
                <c:pt idx="9">
                  <c:v>0.11648745519713262</c:v>
                </c:pt>
                <c:pt idx="10">
                  <c:v>0.64390243902439026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65F-4D88-91C2-DAA193B31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1397358"/>
        <c:axId val="1442901598"/>
      </c:barChart>
      <c:catAx>
        <c:axId val="76139735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42901598"/>
        <c:crosses val="autoZero"/>
        <c:auto val="1"/>
        <c:lblAlgn val="ctr"/>
        <c:lblOffset val="100"/>
        <c:noMultiLvlLbl val="1"/>
      </c:catAx>
      <c:valAx>
        <c:axId val="144290159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ROA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61397358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TRAIL_PE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FOODS'!$C$159</c:f>
              <c:strCache>
                <c:ptCount val="1"/>
                <c:pt idx="0">
                  <c:v>TRAIL_PE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FOODS'!$B$160:$B$170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FOODS'!$C$160:$C$170</c:f>
              <c:numCache>
                <c:formatCode>0</c:formatCode>
                <c:ptCount val="11"/>
                <c:pt idx="0">
                  <c:v>84.59</c:v>
                </c:pt>
                <c:pt idx="1">
                  <c:v>55.11</c:v>
                </c:pt>
                <c:pt idx="2">
                  <c:v>65.73</c:v>
                </c:pt>
                <c:pt idx="4">
                  <c:v>35.72</c:v>
                </c:pt>
                <c:pt idx="5">
                  <c:v>49</c:v>
                </c:pt>
                <c:pt idx="6">
                  <c:v>38.369999999999997</c:v>
                </c:pt>
                <c:pt idx="7">
                  <c:v>79.540000000000006</c:v>
                </c:pt>
                <c:pt idx="8">
                  <c:v>35.4</c:v>
                </c:pt>
                <c:pt idx="9">
                  <c:v>31.05</c:v>
                </c:pt>
                <c:pt idx="10">
                  <c:v>6.72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031-4E9B-BA30-26E2C9CC0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380279"/>
        <c:axId val="766454673"/>
      </c:barChart>
      <c:catAx>
        <c:axId val="22438027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66454673"/>
        <c:crosses val="autoZero"/>
        <c:auto val="1"/>
        <c:lblAlgn val="ctr"/>
        <c:lblOffset val="100"/>
        <c:noMultiLvlLbl val="1"/>
      </c:catAx>
      <c:valAx>
        <c:axId val="76645467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TRAIL_PE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24380279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YIELD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FOODS'!$G$159</c:f>
              <c:strCache>
                <c:ptCount val="1"/>
                <c:pt idx="0">
                  <c:v>YIELD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FOODS'!$F$160:$F$170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FOODS'!$G$160:$G$170</c:f>
              <c:numCache>
                <c:formatCode>0.0%</c:formatCode>
                <c:ptCount val="11"/>
                <c:pt idx="0">
                  <c:v>1.1855296763618343E-2</c:v>
                </c:pt>
                <c:pt idx="1">
                  <c:v>1.8346541234214427E-2</c:v>
                </c:pt>
                <c:pt idx="2">
                  <c:v>1.5255965735264124E-2</c:v>
                </c:pt>
                <c:pt idx="3">
                  <c:v>-0.10903180121024848</c:v>
                </c:pt>
                <c:pt idx="4">
                  <c:v>2.8095563139931737E-2</c:v>
                </c:pt>
                <c:pt idx="5">
                  <c:v>2.0791628753412193E-2</c:v>
                </c:pt>
                <c:pt idx="6">
                  <c:v>2.5933147632311981E-2</c:v>
                </c:pt>
                <c:pt idx="7">
                  <c:v>1.4561389139159636E-2</c:v>
                </c:pt>
                <c:pt idx="8">
                  <c:v>2.8173003595162872E-2</c:v>
                </c:pt>
                <c:pt idx="9">
                  <c:v>3.2334682860998651E-2</c:v>
                </c:pt>
                <c:pt idx="10">
                  <c:v>0.14903299203640502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2F4-4FC5-BFC4-D1B1A45DD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723055"/>
        <c:axId val="1680676823"/>
      </c:barChart>
      <c:catAx>
        <c:axId val="11772305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80676823"/>
        <c:crosses val="autoZero"/>
        <c:auto val="1"/>
        <c:lblAlgn val="ctr"/>
        <c:lblOffset val="100"/>
        <c:noMultiLvlLbl val="1"/>
      </c:catAx>
      <c:valAx>
        <c:axId val="168067682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YIELD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7723055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PBV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FOODS'!$K$159</c:f>
              <c:strCache>
                <c:ptCount val="1"/>
                <c:pt idx="0">
                  <c:v>PBV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FOODS'!$J$160:$J$170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FOODS'!$K$160:$K$170</c:f>
              <c:numCache>
                <c:formatCode>0</c:formatCode>
                <c:ptCount val="11"/>
                <c:pt idx="0">
                  <c:v>88.178151260504208</c:v>
                </c:pt>
                <c:pt idx="1">
                  <c:v>40.847198050817958</c:v>
                </c:pt>
                <c:pt idx="2">
                  <c:v>11.729665071770336</c:v>
                </c:pt>
                <c:pt idx="3">
                  <c:v>1.8608735716918543</c:v>
                </c:pt>
                <c:pt idx="4">
                  <c:v>1.7725177645477241</c:v>
                </c:pt>
                <c:pt idx="5">
                  <c:v>10.518481848184818</c:v>
                </c:pt>
                <c:pt idx="6">
                  <c:v>15.496402877697841</c:v>
                </c:pt>
                <c:pt idx="7">
                  <c:v>13.175179856115108</c:v>
                </c:pt>
                <c:pt idx="8">
                  <c:v>3.1247659574468085</c:v>
                </c:pt>
                <c:pt idx="9">
                  <c:v>4.6102941176470589</c:v>
                </c:pt>
                <c:pt idx="10">
                  <c:v>5.7450980392156854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D85-400A-9F2F-32936AB95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1996289"/>
        <c:axId val="1978159291"/>
      </c:barChart>
      <c:catAx>
        <c:axId val="69199628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78159291"/>
        <c:crosses val="autoZero"/>
        <c:auto val="1"/>
        <c:lblAlgn val="ctr"/>
        <c:lblOffset val="100"/>
        <c:noMultiLvlLbl val="1"/>
      </c:catAx>
      <c:valAx>
        <c:axId val="197815929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PBV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91996289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SALES_2023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'PACKAGED FOODS'!$G$7</c:f>
              <c:strCache>
                <c:ptCount val="1"/>
                <c:pt idx="0">
                  <c:v>SALES_2023</c:v>
                </c:pt>
              </c:strCache>
            </c:strRef>
          </c:tx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FCF6-46D9-8A80-ED6874EC8759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FCF6-46D9-8A80-ED6874EC8759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5-FCF6-46D9-8A80-ED6874EC8759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</c:spPr>
            <c:extLst>
              <c:ext xmlns:c16="http://schemas.microsoft.com/office/drawing/2014/chart" uri="{C3380CC4-5D6E-409C-BE32-E72D297353CC}">
                <c16:uniqueId val="{00000007-FCF6-46D9-8A80-ED6874EC8759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</c:spPr>
            <c:extLst>
              <c:ext xmlns:c16="http://schemas.microsoft.com/office/drawing/2014/chart" uri="{C3380CC4-5D6E-409C-BE32-E72D297353CC}">
                <c16:uniqueId val="{00000009-FCF6-46D9-8A80-ED6874EC8759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</c:spPr>
            <c:extLst>
              <c:ext xmlns:c16="http://schemas.microsoft.com/office/drawing/2014/chart" uri="{C3380CC4-5D6E-409C-BE32-E72D297353CC}">
                <c16:uniqueId val="{0000000B-FCF6-46D9-8A80-ED6874EC8759}"/>
              </c:ext>
            </c:extLst>
          </c:dPt>
          <c:dPt>
            <c:idx val="6"/>
            <c:bubble3D val="0"/>
            <c:spPr>
              <a:solidFill>
                <a:srgbClr val="84A7D1"/>
              </a:solidFill>
            </c:spPr>
            <c:extLst>
              <c:ext xmlns:c16="http://schemas.microsoft.com/office/drawing/2014/chart" uri="{C3380CC4-5D6E-409C-BE32-E72D297353CC}">
                <c16:uniqueId val="{0000000D-FCF6-46D9-8A80-ED6874EC8759}"/>
              </c:ext>
            </c:extLst>
          </c:dPt>
          <c:dPt>
            <c:idx val="7"/>
            <c:bubble3D val="0"/>
            <c:spPr>
              <a:solidFill>
                <a:srgbClr val="D38582"/>
              </a:solidFill>
            </c:spPr>
            <c:extLst>
              <c:ext xmlns:c16="http://schemas.microsoft.com/office/drawing/2014/chart" uri="{C3380CC4-5D6E-409C-BE32-E72D297353CC}">
                <c16:uniqueId val="{0000000F-FCF6-46D9-8A80-ED6874EC8759}"/>
              </c:ext>
            </c:extLst>
          </c:dPt>
          <c:dPt>
            <c:idx val="8"/>
            <c:bubble3D val="0"/>
            <c:spPr>
              <a:solidFill>
                <a:srgbClr val="B9CF8B"/>
              </a:solidFill>
            </c:spPr>
            <c:extLst>
              <c:ext xmlns:c16="http://schemas.microsoft.com/office/drawing/2014/chart" uri="{C3380CC4-5D6E-409C-BE32-E72D297353CC}">
                <c16:uniqueId val="{00000011-FCF6-46D9-8A80-ED6874EC8759}"/>
              </c:ext>
            </c:extLst>
          </c:dPt>
          <c:dPt>
            <c:idx val="9"/>
            <c:bubble3D val="0"/>
            <c:spPr>
              <a:solidFill>
                <a:srgbClr val="A693BE"/>
              </a:solidFill>
            </c:spPr>
            <c:extLst>
              <c:ext xmlns:c16="http://schemas.microsoft.com/office/drawing/2014/chart" uri="{C3380CC4-5D6E-409C-BE32-E72D297353CC}">
                <c16:uniqueId val="{00000013-FCF6-46D9-8A80-ED6874EC8759}"/>
              </c:ext>
            </c:extLst>
          </c:dPt>
          <c:dPt>
            <c:idx val="10"/>
            <c:bubble3D val="0"/>
            <c:spPr>
              <a:solidFill>
                <a:srgbClr val="81C5D7"/>
              </a:solidFill>
            </c:spPr>
            <c:extLst>
              <c:ext xmlns:c16="http://schemas.microsoft.com/office/drawing/2014/chart" uri="{C3380CC4-5D6E-409C-BE32-E72D297353CC}">
                <c16:uniqueId val="{00000015-FCF6-46D9-8A80-ED6874EC875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'PACKAGED FOODS'!$F$8:$F$18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FOODS'!$G$8:$G$18</c:f>
              <c:numCache>
                <c:formatCode>0</c:formatCode>
                <c:ptCount val="11"/>
                <c:pt idx="0">
                  <c:v>16789</c:v>
                </c:pt>
                <c:pt idx="1">
                  <c:v>16301</c:v>
                </c:pt>
                <c:pt idx="2">
                  <c:v>1966</c:v>
                </c:pt>
                <c:pt idx="3">
                  <c:v>18622</c:v>
                </c:pt>
                <c:pt idx="4">
                  <c:v>2254</c:v>
                </c:pt>
                <c:pt idx="5">
                  <c:v>1362</c:v>
                </c:pt>
                <c:pt idx="6">
                  <c:v>1394</c:v>
                </c:pt>
                <c:pt idx="7">
                  <c:v>475</c:v>
                </c:pt>
                <c:pt idx="8" formatCode="General">
                  <c:v>1652</c:v>
                </c:pt>
                <c:pt idx="9" formatCode="General">
                  <c:v>450</c:v>
                </c:pt>
                <c:pt idx="10" formatCode="General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CF6-46D9-8A80-ED6874EC8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PROFIT_2023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FOODS'!$K$7</c:f>
              <c:strCache>
                <c:ptCount val="1"/>
                <c:pt idx="0">
                  <c:v>PROFIT_2023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FOODS'!$J$8:$J$18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FOODS'!$K$8:$K$18</c:f>
              <c:numCache>
                <c:formatCode>0</c:formatCode>
                <c:ptCount val="11"/>
                <c:pt idx="0">
                  <c:v>2390</c:v>
                </c:pt>
                <c:pt idx="1">
                  <c:v>2316</c:v>
                </c:pt>
                <c:pt idx="2">
                  <c:v>126</c:v>
                </c:pt>
                <c:pt idx="3">
                  <c:v>-533</c:v>
                </c:pt>
                <c:pt idx="4">
                  <c:v>310</c:v>
                </c:pt>
                <c:pt idx="5">
                  <c:v>90</c:v>
                </c:pt>
                <c:pt idx="6">
                  <c:v>112</c:v>
                </c:pt>
                <c:pt idx="7">
                  <c:v>30</c:v>
                </c:pt>
                <c:pt idx="8" formatCode="General">
                  <c:v>20</c:v>
                </c:pt>
                <c:pt idx="9" formatCode="General">
                  <c:v>55</c:v>
                </c:pt>
                <c:pt idx="10" formatCode="General">
                  <c:v>50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E32-4958-B08E-373564EBD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790872"/>
        <c:axId val="636405343"/>
      </c:barChart>
      <c:catAx>
        <c:axId val="75079087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36405343"/>
        <c:crosses val="autoZero"/>
        <c:auto val="1"/>
        <c:lblAlgn val="ctr"/>
        <c:lblOffset val="100"/>
        <c:noMultiLvlLbl val="1"/>
      </c:catAx>
      <c:valAx>
        <c:axId val="63640534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PROFIT_2023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50790872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SALES_5Y_GR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FOODS'!$C$38</c:f>
              <c:strCache>
                <c:ptCount val="1"/>
                <c:pt idx="0">
                  <c:v>SALES_5Y_GR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FOODS'!$B$39:$B$49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FOODS'!$C$39:$C$49</c:f>
              <c:numCache>
                <c:formatCode>0.0%</c:formatCode>
                <c:ptCount val="11"/>
                <c:pt idx="0">
                  <c:v>8.4020176609259201E-2</c:v>
                </c:pt>
                <c:pt idx="1">
                  <c:v>0.10477020613521582</c:v>
                </c:pt>
                <c:pt idx="2">
                  <c:v>0.20278082516485596</c:v>
                </c:pt>
                <c:pt idx="3">
                  <c:v>0.12709945405576506</c:v>
                </c:pt>
                <c:pt idx="4">
                  <c:v>0.34982412326456203</c:v>
                </c:pt>
                <c:pt idx="5">
                  <c:v>0.14469233461264874</c:v>
                </c:pt>
                <c:pt idx="7">
                  <c:v>9.920926349885395E-2</c:v>
                </c:pt>
                <c:pt idx="8">
                  <c:v>9.7605456381603561E-2</c:v>
                </c:pt>
                <c:pt idx="9">
                  <c:v>0.16688977891407952</c:v>
                </c:pt>
                <c:pt idx="10">
                  <c:v>5.814078782077714E-2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914-403F-A81E-6E49A78DA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085141"/>
        <c:axId val="1814443034"/>
      </c:barChart>
      <c:catAx>
        <c:axId val="6908514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14443034"/>
        <c:crosses val="autoZero"/>
        <c:auto val="1"/>
        <c:lblAlgn val="ctr"/>
        <c:lblOffset val="100"/>
        <c:noMultiLvlLbl val="1"/>
      </c:catAx>
      <c:valAx>
        <c:axId val="181444303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SALES_5Y_GR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9085141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CY SALES GR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FOODS'!$G$38</c:f>
              <c:strCache>
                <c:ptCount val="1"/>
                <c:pt idx="0">
                  <c:v>CY SALES GR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FOODS'!$F$39:$F$49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FOODS'!$G$39:$G$49</c:f>
              <c:numCache>
                <c:formatCode>0.0%</c:formatCode>
                <c:ptCount val="11"/>
                <c:pt idx="0">
                  <c:v>0.13919828459110128</c:v>
                </c:pt>
                <c:pt idx="1">
                  <c:v>2.5887982332372328E-2</c:v>
                </c:pt>
                <c:pt idx="2">
                  <c:v>9.2065106815869768E-2</c:v>
                </c:pt>
                <c:pt idx="3">
                  <c:v>-8.4147782193104925E-2</c:v>
                </c:pt>
                <c:pt idx="4">
                  <c:v>1.7746228926354135E-3</c:v>
                </c:pt>
                <c:pt idx="5">
                  <c:v>0.14831130690161531</c:v>
                </c:pt>
                <c:pt idx="6">
                  <c:v>-3.0129124820659992E-2</c:v>
                </c:pt>
                <c:pt idx="7">
                  <c:v>0.13894736842105271</c:v>
                </c:pt>
                <c:pt idx="8">
                  <c:v>6.0532687651337902E-4</c:v>
                </c:pt>
                <c:pt idx="9">
                  <c:v>8.8888888888888795E-2</c:v>
                </c:pt>
                <c:pt idx="10">
                  <c:v>0.71076923076923082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E5E-4BB1-BF50-2F0070A3D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645101"/>
        <c:axId val="1066288261"/>
      </c:barChart>
      <c:catAx>
        <c:axId val="51464510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66288261"/>
        <c:crosses val="autoZero"/>
        <c:auto val="1"/>
        <c:lblAlgn val="ctr"/>
        <c:lblOffset val="100"/>
        <c:noMultiLvlLbl val="1"/>
      </c:catAx>
      <c:valAx>
        <c:axId val="106628826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CY SALES GR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14645101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DEBT2EQUITY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FOODS'!$C$68</c:f>
              <c:strCache>
                <c:ptCount val="1"/>
                <c:pt idx="0">
                  <c:v>DEBT2EQUITY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FOODS'!$B$69:$B$79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FOODS'!$C$69:$C$79</c:f>
              <c:numCache>
                <c:formatCode>0.00</c:formatCode>
                <c:ptCount val="11"/>
                <c:pt idx="0">
                  <c:v>1.1204481792717087E-2</c:v>
                </c:pt>
                <c:pt idx="1">
                  <c:v>0.96101635920640449</c:v>
                </c:pt>
                <c:pt idx="2">
                  <c:v>0.14832535885167464</c:v>
                </c:pt>
                <c:pt idx="3">
                  <c:v>0</c:v>
                </c:pt>
                <c:pt idx="4">
                  <c:v>6.6833109275974648E-2</c:v>
                </c:pt>
                <c:pt idx="5">
                  <c:v>0</c:v>
                </c:pt>
                <c:pt idx="6">
                  <c:v>0.38848920863309355</c:v>
                </c:pt>
                <c:pt idx="7">
                  <c:v>0.18705035971223022</c:v>
                </c:pt>
                <c:pt idx="8">
                  <c:v>8.5106382978723402E-2</c:v>
                </c:pt>
                <c:pt idx="9">
                  <c:v>1.5837104072398189E-2</c:v>
                </c:pt>
                <c:pt idx="10">
                  <c:v>0.17647058823529413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0BC-49AD-A35B-8AC2B0523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8606086"/>
        <c:axId val="500954606"/>
      </c:barChart>
      <c:catAx>
        <c:axId val="188860608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00954606"/>
        <c:crosses val="autoZero"/>
        <c:auto val="1"/>
        <c:lblAlgn val="ctr"/>
        <c:lblOffset val="100"/>
        <c:noMultiLvlLbl val="1"/>
      </c:catAx>
      <c:valAx>
        <c:axId val="50095460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DEBT2EQUITY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88606086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ICR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FOODS'!$G$68</c:f>
              <c:strCache>
                <c:ptCount val="1"/>
                <c:pt idx="0">
                  <c:v>ICR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FOODS'!$F$69:$F$79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FOODS'!$G$69:$G$79</c:f>
              <c:numCache>
                <c:formatCode>0.0</c:formatCode>
                <c:ptCount val="11"/>
                <c:pt idx="0">
                  <c:v>38.571428571428569</c:v>
                </c:pt>
                <c:pt idx="1">
                  <c:v>19.494186046511629</c:v>
                </c:pt>
                <c:pt idx="2">
                  <c:v>37</c:v>
                </c:pt>
                <c:pt idx="3">
                  <c:v>6.8080357142857144</c:v>
                </c:pt>
                <c:pt idx="4">
                  <c:v>13.608695652173912</c:v>
                </c:pt>
                <c:pt idx="5">
                  <c:v>24.2</c:v>
                </c:pt>
                <c:pt idx="6">
                  <c:v>15</c:v>
                </c:pt>
                <c:pt idx="7">
                  <c:v>11.5</c:v>
                </c:pt>
                <c:pt idx="8">
                  <c:v>10</c:v>
                </c:pt>
                <c:pt idx="9">
                  <c:v>49.5</c:v>
                </c:pt>
                <c:pt idx="10">
                  <c:v>57.6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A1B-4860-A780-060FA9E2B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460407"/>
        <c:axId val="298281468"/>
      </c:barChart>
      <c:catAx>
        <c:axId val="37446040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98281468"/>
        <c:crosses val="autoZero"/>
        <c:auto val="1"/>
        <c:lblAlgn val="ctr"/>
        <c:lblOffset val="100"/>
        <c:noMultiLvlLbl val="1"/>
      </c:catAx>
      <c:valAx>
        <c:axId val="29828146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ICR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74460407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DEBTRATIO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FOODS'!$K$68</c:f>
              <c:strCache>
                <c:ptCount val="1"/>
                <c:pt idx="0">
                  <c:v>DEBTRATIO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FOODS'!$J$69:$J$79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FOODS'!$K$69:$K$79</c:f>
              <c:numCache>
                <c:formatCode>0.00</c:formatCode>
                <c:ptCount val="11"/>
                <c:pt idx="0">
                  <c:v>0.69773592890393565</c:v>
                </c:pt>
                <c:pt idx="1">
                  <c:v>0.67150531489313059</c:v>
                </c:pt>
                <c:pt idx="2">
                  <c:v>0.27631578947368424</c:v>
                </c:pt>
                <c:pt idx="3">
                  <c:v>0.61745628877608572</c:v>
                </c:pt>
                <c:pt idx="4">
                  <c:v>0.10684273709483794</c:v>
                </c:pt>
                <c:pt idx="5">
                  <c:v>0.36940686784599375</c:v>
                </c:pt>
                <c:pt idx="6">
                  <c:v>0.37093275488069416</c:v>
                </c:pt>
                <c:pt idx="7">
                  <c:v>0.3930131004366812</c:v>
                </c:pt>
                <c:pt idx="8">
                  <c:v>0.24840085287846481</c:v>
                </c:pt>
                <c:pt idx="9">
                  <c:v>0.2078853046594982</c:v>
                </c:pt>
                <c:pt idx="10">
                  <c:v>0.25365853658536586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8C0-4B84-848B-42373563D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8966817"/>
        <c:axId val="713067064"/>
      </c:barChart>
      <c:catAx>
        <c:axId val="203896681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13067064"/>
        <c:crosses val="autoZero"/>
        <c:auto val="1"/>
        <c:lblAlgn val="ctr"/>
        <c:lblOffset val="100"/>
        <c:noMultiLvlLbl val="1"/>
      </c:catAx>
      <c:valAx>
        <c:axId val="71306706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DEBTRATIO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38966817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MARGIN_FY23 and MARGIN_CY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FOODS'!$C$98</c:f>
              <c:strCache>
                <c:ptCount val="1"/>
                <c:pt idx="0">
                  <c:v>MARGIN_FY23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'PACKAGED FOODS'!$B$99:$B$109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FOODS'!$C$99:$C$109</c:f>
              <c:numCache>
                <c:formatCode>0.0%</c:formatCode>
                <c:ptCount val="11"/>
                <c:pt idx="0">
                  <c:v>0.1423551134671511</c:v>
                </c:pt>
                <c:pt idx="1">
                  <c:v>0.14207717317955953</c:v>
                </c:pt>
                <c:pt idx="2">
                  <c:v>6.4089521871820959E-2</c:v>
                </c:pt>
                <c:pt idx="3">
                  <c:v>-2.8622059929116098E-2</c:v>
                </c:pt>
                <c:pt idx="4">
                  <c:v>0.13753327417923691</c:v>
                </c:pt>
                <c:pt idx="5">
                  <c:v>6.6079295154185022E-2</c:v>
                </c:pt>
                <c:pt idx="6">
                  <c:v>8.0344332855093251E-2</c:v>
                </c:pt>
                <c:pt idx="7">
                  <c:v>6.3157894736842107E-2</c:v>
                </c:pt>
                <c:pt idx="8">
                  <c:v>1.2106537530266344E-2</c:v>
                </c:pt>
                <c:pt idx="9">
                  <c:v>0.12222222222222222</c:v>
                </c:pt>
                <c:pt idx="10">
                  <c:v>7.6923076923076927E-2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FE4-4BE0-86F5-D36DA6ACF986}"/>
            </c:ext>
          </c:extLst>
        </c:ser>
        <c:ser>
          <c:idx val="1"/>
          <c:order val="1"/>
          <c:tx>
            <c:strRef>
              <c:f>'PACKAGED FOODS'!$D$98</c:f>
              <c:strCache>
                <c:ptCount val="1"/>
                <c:pt idx="0">
                  <c:v>MARGIN_CY</c:v>
                </c:pt>
              </c:strCache>
            </c:strRef>
          </c:tx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'PACKAGED FOODS'!$B$99:$B$109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FOODS'!$D$99:$D$109</c:f>
              <c:numCache>
                <c:formatCode>0.0%</c:formatCode>
                <c:ptCount val="11"/>
                <c:pt idx="0">
                  <c:v>0.15680225870542716</c:v>
                </c:pt>
                <c:pt idx="1">
                  <c:v>0.12886443819888777</c:v>
                </c:pt>
                <c:pt idx="2">
                  <c:v>8.9427107591988825E-2</c:v>
                </c:pt>
                <c:pt idx="3">
                  <c:v>-8.032834945763706E-3</c:v>
                </c:pt>
                <c:pt idx="4">
                  <c:v>0.11603188662533215</c:v>
                </c:pt>
                <c:pt idx="5">
                  <c:v>8.5677749360613814E-2</c:v>
                </c:pt>
                <c:pt idx="6">
                  <c:v>8.2840236686390539E-2</c:v>
                </c:pt>
                <c:pt idx="7">
                  <c:v>8.8724584103512014E-2</c:v>
                </c:pt>
                <c:pt idx="8">
                  <c:v>1.2099213551119177E-2</c:v>
                </c:pt>
                <c:pt idx="9">
                  <c:v>0.1326530612244898</c:v>
                </c:pt>
                <c:pt idx="10">
                  <c:v>0.23741007194244604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EFE4-4BE0-86F5-D36DA6ACF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1591617"/>
        <c:axId val="1751485664"/>
      </c:barChart>
      <c:catAx>
        <c:axId val="128159161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51485664"/>
        <c:crosses val="autoZero"/>
        <c:auto val="1"/>
        <c:lblAlgn val="ctr"/>
        <c:lblOffset val="100"/>
        <c:noMultiLvlLbl val="1"/>
      </c:catAx>
      <c:valAx>
        <c:axId val="175148566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81591617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54</xdr:row>
      <xdr:rowOff>47625</xdr:rowOff>
    </xdr:from>
    <xdr:ext cx="6096000" cy="6096000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83278731-7AF5-489C-A6A0-0FD724E46E0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0281285"/>
          <a:ext cx="6096000" cy="60960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21</xdr:row>
      <xdr:rowOff>0</xdr:rowOff>
    </xdr:from>
    <xdr:ext cx="4324350" cy="2686050"/>
    <xdr:graphicFrame macro="">
      <xdr:nvGraphicFramePr>
        <xdr:cNvPr id="2" name="Chart 5" title="Chart">
          <a:extLst>
            <a:ext uri="{FF2B5EF4-FFF2-40B4-BE49-F238E27FC236}">
              <a16:creationId xmlns:a16="http://schemas.microsoft.com/office/drawing/2014/main" id="{EA745CAD-46E4-4776-9EA0-7C51A80B80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942975</xdr:colOff>
      <xdr:row>21</xdr:row>
      <xdr:rowOff>0</xdr:rowOff>
    </xdr:from>
    <xdr:ext cx="4381500" cy="2686050"/>
    <xdr:graphicFrame macro="">
      <xdr:nvGraphicFramePr>
        <xdr:cNvPr id="3" name="Chart 6" title="Chart">
          <a:extLst>
            <a:ext uri="{FF2B5EF4-FFF2-40B4-BE49-F238E27FC236}">
              <a16:creationId xmlns:a16="http://schemas.microsoft.com/office/drawing/2014/main" id="{08BE3CB9-2D13-485C-9F0E-1552E0ADA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9</xdr:col>
      <xdr:colOff>523875</xdr:colOff>
      <xdr:row>21</xdr:row>
      <xdr:rowOff>0</xdr:rowOff>
    </xdr:from>
    <xdr:ext cx="4381500" cy="2686050"/>
    <xdr:graphicFrame macro="">
      <xdr:nvGraphicFramePr>
        <xdr:cNvPr id="4" name="Chart 7" title="Chart">
          <a:extLst>
            <a:ext uri="{FF2B5EF4-FFF2-40B4-BE49-F238E27FC236}">
              <a16:creationId xmlns:a16="http://schemas.microsoft.com/office/drawing/2014/main" id="{861FC2EE-BBDA-49F0-8204-9335B380EC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76200</xdr:colOff>
      <xdr:row>51</xdr:row>
      <xdr:rowOff>0</xdr:rowOff>
    </xdr:from>
    <xdr:ext cx="4381500" cy="2686050"/>
    <xdr:graphicFrame macro="">
      <xdr:nvGraphicFramePr>
        <xdr:cNvPr id="5" name="Chart 8" title="Chart">
          <a:extLst>
            <a:ext uri="{FF2B5EF4-FFF2-40B4-BE49-F238E27FC236}">
              <a16:creationId xmlns:a16="http://schemas.microsoft.com/office/drawing/2014/main" id="{CC748E0D-0AF4-4AA2-9CFA-2F6EB71F9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5</xdr:col>
      <xdr:colOff>38100</xdr:colOff>
      <xdr:row>51</xdr:row>
      <xdr:rowOff>0</xdr:rowOff>
    </xdr:from>
    <xdr:ext cx="4324350" cy="2686050"/>
    <xdr:graphicFrame macro="">
      <xdr:nvGraphicFramePr>
        <xdr:cNvPr id="6" name="Chart 9" title="Chart">
          <a:extLst>
            <a:ext uri="{FF2B5EF4-FFF2-40B4-BE49-F238E27FC236}">
              <a16:creationId xmlns:a16="http://schemas.microsoft.com/office/drawing/2014/main" id="{008D5352-13D8-48E7-89F1-425F2D096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0</xdr:col>
      <xdr:colOff>9525</xdr:colOff>
      <xdr:row>81</xdr:row>
      <xdr:rowOff>0</xdr:rowOff>
    </xdr:from>
    <xdr:ext cx="4448175" cy="2771775"/>
    <xdr:graphicFrame macro="">
      <xdr:nvGraphicFramePr>
        <xdr:cNvPr id="7" name="Chart 10" title="Chart">
          <a:extLst>
            <a:ext uri="{FF2B5EF4-FFF2-40B4-BE49-F238E27FC236}">
              <a16:creationId xmlns:a16="http://schemas.microsoft.com/office/drawing/2014/main" id="{DA36E1B7-5850-4145-AD0B-983ED413BE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5</xdr:col>
      <xdr:colOff>38100</xdr:colOff>
      <xdr:row>81</xdr:row>
      <xdr:rowOff>0</xdr:rowOff>
    </xdr:from>
    <xdr:ext cx="4448175" cy="2771775"/>
    <xdr:graphicFrame macro="">
      <xdr:nvGraphicFramePr>
        <xdr:cNvPr id="8" name="Chart 11" title="Chart">
          <a:extLst>
            <a:ext uri="{FF2B5EF4-FFF2-40B4-BE49-F238E27FC236}">
              <a16:creationId xmlns:a16="http://schemas.microsoft.com/office/drawing/2014/main" id="{97AD1646-38A5-4452-8BA0-91F9C1C15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9</xdr:col>
      <xdr:colOff>647700</xdr:colOff>
      <xdr:row>81</xdr:row>
      <xdr:rowOff>0</xdr:rowOff>
    </xdr:from>
    <xdr:ext cx="4505325" cy="2771775"/>
    <xdr:graphicFrame macro="">
      <xdr:nvGraphicFramePr>
        <xdr:cNvPr id="9" name="Chart 12" title="Chart">
          <a:extLst>
            <a:ext uri="{FF2B5EF4-FFF2-40B4-BE49-F238E27FC236}">
              <a16:creationId xmlns:a16="http://schemas.microsoft.com/office/drawing/2014/main" id="{ADFDB3FD-A320-4644-8F15-D7E59CFAB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0</xdr:col>
      <xdr:colOff>38100</xdr:colOff>
      <xdr:row>111</xdr:row>
      <xdr:rowOff>0</xdr:rowOff>
    </xdr:from>
    <xdr:ext cx="4381500" cy="2686050"/>
    <xdr:graphicFrame macro="">
      <xdr:nvGraphicFramePr>
        <xdr:cNvPr id="10" name="Chart 13" title="Chart">
          <a:extLst>
            <a:ext uri="{FF2B5EF4-FFF2-40B4-BE49-F238E27FC236}">
              <a16:creationId xmlns:a16="http://schemas.microsoft.com/office/drawing/2014/main" id="{BAAE87C7-124E-42D9-9E3C-EF9E3332C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5</xdr:col>
      <xdr:colOff>0</xdr:colOff>
      <xdr:row>111</xdr:row>
      <xdr:rowOff>0</xdr:rowOff>
    </xdr:from>
    <xdr:ext cx="4381500" cy="2686050"/>
    <xdr:graphicFrame macro="">
      <xdr:nvGraphicFramePr>
        <xdr:cNvPr id="11" name="Chart 14" title="Chart">
          <a:extLst>
            <a:ext uri="{FF2B5EF4-FFF2-40B4-BE49-F238E27FC236}">
              <a16:creationId xmlns:a16="http://schemas.microsoft.com/office/drawing/2014/main" id="{8D43AF5B-5C31-4EA7-8265-5A00F9F042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9</xdr:col>
      <xdr:colOff>542925</xdr:colOff>
      <xdr:row>111</xdr:row>
      <xdr:rowOff>0</xdr:rowOff>
    </xdr:from>
    <xdr:ext cx="4286250" cy="2686050"/>
    <xdr:graphicFrame macro="">
      <xdr:nvGraphicFramePr>
        <xdr:cNvPr id="12" name="Chart 15" title="Chart">
          <a:extLst>
            <a:ext uri="{FF2B5EF4-FFF2-40B4-BE49-F238E27FC236}">
              <a16:creationId xmlns:a16="http://schemas.microsoft.com/office/drawing/2014/main" id="{E7A92BF9-20ED-4725-BB20-2D35D69D1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0</xdr:col>
      <xdr:colOff>9525</xdr:colOff>
      <xdr:row>142</xdr:row>
      <xdr:rowOff>28575</xdr:rowOff>
    </xdr:from>
    <xdr:ext cx="4324350" cy="2686050"/>
    <xdr:graphicFrame macro="">
      <xdr:nvGraphicFramePr>
        <xdr:cNvPr id="13" name="Chart 16" title="Chart">
          <a:extLst>
            <a:ext uri="{FF2B5EF4-FFF2-40B4-BE49-F238E27FC236}">
              <a16:creationId xmlns:a16="http://schemas.microsoft.com/office/drawing/2014/main" id="{D3FEC75E-31B9-4A74-8FF4-93222373F7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4</xdr:col>
      <xdr:colOff>876300</xdr:colOff>
      <xdr:row>142</xdr:row>
      <xdr:rowOff>28575</xdr:rowOff>
    </xdr:from>
    <xdr:ext cx="4381500" cy="2686050"/>
    <xdr:graphicFrame macro="">
      <xdr:nvGraphicFramePr>
        <xdr:cNvPr id="14" name="Chart 17" title="Chart">
          <a:extLst>
            <a:ext uri="{FF2B5EF4-FFF2-40B4-BE49-F238E27FC236}">
              <a16:creationId xmlns:a16="http://schemas.microsoft.com/office/drawing/2014/main" id="{0AA873D6-1AEB-4007-8FA4-4D77AA53FD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9</xdr:col>
      <xdr:colOff>457200</xdr:colOff>
      <xdr:row>142</xdr:row>
      <xdr:rowOff>28575</xdr:rowOff>
    </xdr:from>
    <xdr:ext cx="4381500" cy="2686050"/>
    <xdr:graphicFrame macro="">
      <xdr:nvGraphicFramePr>
        <xdr:cNvPr id="15" name="Chart 18" title="Chart">
          <a:extLst>
            <a:ext uri="{FF2B5EF4-FFF2-40B4-BE49-F238E27FC236}">
              <a16:creationId xmlns:a16="http://schemas.microsoft.com/office/drawing/2014/main" id="{55483B6D-FD0F-4BF3-AC82-575665754D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0</xdr:col>
      <xdr:colOff>0</xdr:colOff>
      <xdr:row>171</xdr:row>
      <xdr:rowOff>180975</xdr:rowOff>
    </xdr:from>
    <xdr:ext cx="4381500" cy="2686050"/>
    <xdr:graphicFrame macro="">
      <xdr:nvGraphicFramePr>
        <xdr:cNvPr id="16" name="Chart 19" title="Chart">
          <a:extLst>
            <a:ext uri="{FF2B5EF4-FFF2-40B4-BE49-F238E27FC236}">
              <a16:creationId xmlns:a16="http://schemas.microsoft.com/office/drawing/2014/main" id="{62EFEAE8-04C3-4866-B5E3-2FCC7F87A2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oneCellAnchor>
  <xdr:oneCellAnchor>
    <xdr:from>
      <xdr:col>5</xdr:col>
      <xdr:colOff>0</xdr:colOff>
      <xdr:row>171</xdr:row>
      <xdr:rowOff>180975</xdr:rowOff>
    </xdr:from>
    <xdr:ext cx="4324350" cy="2686050"/>
    <xdr:graphicFrame macro="">
      <xdr:nvGraphicFramePr>
        <xdr:cNvPr id="17" name="Chart 20" title="Chart">
          <a:extLst>
            <a:ext uri="{FF2B5EF4-FFF2-40B4-BE49-F238E27FC236}">
              <a16:creationId xmlns:a16="http://schemas.microsoft.com/office/drawing/2014/main" id="{75A828AF-E4F6-41C0-B3DD-7390B64DC6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oneCellAnchor>
  <xdr:oneCellAnchor>
    <xdr:from>
      <xdr:col>9</xdr:col>
      <xdr:colOff>523875</xdr:colOff>
      <xdr:row>171</xdr:row>
      <xdr:rowOff>161925</xdr:rowOff>
    </xdr:from>
    <xdr:ext cx="4381500" cy="2733675"/>
    <xdr:graphicFrame macro="">
      <xdr:nvGraphicFramePr>
        <xdr:cNvPr id="18" name="Chart 21" title="Chart">
          <a:extLst>
            <a:ext uri="{FF2B5EF4-FFF2-40B4-BE49-F238E27FC236}">
              <a16:creationId xmlns:a16="http://schemas.microsoft.com/office/drawing/2014/main" id="{7CAD0797-DBC7-4520-88DD-2EFF93CB19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ofi\Downloads\Packaged%20Foods%20(3).xlsx" TargetMode="External"/><Relationship Id="rId1" Type="http://schemas.openxmlformats.org/officeDocument/2006/relationships/externalLinkPath" Target="/Users/profi/Downloads/Packaged%20Foods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SHBOARD"/>
      <sheetName val="PACKAGED FOODS"/>
      <sheetName val="Pivot Table 1"/>
      <sheetName val="BritanniaINtrinsic"/>
      <sheetName val="NestleInt"/>
      <sheetName val="ParagMilk"/>
      <sheetName val="vadilalind"/>
      <sheetName val="BRITANNIA"/>
      <sheetName val="Nestleind"/>
      <sheetName val="PRABHAT"/>
      <sheetName val="FCONSUMER"/>
      <sheetName val="DIAMONDYD"/>
      <sheetName val="Sheet1"/>
    </sheetNames>
    <sheetDataSet>
      <sheetData sheetId="0"/>
      <sheetData sheetId="1">
        <row r="7">
          <cell r="C7" t="str">
            <v>Market cap</v>
          </cell>
          <cell r="G7" t="str">
            <v>SALES_2023</v>
          </cell>
          <cell r="K7" t="str">
            <v>PROFIT_2023</v>
          </cell>
        </row>
        <row r="8">
          <cell r="B8" t="str">
            <v>NESTLEIND</v>
          </cell>
          <cell r="C8">
            <v>252834</v>
          </cell>
          <cell r="F8" t="str">
            <v>NESTLEIND</v>
          </cell>
          <cell r="G8">
            <v>16789</v>
          </cell>
          <cell r="J8" t="str">
            <v>NESTLEIND</v>
          </cell>
          <cell r="K8">
            <v>2390</v>
          </cell>
        </row>
        <row r="9">
          <cell r="B9" t="str">
            <v>BRITANNIA</v>
          </cell>
          <cell r="C9">
            <v>119083</v>
          </cell>
          <cell r="F9" t="str">
            <v>BRITANNIA</v>
          </cell>
          <cell r="G9">
            <v>16301</v>
          </cell>
          <cell r="J9" t="str">
            <v>BRITANNIA</v>
          </cell>
          <cell r="K9">
            <v>2316</v>
          </cell>
        </row>
        <row r="10">
          <cell r="B10" t="str">
            <v>BIKAJI</v>
          </cell>
          <cell r="C10">
            <v>12276</v>
          </cell>
          <cell r="F10" t="str">
            <v>BIKAJI</v>
          </cell>
          <cell r="G10">
            <v>1966</v>
          </cell>
          <cell r="J10" t="str">
            <v>BIKAJI</v>
          </cell>
          <cell r="K10">
            <v>126</v>
          </cell>
        </row>
        <row r="11">
          <cell r="B11" t="str">
            <v>BBTC</v>
          </cell>
          <cell r="C11">
            <v>10919</v>
          </cell>
          <cell r="F11" t="str">
            <v>BBTC</v>
          </cell>
          <cell r="G11">
            <v>18622</v>
          </cell>
          <cell r="J11" t="str">
            <v>BBTC</v>
          </cell>
          <cell r="K11">
            <v>-533</v>
          </cell>
        </row>
        <row r="12">
          <cell r="B12" t="str">
            <v>ZYDUSWELL</v>
          </cell>
          <cell r="C12">
            <v>9356</v>
          </cell>
          <cell r="F12" t="str">
            <v>ZYDUSWELL</v>
          </cell>
          <cell r="G12">
            <v>2254</v>
          </cell>
          <cell r="J12" t="str">
            <v>ZYDUSWELL</v>
          </cell>
          <cell r="K12">
            <v>310</v>
          </cell>
        </row>
        <row r="13">
          <cell r="B13" t="str">
            <v>BECTORFOOD</v>
          </cell>
          <cell r="C13">
            <v>6455</v>
          </cell>
          <cell r="F13" t="str">
            <v>BECTORFOOD</v>
          </cell>
          <cell r="G13">
            <v>1362</v>
          </cell>
          <cell r="J13" t="str">
            <v>BECTORFOOD</v>
          </cell>
          <cell r="K13">
            <v>90</v>
          </cell>
        </row>
        <row r="14">
          <cell r="B14" t="str">
            <v>GOPAL</v>
          </cell>
          <cell r="C14">
            <v>4464</v>
          </cell>
          <cell r="F14" t="str">
            <v>GOPAL</v>
          </cell>
          <cell r="G14">
            <v>1394</v>
          </cell>
          <cell r="J14" t="str">
            <v>GOPAL</v>
          </cell>
          <cell r="K14">
            <v>112</v>
          </cell>
        </row>
        <row r="15">
          <cell r="B15" t="str">
            <v>TASTYBIT</v>
          </cell>
          <cell r="C15">
            <v>3131</v>
          </cell>
          <cell r="F15" t="str">
            <v>TASTYBIT</v>
          </cell>
          <cell r="G15">
            <v>475</v>
          </cell>
          <cell r="J15" t="str">
            <v>TASTYBIT</v>
          </cell>
          <cell r="K15">
            <v>30</v>
          </cell>
        </row>
        <row r="16">
          <cell r="B16" t="str">
            <v>DIAMONDYD</v>
          </cell>
          <cell r="C16">
            <v>2192</v>
          </cell>
          <cell r="F16" t="str">
            <v>DIAMONDYD</v>
          </cell>
          <cell r="G16">
            <v>1652</v>
          </cell>
          <cell r="J16" t="str">
            <v>DIAMONDYD</v>
          </cell>
          <cell r="K16">
            <v>20</v>
          </cell>
        </row>
        <row r="17">
          <cell r="B17" t="str">
            <v>ADFFOODS</v>
          </cell>
          <cell r="C17">
            <v>2042</v>
          </cell>
          <cell r="F17" t="str">
            <v>ADFFOODS</v>
          </cell>
          <cell r="G17">
            <v>450</v>
          </cell>
          <cell r="J17" t="str">
            <v>ADFFOODS</v>
          </cell>
          <cell r="K17">
            <v>55</v>
          </cell>
        </row>
        <row r="18">
          <cell r="B18" t="str">
            <v>MISHTANN</v>
          </cell>
          <cell r="C18">
            <v>1868</v>
          </cell>
          <cell r="F18" t="str">
            <v>MISHTANN</v>
          </cell>
          <cell r="G18">
            <v>650</v>
          </cell>
          <cell r="J18" t="str">
            <v>MISHTANN</v>
          </cell>
          <cell r="K18">
            <v>50</v>
          </cell>
        </row>
        <row r="19">
          <cell r="B19" t="str">
            <v>OTHERS_22</v>
          </cell>
          <cell r="C19">
            <v>3027</v>
          </cell>
        </row>
        <row r="38">
          <cell r="C38" t="str">
            <v>SALES_5Y_GR</v>
          </cell>
          <cell r="G38" t="str">
            <v>CY SALES GR</v>
          </cell>
        </row>
        <row r="39">
          <cell r="B39" t="str">
            <v>NESTLEIND</v>
          </cell>
          <cell r="C39">
            <v>8.4020176609259201E-2</v>
          </cell>
          <cell r="F39" t="str">
            <v>NESTLEIND</v>
          </cell>
          <cell r="G39">
            <v>0.13919828459110128</v>
          </cell>
        </row>
        <row r="40">
          <cell r="B40" t="str">
            <v>BRITANNIA</v>
          </cell>
          <cell r="C40">
            <v>0.10477020613521582</v>
          </cell>
          <cell r="F40" t="str">
            <v>BRITANNIA</v>
          </cell>
          <cell r="G40">
            <v>2.5887982332372328E-2</v>
          </cell>
        </row>
        <row r="41">
          <cell r="B41" t="str">
            <v>BIKAJI</v>
          </cell>
          <cell r="C41">
            <v>0.20278082516485596</v>
          </cell>
          <cell r="F41" t="str">
            <v>BIKAJI</v>
          </cell>
          <cell r="G41">
            <v>9.2065106815869768E-2</v>
          </cell>
        </row>
        <row r="42">
          <cell r="B42" t="str">
            <v>BBTC</v>
          </cell>
          <cell r="C42">
            <v>0.12709945405576506</v>
          </cell>
          <cell r="F42" t="str">
            <v>BBTC</v>
          </cell>
          <cell r="G42">
            <v>-8.4147782193104925E-2</v>
          </cell>
        </row>
        <row r="43">
          <cell r="B43" t="str">
            <v>ZYDUSWELL</v>
          </cell>
          <cell r="C43">
            <v>0.34982412326456203</v>
          </cell>
          <cell r="F43" t="str">
            <v>ZYDUSWELL</v>
          </cell>
          <cell r="G43">
            <v>1.7746228926354135E-3</v>
          </cell>
        </row>
        <row r="44">
          <cell r="B44" t="str">
            <v>BECTORFOOD</v>
          </cell>
          <cell r="C44">
            <v>0.14469233461264874</v>
          </cell>
          <cell r="F44" t="str">
            <v>BECTORFOOD</v>
          </cell>
          <cell r="G44">
            <v>0.14831130690161531</v>
          </cell>
        </row>
        <row r="45">
          <cell r="B45" t="str">
            <v>GOPAL</v>
          </cell>
          <cell r="F45" t="str">
            <v>GOPAL</v>
          </cell>
          <cell r="G45">
            <v>-3.0129124820659992E-2</v>
          </cell>
        </row>
        <row r="46">
          <cell r="B46" t="str">
            <v>TASTYBIT</v>
          </cell>
          <cell r="C46">
            <v>9.920926349885395E-2</v>
          </cell>
          <cell r="F46" t="str">
            <v>TASTYBIT</v>
          </cell>
          <cell r="G46">
            <v>0.13894736842105271</v>
          </cell>
        </row>
        <row r="47">
          <cell r="B47" t="str">
            <v>DIAMONDYD</v>
          </cell>
          <cell r="C47">
            <v>9.7605456381603561E-2</v>
          </cell>
          <cell r="F47" t="str">
            <v>DIAMONDYD</v>
          </cell>
          <cell r="G47">
            <v>6.0532687651337902E-4</v>
          </cell>
        </row>
        <row r="48">
          <cell r="B48" t="str">
            <v>ADFFOODS</v>
          </cell>
          <cell r="C48">
            <v>0.16688977891407952</v>
          </cell>
          <cell r="F48" t="str">
            <v>ADFFOODS</v>
          </cell>
          <cell r="G48">
            <v>8.8888888888888795E-2</v>
          </cell>
        </row>
        <row r="49">
          <cell r="B49" t="str">
            <v>MISHTANN</v>
          </cell>
          <cell r="C49">
            <v>5.814078782077714E-2</v>
          </cell>
          <cell r="F49" t="str">
            <v>MISHTANN</v>
          </cell>
          <cell r="G49">
            <v>0.71076923076923082</v>
          </cell>
        </row>
        <row r="68">
          <cell r="C68" t="str">
            <v>DEBT2EQUITY</v>
          </cell>
          <cell r="G68" t="str">
            <v>ICR</v>
          </cell>
          <cell r="K68" t="str">
            <v>DEBTRATIO</v>
          </cell>
        </row>
        <row r="69">
          <cell r="B69" t="str">
            <v>NESTLEIND</v>
          </cell>
          <cell r="C69">
            <v>1.1204481792717087E-2</v>
          </cell>
          <cell r="F69" t="str">
            <v>NESTLEIND</v>
          </cell>
          <cell r="G69">
            <v>38.571428571428569</v>
          </cell>
          <cell r="J69" t="str">
            <v>NESTLEIND</v>
          </cell>
          <cell r="K69">
            <v>0.69773592890393565</v>
          </cell>
        </row>
        <row r="70">
          <cell r="B70" t="str">
            <v>BRITANNIA</v>
          </cell>
          <cell r="C70">
            <v>0.96101635920640449</v>
          </cell>
          <cell r="F70" t="str">
            <v>BRITANNIA</v>
          </cell>
          <cell r="G70">
            <v>19.494186046511629</v>
          </cell>
          <cell r="J70" t="str">
            <v>BRITANNIA</v>
          </cell>
          <cell r="K70">
            <v>0.67150531489313059</v>
          </cell>
        </row>
        <row r="71">
          <cell r="B71" t="str">
            <v>BIKAJI</v>
          </cell>
          <cell r="C71">
            <v>0.14832535885167464</v>
          </cell>
          <cell r="F71" t="str">
            <v>BIKAJI</v>
          </cell>
          <cell r="G71">
            <v>37</v>
          </cell>
          <cell r="J71" t="str">
            <v>BIKAJI</v>
          </cell>
          <cell r="K71">
            <v>0.27631578947368424</v>
          </cell>
        </row>
        <row r="72">
          <cell r="B72" t="str">
            <v>BBTC</v>
          </cell>
          <cell r="C72">
            <v>0</v>
          </cell>
          <cell r="F72" t="str">
            <v>BBTC</v>
          </cell>
          <cell r="G72">
            <v>6.8080357142857144</v>
          </cell>
          <cell r="J72" t="str">
            <v>BBTC</v>
          </cell>
          <cell r="K72">
            <v>0.61745628877608572</v>
          </cell>
        </row>
        <row r="73">
          <cell r="B73" t="str">
            <v>ZYDUSWELL</v>
          </cell>
          <cell r="C73">
            <v>6.6833109275974648E-2</v>
          </cell>
          <cell r="F73" t="str">
            <v>ZYDUSWELL</v>
          </cell>
          <cell r="G73">
            <v>13.608695652173912</v>
          </cell>
          <cell r="J73" t="str">
            <v>ZYDUSWELL</v>
          </cell>
          <cell r="K73">
            <v>0.10684273709483794</v>
          </cell>
        </row>
        <row r="74">
          <cell r="B74" t="str">
            <v>BECTORFOOD</v>
          </cell>
          <cell r="C74">
            <v>0</v>
          </cell>
          <cell r="F74" t="str">
            <v>BECTORFOOD</v>
          </cell>
          <cell r="G74">
            <v>24.2</v>
          </cell>
          <cell r="J74" t="str">
            <v>BECTORFOOD</v>
          </cell>
          <cell r="K74">
            <v>0.36940686784599375</v>
          </cell>
        </row>
        <row r="75">
          <cell r="B75" t="str">
            <v>GOPAL</v>
          </cell>
          <cell r="C75">
            <v>0.38848920863309355</v>
          </cell>
          <cell r="F75" t="str">
            <v>GOPAL</v>
          </cell>
          <cell r="G75">
            <v>15</v>
          </cell>
          <cell r="J75" t="str">
            <v>GOPAL</v>
          </cell>
          <cell r="K75">
            <v>0.37093275488069416</v>
          </cell>
        </row>
        <row r="76">
          <cell r="B76" t="str">
            <v>TASTYBIT</v>
          </cell>
          <cell r="C76">
            <v>0.18705035971223022</v>
          </cell>
          <cell r="F76" t="str">
            <v>TASTYBIT</v>
          </cell>
          <cell r="G76">
            <v>11.5</v>
          </cell>
          <cell r="J76" t="str">
            <v>TASTYBIT</v>
          </cell>
          <cell r="K76">
            <v>0.3930131004366812</v>
          </cell>
        </row>
        <row r="77">
          <cell r="B77" t="str">
            <v>DIAMONDYD</v>
          </cell>
          <cell r="C77">
            <v>8.5106382978723402E-2</v>
          </cell>
          <cell r="F77" t="str">
            <v>DIAMONDYD</v>
          </cell>
          <cell r="G77">
            <v>10</v>
          </cell>
          <cell r="J77" t="str">
            <v>DIAMONDYD</v>
          </cell>
          <cell r="K77">
            <v>0.24840085287846481</v>
          </cell>
        </row>
        <row r="78">
          <cell r="B78" t="str">
            <v>ADFFOODS</v>
          </cell>
          <cell r="C78">
            <v>1.5837104072398189E-2</v>
          </cell>
          <cell r="F78" t="str">
            <v>ADFFOODS</v>
          </cell>
          <cell r="G78">
            <v>49.5</v>
          </cell>
          <cell r="J78" t="str">
            <v>ADFFOODS</v>
          </cell>
          <cell r="K78">
            <v>0.2078853046594982</v>
          </cell>
        </row>
        <row r="79">
          <cell r="B79" t="str">
            <v>MISHTANN</v>
          </cell>
          <cell r="C79">
            <v>0.17647058823529413</v>
          </cell>
          <cell r="F79" t="str">
            <v>MISHTANN</v>
          </cell>
          <cell r="G79">
            <v>57.6</v>
          </cell>
          <cell r="J79" t="str">
            <v>MISHTANN</v>
          </cell>
          <cell r="K79">
            <v>0.25365853658536586</v>
          </cell>
        </row>
        <row r="98">
          <cell r="C98" t="str">
            <v>MARGIN_FY23</v>
          </cell>
          <cell r="D98" t="str">
            <v>MARGIN_CY</v>
          </cell>
          <cell r="H98" t="str">
            <v>CUR. RATIO</v>
          </cell>
          <cell r="L98" t="str">
            <v>TR.DAYS</v>
          </cell>
        </row>
        <row r="99">
          <cell r="B99" t="str">
            <v>NESTLEIND</v>
          </cell>
          <cell r="C99">
            <v>0.1423551134671511</v>
          </cell>
          <cell r="D99">
            <v>0.15680225870542716</v>
          </cell>
          <cell r="G99" t="str">
            <v>NESTLEIND</v>
          </cell>
          <cell r="H99">
            <v>1.2135126270908494</v>
          </cell>
          <cell r="K99" t="str">
            <v>NESTLEIND</v>
          </cell>
          <cell r="L99">
            <v>5.6106870229007635</v>
          </cell>
        </row>
        <row r="100">
          <cell r="B100" t="str">
            <v>BRITANNIA</v>
          </cell>
          <cell r="C100">
            <v>0.14207717317955953</v>
          </cell>
          <cell r="D100">
            <v>0.12886443819888777</v>
          </cell>
          <cell r="G100" t="str">
            <v>BRITANNIA</v>
          </cell>
          <cell r="H100">
            <v>0.86582176624421647</v>
          </cell>
          <cell r="K100" t="str">
            <v>BRITANNIA</v>
          </cell>
          <cell r="L100">
            <v>8.9924056688393232</v>
          </cell>
        </row>
        <row r="101">
          <cell r="B101" t="str">
            <v>BIKAJI</v>
          </cell>
          <cell r="C101">
            <v>6.4089521871820959E-2</v>
          </cell>
          <cell r="D101">
            <v>8.9427107591988825E-2</v>
          </cell>
          <cell r="G101" t="str">
            <v>BIKAJI</v>
          </cell>
          <cell r="H101">
            <v>1.8076923076923077</v>
          </cell>
          <cell r="K101" t="str">
            <v>BIKAJI</v>
          </cell>
          <cell r="L101">
            <v>20.230554261760599</v>
          </cell>
        </row>
        <row r="102">
          <cell r="B102" t="str">
            <v>BBTC</v>
          </cell>
          <cell r="C102">
            <v>-2.8622059929116098E-2</v>
          </cell>
          <cell r="D102">
            <v>-8.032834945763706E-3</v>
          </cell>
          <cell r="G102" t="str">
            <v>BBTC</v>
          </cell>
          <cell r="H102">
            <v>1.3762488218661639</v>
          </cell>
          <cell r="K102" t="str">
            <v>BBTC</v>
          </cell>
          <cell r="L102">
            <v>10.315450014658458</v>
          </cell>
        </row>
        <row r="103">
          <cell r="B103" t="str">
            <v>ZYDUSWELL</v>
          </cell>
          <cell r="C103">
            <v>0.13753327417923691</v>
          </cell>
          <cell r="D103">
            <v>0.11603188662533215</v>
          </cell>
          <cell r="G103" t="str">
            <v>ZYDUSWELL</v>
          </cell>
          <cell r="H103">
            <v>1.4727272727272727</v>
          </cell>
          <cell r="K103" t="str">
            <v>ZYDUSWELL</v>
          </cell>
          <cell r="L103">
            <v>20.690876882196633</v>
          </cell>
        </row>
        <row r="104">
          <cell r="B104" t="str">
            <v>BECTORFOOD</v>
          </cell>
          <cell r="C104">
            <v>6.6079295154185022E-2</v>
          </cell>
          <cell r="D104">
            <v>8.5677749360613814E-2</v>
          </cell>
          <cell r="G104" t="str">
            <v>BECTORFOOD</v>
          </cell>
          <cell r="H104">
            <v>1.808411214953271</v>
          </cell>
          <cell r="K104" t="str">
            <v>BECTORFOOD</v>
          </cell>
          <cell r="L104">
            <v>24.737851662404093</v>
          </cell>
        </row>
        <row r="105">
          <cell r="B105" t="str">
            <v>GOPAL</v>
          </cell>
          <cell r="C105">
            <v>8.0344332855093251E-2</v>
          </cell>
          <cell r="D105">
            <v>8.2840236686390539E-2</v>
          </cell>
          <cell r="G105" t="str">
            <v>GOPAL</v>
          </cell>
          <cell r="H105" t="e">
            <v>#DIV/0!</v>
          </cell>
          <cell r="K105" t="str">
            <v>GOPAL</v>
          </cell>
          <cell r="L105">
            <v>2.9696745562130178</v>
          </cell>
        </row>
        <row r="106">
          <cell r="B106" t="str">
            <v>TASTYBIT</v>
          </cell>
          <cell r="C106">
            <v>6.3157894736842107E-2</v>
          </cell>
          <cell r="D106">
            <v>8.8724584103512014E-2</v>
          </cell>
          <cell r="G106" t="str">
            <v>TASTYBIT</v>
          </cell>
          <cell r="H106">
            <v>2</v>
          </cell>
          <cell r="K106" t="str">
            <v>TASTYBIT</v>
          </cell>
          <cell r="L106">
            <v>36.432532347504619</v>
          </cell>
        </row>
        <row r="107">
          <cell r="B107" t="str">
            <v>DIAMONDYD</v>
          </cell>
          <cell r="C107">
            <v>1.2106537530266344E-2</v>
          </cell>
          <cell r="D107">
            <v>1.2099213551119177E-2</v>
          </cell>
          <cell r="G107" t="str">
            <v>DIAMONDYD</v>
          </cell>
          <cell r="H107">
            <v>1.6265822784810127</v>
          </cell>
          <cell r="K107" t="str">
            <v>DIAMONDYD</v>
          </cell>
          <cell r="L107">
            <v>3.0913490623109499</v>
          </cell>
        </row>
        <row r="108">
          <cell r="B108" t="str">
            <v>ADFFOODS</v>
          </cell>
          <cell r="C108">
            <v>0.12222222222222222</v>
          </cell>
          <cell r="D108">
            <v>0.1326530612244898</v>
          </cell>
          <cell r="G108" t="str">
            <v>ADFFOODS</v>
          </cell>
          <cell r="H108">
            <v>6.8269230769230766</v>
          </cell>
          <cell r="K108" t="str">
            <v>ADFFOODS</v>
          </cell>
          <cell r="L108">
            <v>61.081632653061227</v>
          </cell>
        </row>
        <row r="109">
          <cell r="B109" t="str">
            <v>MISHTANN</v>
          </cell>
          <cell r="C109">
            <v>7.6923076923076927E-2</v>
          </cell>
          <cell r="D109">
            <v>0.23741007194244604</v>
          </cell>
          <cell r="G109" t="str">
            <v>MISHTANN</v>
          </cell>
          <cell r="H109">
            <v>4.1020408163265305</v>
          </cell>
          <cell r="K109" t="str">
            <v>MISHTANN</v>
          </cell>
          <cell r="L109">
            <v>124.40197841726618</v>
          </cell>
        </row>
        <row r="129">
          <cell r="C129" t="str">
            <v>ROE</v>
          </cell>
          <cell r="G129" t="str">
            <v>ROPE</v>
          </cell>
          <cell r="K129" t="str">
            <v>ROA</v>
          </cell>
        </row>
        <row r="130">
          <cell r="B130" t="str">
            <v>NESTLEIND</v>
          </cell>
          <cell r="C130">
            <v>1.0500700280112045</v>
          </cell>
          <cell r="F130" t="str">
            <v>NESTLEIND</v>
          </cell>
          <cell r="G130">
            <v>31.239583333333332</v>
          </cell>
          <cell r="J130" t="str">
            <v>NESTLEIND</v>
          </cell>
          <cell r="K130">
            <v>0.31728734659331359</v>
          </cell>
        </row>
        <row r="131">
          <cell r="B131" t="str">
            <v>BRITANNIA</v>
          </cell>
          <cell r="C131">
            <v>0.75008701705534286</v>
          </cell>
          <cell r="F131" t="str">
            <v>BRITANNIA</v>
          </cell>
          <cell r="G131">
            <v>89.791666666666671</v>
          </cell>
          <cell r="J131" t="str">
            <v>BRITANNIA</v>
          </cell>
          <cell r="K131">
            <v>0.24631386444165049</v>
          </cell>
        </row>
        <row r="132">
          <cell r="B132" t="str">
            <v>BIKAJI</v>
          </cell>
          <cell r="C132">
            <v>0.18373205741626794</v>
          </cell>
          <cell r="F132" t="str">
            <v>BIKAJI</v>
          </cell>
          <cell r="G132">
            <v>7.68</v>
          </cell>
          <cell r="J132" t="str">
            <v>BIKAJI</v>
          </cell>
          <cell r="K132">
            <v>0.1329639889196676</v>
          </cell>
        </row>
        <row r="133">
          <cell r="B133" t="str">
            <v>BBTC</v>
          </cell>
          <cell r="C133">
            <v>-2.5248802064135642E-2</v>
          </cell>
          <cell r="F133" t="str">
            <v>BBTC</v>
          </cell>
          <cell r="G133">
            <v>-10.538461538461538</v>
          </cell>
          <cell r="J133" t="str">
            <v>BBTC</v>
          </cell>
          <cell r="K133">
            <v>-9.6587704455724753E-3</v>
          </cell>
        </row>
        <row r="134">
          <cell r="B134" t="str">
            <v>ZYDUSWELL</v>
          </cell>
          <cell r="C134">
            <v>5.0316881121567118E-2</v>
          </cell>
          <cell r="F134" t="str">
            <v>ZYDUSWELL</v>
          </cell>
          <cell r="G134">
            <v>4.1587301587301591</v>
          </cell>
          <cell r="J134" t="str">
            <v>ZYDUSWELL</v>
          </cell>
          <cell r="K134">
            <v>4.4932258617732805E-2</v>
          </cell>
        </row>
        <row r="135">
          <cell r="B135" t="str">
            <v>BECTORFOOD</v>
          </cell>
          <cell r="C135">
            <v>0.22112211221122113</v>
          </cell>
          <cell r="F135" t="str">
            <v>BECTORFOOD</v>
          </cell>
          <cell r="G135">
            <v>2.3103448275862069</v>
          </cell>
          <cell r="J135" t="str">
            <v>BECTORFOOD</v>
          </cell>
          <cell r="K135">
            <v>0.13943808532778357</v>
          </cell>
        </row>
        <row r="136">
          <cell r="B136" t="str">
            <v>GOPAL</v>
          </cell>
          <cell r="C136">
            <v>0.40287769784172661</v>
          </cell>
          <cell r="F136" t="str">
            <v>GOPAL</v>
          </cell>
          <cell r="G136">
            <v>9.3333333333333339</v>
          </cell>
          <cell r="J136" t="str">
            <v>GOPAL</v>
          </cell>
          <cell r="K136">
            <v>0.24295010845986983</v>
          </cell>
        </row>
        <row r="137">
          <cell r="B137" t="str">
            <v>TASTYBIT</v>
          </cell>
          <cell r="C137">
            <v>0.17266187050359713</v>
          </cell>
          <cell r="F137" t="str">
            <v>TASTYBIT</v>
          </cell>
          <cell r="G137">
            <v>16</v>
          </cell>
          <cell r="J137" t="str">
            <v>TASTYBIT</v>
          </cell>
          <cell r="K137">
            <v>0.10480349344978165</v>
          </cell>
        </row>
        <row r="138">
          <cell r="B138" t="str">
            <v>DIAMONDYD</v>
          </cell>
          <cell r="C138">
            <v>2.8368794326241134E-2</v>
          </cell>
          <cell r="F138" t="str">
            <v>DIAMONDYD</v>
          </cell>
          <cell r="G138">
            <v>1.6666666666666667</v>
          </cell>
          <cell r="J138" t="str">
            <v>DIAMONDYD</v>
          </cell>
          <cell r="K138">
            <v>2.1321961620469083E-2</v>
          </cell>
        </row>
        <row r="139">
          <cell r="B139" t="str">
            <v>ADFFOODS</v>
          </cell>
          <cell r="C139">
            <v>0.14705882352941177</v>
          </cell>
          <cell r="F139" t="str">
            <v>ADFFOODS</v>
          </cell>
          <cell r="G139">
            <v>2.9545454545454546</v>
          </cell>
          <cell r="J139" t="str">
            <v>ADFFOODS</v>
          </cell>
          <cell r="K139">
            <v>0.11648745519713262</v>
          </cell>
        </row>
        <row r="140">
          <cell r="B140" t="str">
            <v>MISHTANN</v>
          </cell>
          <cell r="C140">
            <v>0.86274509803921573</v>
          </cell>
          <cell r="F140" t="str">
            <v>MISHTANN</v>
          </cell>
          <cell r="G140">
            <v>2.64</v>
          </cell>
          <cell r="J140" t="str">
            <v>MISHTANN</v>
          </cell>
          <cell r="K140">
            <v>0.64390243902439026</v>
          </cell>
        </row>
        <row r="159">
          <cell r="C159" t="str">
            <v>TRAIL_PE</v>
          </cell>
          <cell r="G159" t="str">
            <v>YIELD</v>
          </cell>
          <cell r="K159" t="str">
            <v>PBV</v>
          </cell>
        </row>
        <row r="160">
          <cell r="B160" t="str">
            <v>NESTLEIND</v>
          </cell>
          <cell r="C160">
            <v>84.59</v>
          </cell>
          <cell r="F160" t="str">
            <v>NESTLEIND</v>
          </cell>
          <cell r="G160">
            <v>1.1855296763618343E-2</v>
          </cell>
          <cell r="J160" t="str">
            <v>NESTLEIND</v>
          </cell>
          <cell r="K160">
            <v>88.178151260504208</v>
          </cell>
        </row>
        <row r="161">
          <cell r="B161" t="str">
            <v>BRITANNIA</v>
          </cell>
          <cell r="C161">
            <v>55.11</v>
          </cell>
          <cell r="F161" t="str">
            <v>BRITANNIA</v>
          </cell>
          <cell r="G161">
            <v>1.8346541234214427E-2</v>
          </cell>
          <cell r="J161" t="str">
            <v>BRITANNIA</v>
          </cell>
          <cell r="K161">
            <v>40.847198050817958</v>
          </cell>
        </row>
        <row r="162">
          <cell r="B162" t="str">
            <v>BIKAJI</v>
          </cell>
          <cell r="C162">
            <v>65.73</v>
          </cell>
          <cell r="F162" t="str">
            <v>BIKAJI</v>
          </cell>
          <cell r="G162">
            <v>1.5255965735264124E-2</v>
          </cell>
          <cell r="J162" t="str">
            <v>BIKAJI</v>
          </cell>
          <cell r="K162">
            <v>11.729665071770336</v>
          </cell>
        </row>
        <row r="163">
          <cell r="B163" t="str">
            <v>BBTC</v>
          </cell>
          <cell r="F163" t="str">
            <v>BBTC</v>
          </cell>
          <cell r="G163">
            <v>-0.10903180121024848</v>
          </cell>
          <cell r="J163" t="str">
            <v>BBTC</v>
          </cell>
          <cell r="K163">
            <v>1.8608735716918543</v>
          </cell>
        </row>
        <row r="164">
          <cell r="B164" t="str">
            <v>ZYDUSWELL</v>
          </cell>
          <cell r="C164">
            <v>35.72</v>
          </cell>
          <cell r="F164" t="str">
            <v>ZYDUSWELL</v>
          </cell>
          <cell r="G164">
            <v>2.8095563139931737E-2</v>
          </cell>
          <cell r="J164" t="str">
            <v>ZYDUSWELL</v>
          </cell>
          <cell r="K164">
            <v>1.7725177645477241</v>
          </cell>
        </row>
        <row r="165">
          <cell r="B165" t="str">
            <v>BECTORFOOD</v>
          </cell>
          <cell r="C165">
            <v>49</v>
          </cell>
          <cell r="F165" t="str">
            <v>BECTORFOOD</v>
          </cell>
          <cell r="G165">
            <v>2.0791628753412193E-2</v>
          </cell>
          <cell r="J165" t="str">
            <v>BECTORFOOD</v>
          </cell>
          <cell r="K165">
            <v>10.518481848184818</v>
          </cell>
        </row>
        <row r="166">
          <cell r="B166" t="str">
            <v>GOPAL</v>
          </cell>
          <cell r="C166">
            <v>38.369999999999997</v>
          </cell>
          <cell r="F166" t="str">
            <v>GOPAL</v>
          </cell>
          <cell r="G166">
            <v>2.5933147632311981E-2</v>
          </cell>
          <cell r="J166" t="str">
            <v>GOPAL</v>
          </cell>
          <cell r="K166">
            <v>15.496402877697841</v>
          </cell>
        </row>
        <row r="167">
          <cell r="B167" t="str">
            <v>TASTYBIT</v>
          </cell>
          <cell r="C167">
            <v>79.540000000000006</v>
          </cell>
          <cell r="F167" t="str">
            <v>TASTYBIT</v>
          </cell>
          <cell r="G167">
            <v>1.4561389139159636E-2</v>
          </cell>
          <cell r="J167" t="str">
            <v>TASTYBIT</v>
          </cell>
          <cell r="K167">
            <v>13.175179856115108</v>
          </cell>
        </row>
        <row r="168">
          <cell r="B168" t="str">
            <v>DIAMONDYD</v>
          </cell>
          <cell r="C168">
            <v>35.4</v>
          </cell>
          <cell r="F168" t="str">
            <v>DIAMONDYD</v>
          </cell>
          <cell r="G168">
            <v>2.8173003595162872E-2</v>
          </cell>
          <cell r="J168" t="str">
            <v>DIAMONDYD</v>
          </cell>
          <cell r="K168">
            <v>3.1247659574468085</v>
          </cell>
        </row>
        <row r="169">
          <cell r="B169" t="str">
            <v>ADFFOODS</v>
          </cell>
          <cell r="C169">
            <v>31.05</v>
          </cell>
          <cell r="F169" t="str">
            <v>ADFFOODS</v>
          </cell>
          <cell r="G169">
            <v>3.2334682860998651E-2</v>
          </cell>
          <cell r="J169" t="str">
            <v>ADFFOODS</v>
          </cell>
          <cell r="K169">
            <v>4.6102941176470589</v>
          </cell>
        </row>
        <row r="170">
          <cell r="B170" t="str">
            <v>MISHTANN</v>
          </cell>
          <cell r="C170">
            <v>6.72</v>
          </cell>
          <cell r="F170" t="str">
            <v>MISHTANN</v>
          </cell>
          <cell r="G170">
            <v>0.14903299203640502</v>
          </cell>
          <cell r="J170" t="str">
            <v>MISHTANN</v>
          </cell>
          <cell r="K170">
            <v>5.7450980392156854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BB7DE-1E22-4384-B11A-26A28E63E188}">
  <sheetPr>
    <outlinePr summaryBelow="0" summaryRight="0"/>
  </sheetPr>
  <dimension ref="A1:W90"/>
  <sheetViews>
    <sheetView showGridLines="0" tabSelected="1" workbookViewId="0"/>
  </sheetViews>
  <sheetFormatPr defaultColWidth="14.44140625" defaultRowHeight="15" customHeight="1"/>
  <cols>
    <col min="1" max="1" width="9.88671875" customWidth="1"/>
  </cols>
  <sheetData>
    <row r="1" spans="1:22" ht="14.4">
      <c r="B1" s="1" t="s">
        <v>0</v>
      </c>
      <c r="C1" s="2"/>
      <c r="E1" s="1" t="s">
        <v>1</v>
      </c>
      <c r="F1" s="3"/>
      <c r="I1" s="1" t="s">
        <v>2</v>
      </c>
      <c r="R1" s="1" t="s">
        <v>3</v>
      </c>
    </row>
    <row r="2" spans="1:22" ht="14.4">
      <c r="A2" s="1" t="s">
        <v>4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J2" s="4" t="s">
        <v>13</v>
      </c>
      <c r="K2" s="5" t="s">
        <v>14</v>
      </c>
      <c r="L2" s="5" t="s">
        <v>15</v>
      </c>
      <c r="M2" s="5" t="s">
        <v>16</v>
      </c>
      <c r="N2" s="5" t="s">
        <v>17</v>
      </c>
      <c r="O2" s="5" t="s">
        <v>18</v>
      </c>
      <c r="P2" s="5" t="s">
        <v>19</v>
      </c>
      <c r="Q2" s="6" t="s">
        <v>20</v>
      </c>
      <c r="R2" s="6" t="s">
        <v>21</v>
      </c>
      <c r="S2" s="5" t="s">
        <v>22</v>
      </c>
      <c r="T2" s="5" t="s">
        <v>23</v>
      </c>
      <c r="U2" s="5" t="s">
        <v>24</v>
      </c>
      <c r="V2" s="5" t="s">
        <v>25</v>
      </c>
    </row>
    <row r="3" spans="1:22" ht="14.4">
      <c r="B3" s="7" t="s">
        <v>26</v>
      </c>
      <c r="C3" s="8">
        <f ca="1">IFERROR(__xludf.DUMMYFUNCTION("GOOGLEFINANCE(""NSE:""&amp;B3,""PRICE"")"),4943.9)</f>
        <v>4943.8999999999996</v>
      </c>
      <c r="D3" s="9">
        <f ca="1">IFERROR(__xludf.DUMMYFUNCTION("GOOGLEFINANCE(""NSE:""&amp;B3,""MARKETCAP"")/10000000"),118296.4)</f>
        <v>118296.4</v>
      </c>
      <c r="E3" s="10">
        <v>15985</v>
      </c>
      <c r="F3" s="10">
        <v>2316</v>
      </c>
      <c r="G3" s="10">
        <v>1</v>
      </c>
      <c r="H3" s="11">
        <f>E52</f>
        <v>101.78821457253886</v>
      </c>
      <c r="I3" s="10">
        <v>24.09</v>
      </c>
      <c r="J3" s="10">
        <v>2824</v>
      </c>
      <c r="K3" s="12">
        <f>801+1960</f>
        <v>2761</v>
      </c>
      <c r="L3" s="13">
        <v>18</v>
      </c>
      <c r="M3" s="14">
        <v>4304</v>
      </c>
      <c r="N3" s="14">
        <v>4971</v>
      </c>
      <c r="O3" s="14">
        <v>8749</v>
      </c>
      <c r="P3" s="14">
        <f>904+N3</f>
        <v>5875</v>
      </c>
      <c r="Q3" s="14">
        <v>413</v>
      </c>
      <c r="R3" s="7">
        <v>293</v>
      </c>
      <c r="S3" s="14">
        <v>967</v>
      </c>
      <c r="T3" s="14">
        <v>1121</v>
      </c>
      <c r="U3" s="14">
        <v>-2072</v>
      </c>
      <c r="V3" s="15">
        <f t="shared" ref="V3:V4" si="0">SUM(S3:U3)</f>
        <v>16</v>
      </c>
    </row>
    <row r="4" spans="1:22" ht="14.4">
      <c r="B4" s="7" t="s">
        <v>27</v>
      </c>
      <c r="C4" s="10">
        <v>4322</v>
      </c>
      <c r="D4" s="9">
        <f ca="1">C4*D3/C3</f>
        <v>103415.73268067719</v>
      </c>
      <c r="E4" s="10">
        <v>13945</v>
      </c>
      <c r="F4" s="10">
        <v>1516</v>
      </c>
      <c r="G4" s="10">
        <v>1</v>
      </c>
      <c r="H4" s="10">
        <v>63.31</v>
      </c>
      <c r="I4" s="10">
        <v>24.09</v>
      </c>
      <c r="J4" s="10">
        <v>3510</v>
      </c>
      <c r="K4" s="16">
        <f>1552+1429</f>
        <v>2981</v>
      </c>
      <c r="L4" s="17">
        <v>17</v>
      </c>
      <c r="M4" s="14">
        <v>4746</v>
      </c>
      <c r="N4" s="14">
        <v>4134</v>
      </c>
      <c r="O4" s="17">
        <v>9353</v>
      </c>
      <c r="P4" s="14">
        <f>1654+N4</f>
        <v>5788</v>
      </c>
      <c r="Q4" s="17">
        <v>329</v>
      </c>
      <c r="R4" s="7">
        <v>385</v>
      </c>
      <c r="S4" s="17">
        <v>732</v>
      </c>
      <c r="T4" s="17">
        <v>174</v>
      </c>
      <c r="U4" s="17">
        <v>-923</v>
      </c>
      <c r="V4" s="18">
        <f t="shared" si="0"/>
        <v>-17</v>
      </c>
    </row>
    <row r="5" spans="1:22" ht="14.4">
      <c r="B5" s="19" t="s">
        <v>28</v>
      </c>
      <c r="C5" s="20">
        <f t="shared" ref="C5:V5" ca="1" si="1">(C3/C4)-1</f>
        <v>0.14389171679777868</v>
      </c>
      <c r="D5" s="20">
        <f t="shared" ca="1" si="1"/>
        <v>0.1438917167977789</v>
      </c>
      <c r="E5" s="20">
        <f t="shared" si="1"/>
        <v>0.1462889924704196</v>
      </c>
      <c r="F5" s="20">
        <f t="shared" si="1"/>
        <v>0.52770448548812654</v>
      </c>
      <c r="G5" s="21">
        <f t="shared" si="1"/>
        <v>0</v>
      </c>
      <c r="H5" s="20">
        <f t="shared" si="1"/>
        <v>0.60777467339344282</v>
      </c>
      <c r="I5" s="21">
        <f t="shared" si="1"/>
        <v>0</v>
      </c>
      <c r="J5" s="20">
        <f t="shared" si="1"/>
        <v>-0.19544159544159545</v>
      </c>
      <c r="K5" s="20">
        <f t="shared" si="1"/>
        <v>-7.3800738007380073E-2</v>
      </c>
      <c r="L5" s="20">
        <f t="shared" si="1"/>
        <v>5.8823529411764719E-2</v>
      </c>
      <c r="M5" s="20">
        <f t="shared" si="1"/>
        <v>-9.3131057732827593E-2</v>
      </c>
      <c r="N5" s="20">
        <f t="shared" si="1"/>
        <v>0.2024673439767779</v>
      </c>
      <c r="O5" s="20">
        <f t="shared" si="1"/>
        <v>-6.4578210199935815E-2</v>
      </c>
      <c r="P5" s="20">
        <f t="shared" si="1"/>
        <v>1.5031098825155409E-2</v>
      </c>
      <c r="Q5" s="20">
        <f t="shared" si="1"/>
        <v>0.25531914893617014</v>
      </c>
      <c r="R5" s="20">
        <f t="shared" si="1"/>
        <v>-0.23896103896103893</v>
      </c>
      <c r="S5" s="20">
        <f t="shared" si="1"/>
        <v>0.3210382513661203</v>
      </c>
      <c r="T5" s="20">
        <f t="shared" si="1"/>
        <v>5.4425287356321839</v>
      </c>
      <c r="U5" s="20">
        <f t="shared" si="1"/>
        <v>1.2448537378114843</v>
      </c>
      <c r="V5" s="20">
        <f t="shared" si="1"/>
        <v>-1.9411764705882353</v>
      </c>
    </row>
    <row r="7" spans="1:22" ht="15" customHeight="1">
      <c r="A7" s="22" t="s">
        <v>29</v>
      </c>
      <c r="B7" s="23" t="s">
        <v>28</v>
      </c>
      <c r="C7" s="24"/>
      <c r="D7" s="23" t="s">
        <v>30</v>
      </c>
      <c r="E7" s="24"/>
      <c r="F7" s="24"/>
      <c r="G7" s="23" t="s">
        <v>31</v>
      </c>
      <c r="H7" s="24"/>
      <c r="I7" s="24"/>
      <c r="J7" s="23" t="s">
        <v>32</v>
      </c>
      <c r="K7" s="24"/>
      <c r="L7" s="23" t="s">
        <v>33</v>
      </c>
      <c r="M7" s="24"/>
      <c r="N7" s="25"/>
      <c r="O7" s="24"/>
      <c r="P7" s="24"/>
      <c r="Q7" s="23" t="s">
        <v>3</v>
      </c>
    </row>
    <row r="8" spans="1:22" ht="14.4">
      <c r="B8" s="26" t="s">
        <v>34</v>
      </c>
      <c r="C8" s="26" t="s">
        <v>35</v>
      </c>
      <c r="D8" s="27" t="s">
        <v>36</v>
      </c>
      <c r="E8" s="28" t="s">
        <v>37</v>
      </c>
      <c r="F8" s="26" t="s">
        <v>38</v>
      </c>
      <c r="G8" s="26" t="s">
        <v>39</v>
      </c>
      <c r="H8" s="29" t="s">
        <v>40</v>
      </c>
      <c r="I8" s="26" t="s">
        <v>41</v>
      </c>
      <c r="J8" s="28" t="s">
        <v>42</v>
      </c>
      <c r="K8" s="29" t="s">
        <v>43</v>
      </c>
      <c r="L8" s="30" t="s">
        <v>44</v>
      </c>
      <c r="M8" s="31" t="s">
        <v>45</v>
      </c>
      <c r="N8" s="30" t="s">
        <v>46</v>
      </c>
      <c r="O8" s="31" t="s">
        <v>47</v>
      </c>
      <c r="P8" s="31" t="s">
        <v>48</v>
      </c>
      <c r="Q8" s="31" t="s">
        <v>49</v>
      </c>
      <c r="R8" s="31" t="s">
        <v>50</v>
      </c>
      <c r="S8" s="31" t="s">
        <v>51</v>
      </c>
    </row>
    <row r="9" spans="1:22" ht="14.4">
      <c r="B9" s="32">
        <f>R42</f>
        <v>3.4454671336645815E-2</v>
      </c>
      <c r="C9" s="32">
        <f>R45</f>
        <v>-9.1529277998863012E-2</v>
      </c>
      <c r="D9" s="32">
        <f>P47</f>
        <v>0.14968152866242038</v>
      </c>
      <c r="E9" s="33">
        <f>M3/N3</f>
        <v>0.86582176624421647</v>
      </c>
      <c r="F9" s="34">
        <f>(Q3/E3)*365</f>
        <v>9.4304035032843299</v>
      </c>
      <c r="G9" s="35">
        <f>(K3+L3)/(I3+J3)</f>
        <v>0.97574163737803221</v>
      </c>
      <c r="H9" s="32">
        <f>P3/O3</f>
        <v>0.67150531489313059</v>
      </c>
      <c r="I9" s="34">
        <f>P48</f>
        <v>15.666666666666666</v>
      </c>
      <c r="J9" s="32">
        <f>F3/(J3+I3)</f>
        <v>0.81317654989835286</v>
      </c>
      <c r="K9" s="32">
        <f>F3/O3</f>
        <v>0.26471596753914733</v>
      </c>
      <c r="L9" s="34">
        <f ca="1">C3/H3</f>
        <v>48.570456027369985</v>
      </c>
      <c r="M9" s="36">
        <f ca="1">H3/C3</f>
        <v>2.0588647539905514E-2</v>
      </c>
      <c r="N9" s="34">
        <f>(I3+J3)/(I3/G3)</f>
        <v>118.22706517227066</v>
      </c>
      <c r="O9" s="34">
        <f ca="1">C3/N9</f>
        <v>41.816989982760369</v>
      </c>
      <c r="P9" s="33">
        <f ca="1">K57</f>
        <v>8.0950760045616637</v>
      </c>
      <c r="Q9" s="37">
        <f>S3/N3</f>
        <v>0.19452826393079864</v>
      </c>
      <c r="R9" s="37">
        <f>S3/K3</f>
        <v>0.35023542194856938</v>
      </c>
      <c r="S9" s="38">
        <f>S3-R3</f>
        <v>674</v>
      </c>
    </row>
    <row r="10" spans="1:22" ht="14.4">
      <c r="C10" s="39"/>
      <c r="D10" s="40"/>
      <c r="E10" s="39"/>
    </row>
    <row r="11" spans="1:22" ht="15" customHeight="1">
      <c r="A11" s="22" t="s">
        <v>52</v>
      </c>
      <c r="B11" s="41" t="s">
        <v>53</v>
      </c>
      <c r="C11" s="42" t="s">
        <v>54</v>
      </c>
      <c r="D11" s="42" t="s">
        <v>55</v>
      </c>
      <c r="E11" s="42" t="s">
        <v>56</v>
      </c>
      <c r="F11" s="42" t="s">
        <v>57</v>
      </c>
      <c r="G11" s="42" t="s">
        <v>58</v>
      </c>
      <c r="H11" s="42" t="s">
        <v>59</v>
      </c>
      <c r="I11" s="42" t="s">
        <v>60</v>
      </c>
      <c r="J11" s="42" t="s">
        <v>61</v>
      </c>
      <c r="K11" s="42" t="s">
        <v>62</v>
      </c>
      <c r="L11" s="42" t="s">
        <v>63</v>
      </c>
    </row>
    <row r="12" spans="1:22" ht="14.4">
      <c r="B12" s="43" t="s">
        <v>64</v>
      </c>
      <c r="C12" s="44">
        <v>602.4</v>
      </c>
      <c r="D12" s="44">
        <v>16</v>
      </c>
      <c r="E12" s="44">
        <v>18.600000000000001</v>
      </c>
      <c r="F12" s="45">
        <v>74.099999999999994</v>
      </c>
      <c r="G12" s="44">
        <v>8.6</v>
      </c>
      <c r="H12" s="46">
        <f t="shared" ref="H12:H37" si="2">D12/C12</f>
        <v>2.6560424966799469E-2</v>
      </c>
      <c r="I12" s="44">
        <v>290</v>
      </c>
      <c r="J12" s="44">
        <v>200</v>
      </c>
      <c r="K12" s="44">
        <f t="shared" ref="K12:K39" si="3">I12/G12</f>
        <v>33.720930232558139</v>
      </c>
      <c r="L12" s="44">
        <f t="shared" ref="L12:L39" si="4">J12/G12</f>
        <v>23.255813953488374</v>
      </c>
    </row>
    <row r="13" spans="1:22" ht="14.4">
      <c r="B13" s="43" t="s">
        <v>65</v>
      </c>
      <c r="C13" s="44">
        <v>752.3</v>
      </c>
      <c r="D13" s="44">
        <v>17.899999999999999</v>
      </c>
      <c r="E13" s="44">
        <v>18.600000000000001</v>
      </c>
      <c r="F13" s="45">
        <v>83.8</v>
      </c>
      <c r="G13" s="44">
        <v>9.6199999999999992</v>
      </c>
      <c r="H13" s="46">
        <f t="shared" si="2"/>
        <v>2.3793699322078959E-2</v>
      </c>
      <c r="I13" s="44">
        <v>291</v>
      </c>
      <c r="J13" s="44">
        <v>180</v>
      </c>
      <c r="K13" s="44">
        <f t="shared" si="3"/>
        <v>30.249480249480253</v>
      </c>
      <c r="L13" s="44">
        <f t="shared" si="4"/>
        <v>18.711018711018713</v>
      </c>
    </row>
    <row r="14" spans="1:22" ht="14.4">
      <c r="B14" s="43" t="s">
        <v>66</v>
      </c>
      <c r="C14" s="44">
        <v>847.8</v>
      </c>
      <c r="D14" s="44">
        <v>28.9</v>
      </c>
      <c r="E14" s="44">
        <v>18.600000000000001</v>
      </c>
      <c r="F14" s="45">
        <v>102.6</v>
      </c>
      <c r="G14" s="44">
        <v>15.54</v>
      </c>
      <c r="H14" s="46">
        <f t="shared" si="2"/>
        <v>3.4088228355744279E-2</v>
      </c>
      <c r="I14" s="44">
        <v>495</v>
      </c>
      <c r="J14" s="44">
        <v>237</v>
      </c>
      <c r="K14" s="44">
        <f t="shared" si="3"/>
        <v>31.853281853281857</v>
      </c>
      <c r="L14" s="44">
        <f t="shared" si="4"/>
        <v>15.250965250965251</v>
      </c>
    </row>
    <row r="15" spans="1:22" ht="14.4">
      <c r="B15" s="43" t="s">
        <v>67</v>
      </c>
      <c r="C15" s="44">
        <v>1030.0999999999999</v>
      </c>
      <c r="D15" s="44">
        <v>39.6</v>
      </c>
      <c r="E15" s="44">
        <v>18.600000000000001</v>
      </c>
      <c r="F15" s="45">
        <v>130.80000000000001</v>
      </c>
      <c r="G15" s="44">
        <v>21.29</v>
      </c>
      <c r="H15" s="46">
        <f t="shared" si="2"/>
        <v>3.8442869624308325E-2</v>
      </c>
      <c r="I15" s="44">
        <v>1468.25</v>
      </c>
      <c r="J15" s="44">
        <v>474.5</v>
      </c>
      <c r="K15" s="44">
        <f t="shared" si="3"/>
        <v>68.96430248943166</v>
      </c>
      <c r="L15" s="44">
        <f t="shared" si="4"/>
        <v>22.287458900892439</v>
      </c>
    </row>
    <row r="16" spans="1:22" ht="14.4">
      <c r="B16" s="43" t="s">
        <v>68</v>
      </c>
      <c r="C16" s="44">
        <v>1169.8</v>
      </c>
      <c r="D16" s="44">
        <v>51</v>
      </c>
      <c r="E16" s="44">
        <v>27.9</v>
      </c>
      <c r="F16" s="45">
        <v>158.6</v>
      </c>
      <c r="G16" s="44">
        <v>18.28</v>
      </c>
      <c r="H16" s="46">
        <f t="shared" si="2"/>
        <v>4.3597196101897759E-2</v>
      </c>
      <c r="I16" s="44">
        <v>932</v>
      </c>
      <c r="J16" s="44">
        <v>449</v>
      </c>
      <c r="K16" s="44">
        <f t="shared" si="3"/>
        <v>50.984682713347915</v>
      </c>
      <c r="L16" s="44">
        <f t="shared" si="4"/>
        <v>24.562363238512035</v>
      </c>
    </row>
    <row r="17" spans="1:12" ht="14.4">
      <c r="B17" s="43" t="s">
        <v>69</v>
      </c>
      <c r="C17" s="44">
        <v>1332.5</v>
      </c>
      <c r="D17" s="44">
        <v>70.5</v>
      </c>
      <c r="E17" s="44">
        <v>27.9</v>
      </c>
      <c r="F17" s="45">
        <v>212.3</v>
      </c>
      <c r="G17" s="44">
        <v>25.27</v>
      </c>
      <c r="H17" s="46">
        <f t="shared" si="2"/>
        <v>5.2908067542213881E-2</v>
      </c>
      <c r="I17" s="44">
        <v>838.5</v>
      </c>
      <c r="J17" s="44">
        <v>480</v>
      </c>
      <c r="K17" s="44">
        <f t="shared" si="3"/>
        <v>33.181638306292044</v>
      </c>
      <c r="L17" s="44">
        <f t="shared" si="4"/>
        <v>18.994855559952512</v>
      </c>
    </row>
    <row r="18" spans="1:12" ht="14.4">
      <c r="B18" s="43" t="s">
        <v>70</v>
      </c>
      <c r="C18" s="44">
        <v>1451</v>
      </c>
      <c r="D18" s="44">
        <v>203.2</v>
      </c>
      <c r="E18" s="44">
        <v>26.9</v>
      </c>
      <c r="F18" s="45">
        <v>343</v>
      </c>
      <c r="G18" s="44">
        <v>75.540000000000006</v>
      </c>
      <c r="H18" s="46">
        <f t="shared" si="2"/>
        <v>0.14004135079255686</v>
      </c>
      <c r="I18" s="44">
        <v>703.95</v>
      </c>
      <c r="J18" s="44">
        <v>485.55</v>
      </c>
      <c r="K18" s="44">
        <f t="shared" si="3"/>
        <v>9.3189038919777598</v>
      </c>
      <c r="L18" s="44">
        <f t="shared" si="4"/>
        <v>6.4277204130262113</v>
      </c>
    </row>
    <row r="19" spans="1:12" ht="14.4">
      <c r="B19" s="43" t="s">
        <v>71</v>
      </c>
      <c r="C19" s="44">
        <v>1349.1</v>
      </c>
      <c r="D19" s="44">
        <v>99.1</v>
      </c>
      <c r="E19" s="44">
        <v>25.9</v>
      </c>
      <c r="F19" s="45">
        <v>365.3</v>
      </c>
      <c r="G19" s="44">
        <v>38.26</v>
      </c>
      <c r="H19" s="46">
        <f t="shared" si="2"/>
        <v>7.3456378326291608E-2</v>
      </c>
      <c r="I19" s="44">
        <v>582</v>
      </c>
      <c r="J19" s="44">
        <v>470</v>
      </c>
      <c r="K19" s="44">
        <f t="shared" si="3"/>
        <v>15.211709357030843</v>
      </c>
      <c r="L19" s="44">
        <f t="shared" si="4"/>
        <v>12.284370099320439</v>
      </c>
    </row>
    <row r="20" spans="1:12" ht="14.4">
      <c r="B20" s="43" t="s">
        <v>72</v>
      </c>
      <c r="C20" s="44">
        <v>1439.61</v>
      </c>
      <c r="D20" s="44">
        <v>118.79</v>
      </c>
      <c r="E20" s="44">
        <v>25.11</v>
      </c>
      <c r="F20" s="45">
        <v>405.91</v>
      </c>
      <c r="G20" s="44">
        <v>44.16</v>
      </c>
      <c r="H20" s="46">
        <f t="shared" si="2"/>
        <v>8.2515403477330676E-2</v>
      </c>
      <c r="I20" s="44">
        <v>720</v>
      </c>
      <c r="J20" s="44">
        <v>488</v>
      </c>
      <c r="K20" s="44">
        <f t="shared" si="3"/>
        <v>16.304347826086957</v>
      </c>
      <c r="L20" s="44">
        <f t="shared" si="4"/>
        <v>11.05072463768116</v>
      </c>
    </row>
    <row r="21" spans="1:12" ht="14.4">
      <c r="B21" s="43" t="s">
        <v>73</v>
      </c>
      <c r="C21" s="44">
        <v>1588.64</v>
      </c>
      <c r="D21" s="44">
        <v>148.76</v>
      </c>
      <c r="E21" s="44">
        <v>23.89</v>
      </c>
      <c r="F21" s="45">
        <v>419.63</v>
      </c>
      <c r="G21" s="44">
        <v>60.59</v>
      </c>
      <c r="H21" s="46">
        <f t="shared" si="2"/>
        <v>9.3639842884479796E-2</v>
      </c>
      <c r="I21" s="44">
        <v>950</v>
      </c>
      <c r="J21" s="44">
        <v>538.29999999999995</v>
      </c>
      <c r="K21" s="44">
        <f t="shared" si="3"/>
        <v>15.679154976068657</v>
      </c>
      <c r="L21" s="44">
        <f t="shared" si="4"/>
        <v>8.8843043406502709</v>
      </c>
    </row>
    <row r="22" spans="1:12" ht="14.4">
      <c r="B22" s="43" t="s">
        <v>74</v>
      </c>
      <c r="C22" s="44">
        <v>1735.02</v>
      </c>
      <c r="D22" s="44">
        <v>146.41999999999999</v>
      </c>
      <c r="E22" s="44">
        <v>23.89</v>
      </c>
      <c r="F22" s="45">
        <v>525.19000000000005</v>
      </c>
      <c r="G22" s="44">
        <v>59.96</v>
      </c>
      <c r="H22" s="46">
        <f t="shared" si="2"/>
        <v>8.4390958029302243E-2</v>
      </c>
      <c r="I22" s="44">
        <v>1800</v>
      </c>
      <c r="J22" s="44">
        <v>799.95</v>
      </c>
      <c r="K22" s="44">
        <f t="shared" si="3"/>
        <v>30.02001334222815</v>
      </c>
      <c r="L22" s="44">
        <f t="shared" si="4"/>
        <v>13.341394262841895</v>
      </c>
    </row>
    <row r="23" spans="1:12" ht="14.4">
      <c r="B23" s="43" t="s">
        <v>75</v>
      </c>
      <c r="C23" s="44">
        <v>2297.31</v>
      </c>
      <c r="D23" s="44">
        <v>105.13</v>
      </c>
      <c r="E23" s="44">
        <v>23.89</v>
      </c>
      <c r="F23" s="45">
        <v>548.11</v>
      </c>
      <c r="G23" s="44">
        <v>44.01</v>
      </c>
      <c r="H23" s="46">
        <f t="shared" si="2"/>
        <v>4.5762217550091196E-2</v>
      </c>
      <c r="I23" s="44">
        <v>1955</v>
      </c>
      <c r="J23" s="44">
        <v>1025</v>
      </c>
      <c r="K23" s="44">
        <f t="shared" si="3"/>
        <v>44.421722335832769</v>
      </c>
      <c r="L23" s="44">
        <f t="shared" si="4"/>
        <v>23.290161326971145</v>
      </c>
    </row>
    <row r="24" spans="1:12" ht="14.4">
      <c r="B24" s="43" t="s">
        <v>76</v>
      </c>
      <c r="C24" s="44">
        <v>2828.3</v>
      </c>
      <c r="D24" s="44">
        <v>177.43</v>
      </c>
      <c r="E24" s="44">
        <v>23.89</v>
      </c>
      <c r="F24" s="44">
        <v>668.33</v>
      </c>
      <c r="G24" s="44">
        <v>74.27</v>
      </c>
      <c r="H24" s="46">
        <f t="shared" si="2"/>
        <v>6.2733797687656898E-2</v>
      </c>
      <c r="I24" s="44">
        <v>1780</v>
      </c>
      <c r="J24" s="44">
        <v>1174.7</v>
      </c>
      <c r="K24" s="44">
        <f t="shared" si="3"/>
        <v>23.966608320990979</v>
      </c>
      <c r="L24" s="44">
        <f t="shared" si="4"/>
        <v>15.816615053184329</v>
      </c>
    </row>
    <row r="25" spans="1:12" ht="14.4">
      <c r="B25" s="43" t="s">
        <v>77</v>
      </c>
      <c r="C25" s="44">
        <v>3459.94</v>
      </c>
      <c r="D25" s="44">
        <v>151.47999999999999</v>
      </c>
      <c r="E25" s="44">
        <v>23.89</v>
      </c>
      <c r="F25" s="44">
        <v>697.48</v>
      </c>
      <c r="G25" s="44">
        <v>63.41</v>
      </c>
      <c r="H25" s="46">
        <f t="shared" si="2"/>
        <v>4.378110603074041E-2</v>
      </c>
      <c r="I25" s="44">
        <v>1519.85</v>
      </c>
      <c r="J25" s="44">
        <v>991.25</v>
      </c>
      <c r="K25" s="44">
        <f t="shared" si="3"/>
        <v>23.968616937391577</v>
      </c>
      <c r="L25" s="44">
        <f t="shared" si="4"/>
        <v>15.632392367134523</v>
      </c>
    </row>
    <row r="26" spans="1:12" ht="14.4">
      <c r="B26" s="43" t="s">
        <v>78</v>
      </c>
      <c r="C26" s="44">
        <v>3831.15</v>
      </c>
      <c r="D26" s="44">
        <v>103.17</v>
      </c>
      <c r="E26" s="44">
        <v>23.89</v>
      </c>
      <c r="F26" s="44">
        <v>258.89999999999998</v>
      </c>
      <c r="G26" s="44">
        <f>(F26*G25)/F25</f>
        <v>23.537375982107012</v>
      </c>
      <c r="H26" s="46">
        <f t="shared" si="2"/>
        <v>2.6929251008182921E-2</v>
      </c>
      <c r="I26" s="44">
        <v>1890</v>
      </c>
      <c r="J26" s="44">
        <v>1380</v>
      </c>
      <c r="K26" s="44">
        <f t="shared" si="3"/>
        <v>80.297820854659747</v>
      </c>
      <c r="L26" s="44">
        <f t="shared" si="4"/>
        <v>58.630154909751568</v>
      </c>
    </row>
    <row r="27" spans="1:12" ht="14.4">
      <c r="A27" s="39" t="s">
        <v>79</v>
      </c>
      <c r="B27" s="43" t="s">
        <v>80</v>
      </c>
      <c r="C27" s="44">
        <v>4668.3900000000003</v>
      </c>
      <c r="D27" s="44">
        <v>134.35</v>
      </c>
      <c r="E27" s="44">
        <v>23.89</v>
      </c>
      <c r="F27" s="44">
        <v>302.14999999999998</v>
      </c>
      <c r="G27" s="44">
        <v>11.25</v>
      </c>
      <c r="H27" s="46">
        <f t="shared" si="2"/>
        <v>2.8778658166948346E-2</v>
      </c>
      <c r="I27" s="44">
        <v>452.45</v>
      </c>
      <c r="J27" s="44">
        <v>334.1</v>
      </c>
      <c r="K27" s="44">
        <f t="shared" si="3"/>
        <v>40.217777777777776</v>
      </c>
      <c r="L27" s="44">
        <f t="shared" si="4"/>
        <v>29.69777777777778</v>
      </c>
    </row>
    <row r="28" spans="1:12" ht="14.4">
      <c r="B28" s="43" t="s">
        <v>81</v>
      </c>
      <c r="C28" s="44">
        <v>5544.51</v>
      </c>
      <c r="D28" s="44">
        <v>199.5</v>
      </c>
      <c r="E28" s="44">
        <v>23.89</v>
      </c>
      <c r="F28" s="44">
        <v>385.28</v>
      </c>
      <c r="G28" s="44">
        <v>16.71</v>
      </c>
      <c r="H28" s="46">
        <f t="shared" si="2"/>
        <v>3.598153849483543E-2</v>
      </c>
      <c r="I28" s="44">
        <v>596</v>
      </c>
      <c r="J28" s="44">
        <v>324</v>
      </c>
      <c r="K28" s="44">
        <f t="shared" si="3"/>
        <v>35.667265110712144</v>
      </c>
      <c r="L28" s="44">
        <f t="shared" si="4"/>
        <v>19.389587073608617</v>
      </c>
    </row>
    <row r="29" spans="1:12" ht="14.4">
      <c r="B29" s="43" t="s">
        <v>82</v>
      </c>
      <c r="C29" s="44">
        <v>6237.65</v>
      </c>
      <c r="D29" s="44">
        <v>259.5</v>
      </c>
      <c r="E29" s="44">
        <v>23.91</v>
      </c>
      <c r="F29" s="44">
        <v>526.85</v>
      </c>
      <c r="G29" s="44">
        <v>21.72</v>
      </c>
      <c r="H29" s="46">
        <f t="shared" si="2"/>
        <v>4.1602205958974937E-2</v>
      </c>
      <c r="I29" s="44">
        <v>599.9</v>
      </c>
      <c r="J29" s="44">
        <v>400</v>
      </c>
      <c r="K29" s="44">
        <f t="shared" si="3"/>
        <v>27.619705340699817</v>
      </c>
      <c r="L29" s="44">
        <f t="shared" si="4"/>
        <v>18.41620626151013</v>
      </c>
    </row>
    <row r="30" spans="1:12" ht="14.4">
      <c r="B30" s="43" t="s">
        <v>83</v>
      </c>
      <c r="C30" s="44">
        <v>6946.3</v>
      </c>
      <c r="D30" s="44">
        <v>395.35</v>
      </c>
      <c r="E30" s="44">
        <v>23.99</v>
      </c>
      <c r="F30" s="44">
        <v>769.84</v>
      </c>
      <c r="G30" s="44">
        <v>33</v>
      </c>
      <c r="H30" s="46">
        <f t="shared" si="2"/>
        <v>5.691519226062796E-2</v>
      </c>
      <c r="I30" s="44">
        <v>972.5</v>
      </c>
      <c r="J30" s="44">
        <v>505</v>
      </c>
      <c r="K30" s="44">
        <f t="shared" si="3"/>
        <v>29.469696969696969</v>
      </c>
      <c r="L30" s="44">
        <f t="shared" si="4"/>
        <v>15.303030303030303</v>
      </c>
    </row>
    <row r="31" spans="1:12" ht="14.4">
      <c r="B31" s="43" t="s">
        <v>84</v>
      </c>
      <c r="C31" s="44">
        <v>7946.38</v>
      </c>
      <c r="D31" s="44">
        <v>688.64</v>
      </c>
      <c r="E31" s="44">
        <v>23.99</v>
      </c>
      <c r="F31" s="44">
        <v>1217.55</v>
      </c>
      <c r="G31" s="44">
        <v>57.42</v>
      </c>
      <c r="H31" s="46">
        <f t="shared" si="2"/>
        <v>8.6660844308980939E-2</v>
      </c>
      <c r="I31" s="44">
        <v>2249.9499999999998</v>
      </c>
      <c r="J31" s="44">
        <v>821</v>
      </c>
      <c r="K31" s="44">
        <f t="shared" si="3"/>
        <v>39.184082201323577</v>
      </c>
      <c r="L31" s="44">
        <f t="shared" si="4"/>
        <v>14.298153953326366</v>
      </c>
    </row>
    <row r="32" spans="1:12" ht="14.4">
      <c r="B32" s="43" t="s">
        <v>85</v>
      </c>
      <c r="C32" s="44">
        <v>8750.5</v>
      </c>
      <c r="D32" s="44">
        <v>827.36</v>
      </c>
      <c r="E32" s="44">
        <v>23.99</v>
      </c>
      <c r="F32" s="44">
        <v>1464.78</v>
      </c>
      <c r="G32" s="44">
        <v>68.73</v>
      </c>
      <c r="H32" s="46">
        <f t="shared" si="2"/>
        <v>9.4550025712816413E-2</v>
      </c>
      <c r="I32" s="44">
        <v>3435</v>
      </c>
      <c r="J32" s="44">
        <v>2009</v>
      </c>
      <c r="K32" s="44">
        <f t="shared" si="3"/>
        <v>49.978175469227409</v>
      </c>
      <c r="L32" s="44">
        <f t="shared" si="4"/>
        <v>29.230321548086714</v>
      </c>
    </row>
    <row r="33" spans="1:23" ht="14.4">
      <c r="B33" s="43" t="s">
        <v>86</v>
      </c>
      <c r="C33" s="44">
        <v>8829.17</v>
      </c>
      <c r="D33" s="44">
        <v>843.45</v>
      </c>
      <c r="E33" s="44">
        <v>24</v>
      </c>
      <c r="F33" s="44">
        <v>2557.98</v>
      </c>
      <c r="G33" s="44">
        <v>70.31</v>
      </c>
      <c r="H33" s="46">
        <f t="shared" si="2"/>
        <v>9.5529930899506982E-2</v>
      </c>
      <c r="I33" s="44">
        <v>3575</v>
      </c>
      <c r="J33" s="44">
        <v>2523.9</v>
      </c>
      <c r="K33" s="44">
        <f t="shared" si="3"/>
        <v>50.846252311193282</v>
      </c>
      <c r="L33" s="44">
        <f t="shared" si="4"/>
        <v>35.896742995306496</v>
      </c>
    </row>
    <row r="34" spans="1:23" ht="14.4">
      <c r="B34" s="43" t="s">
        <v>87</v>
      </c>
      <c r="C34" s="44">
        <v>9536.1</v>
      </c>
      <c r="D34" s="44">
        <v>947.51</v>
      </c>
      <c r="E34" s="44">
        <v>24.01</v>
      </c>
      <c r="F34" s="44">
        <v>3211.27</v>
      </c>
      <c r="G34" s="44">
        <f>39*2</f>
        <v>78</v>
      </c>
      <c r="H34" s="46">
        <f t="shared" si="2"/>
        <v>9.9360325499942323E-2</v>
      </c>
      <c r="I34" s="44">
        <v>5057.25</v>
      </c>
      <c r="J34" s="44">
        <v>3320</v>
      </c>
      <c r="K34" s="44">
        <f t="shared" si="3"/>
        <v>64.836538461538467</v>
      </c>
      <c r="L34" s="44">
        <f t="shared" si="4"/>
        <v>42.564102564102562</v>
      </c>
    </row>
    <row r="35" spans="1:23" ht="14.4">
      <c r="A35" s="39" t="s">
        <v>88</v>
      </c>
      <c r="B35" s="43" t="s">
        <v>89</v>
      </c>
      <c r="C35" s="44">
        <v>11261.12</v>
      </c>
      <c r="D35" s="44">
        <v>1155.46</v>
      </c>
      <c r="E35" s="44">
        <v>24.03</v>
      </c>
      <c r="F35" s="44">
        <v>4229.22</v>
      </c>
      <c r="G35" s="44">
        <v>48.25</v>
      </c>
      <c r="H35" s="46">
        <f t="shared" si="2"/>
        <v>0.10260613509135859</v>
      </c>
      <c r="I35" s="44">
        <v>3317</v>
      </c>
      <c r="J35" s="44">
        <v>2758.95</v>
      </c>
      <c r="K35" s="44">
        <f t="shared" si="3"/>
        <v>68.746113989637308</v>
      </c>
      <c r="L35" s="44">
        <f t="shared" si="4"/>
        <v>57.180310880829012</v>
      </c>
    </row>
    <row r="36" spans="1:23" ht="14.4">
      <c r="B36" s="43" t="s">
        <v>90</v>
      </c>
      <c r="C36" s="44">
        <v>11600</v>
      </c>
      <c r="D36" s="44">
        <v>1393.6</v>
      </c>
      <c r="E36" s="44">
        <v>24.05</v>
      </c>
      <c r="F36" s="44">
        <v>4378.78</v>
      </c>
      <c r="G36" s="44">
        <v>58.35</v>
      </c>
      <c r="H36" s="46">
        <f t="shared" si="2"/>
        <v>0.12013793103448275</v>
      </c>
      <c r="I36" s="44">
        <v>3443.9</v>
      </c>
      <c r="J36" s="44">
        <v>2100.5500000000002</v>
      </c>
      <c r="K36" s="44">
        <f t="shared" si="3"/>
        <v>59.021422450728366</v>
      </c>
      <c r="L36" s="44">
        <f t="shared" si="4"/>
        <v>35.999143101970866</v>
      </c>
    </row>
    <row r="37" spans="1:23" ht="14.4">
      <c r="B37" s="43" t="s">
        <v>91</v>
      </c>
      <c r="C37" s="44">
        <v>13136</v>
      </c>
      <c r="D37" s="44">
        <v>1851</v>
      </c>
      <c r="E37" s="44">
        <v>24.05</v>
      </c>
      <c r="F37" s="44">
        <v>3547</v>
      </c>
      <c r="G37" s="44">
        <v>77.430000000000007</v>
      </c>
      <c r="H37" s="46">
        <f t="shared" si="2"/>
        <v>0.14091047503045068</v>
      </c>
      <c r="I37" s="44">
        <v>3995</v>
      </c>
      <c r="J37" s="44">
        <v>3305</v>
      </c>
      <c r="K37" s="44">
        <f t="shared" si="3"/>
        <v>51.594989022342759</v>
      </c>
      <c r="L37" s="44">
        <f t="shared" si="4"/>
        <v>42.683714322613973</v>
      </c>
    </row>
    <row r="38" spans="1:23" ht="14.4">
      <c r="B38" s="43" t="s">
        <v>92</v>
      </c>
      <c r="C38" s="44">
        <v>13945</v>
      </c>
      <c r="D38" s="44">
        <v>1516</v>
      </c>
      <c r="E38" s="44">
        <v>24.09</v>
      </c>
      <c r="F38" s="44">
        <v>2534</v>
      </c>
      <c r="G38" s="44">
        <v>63.31</v>
      </c>
      <c r="H38" s="46">
        <v>0.123</v>
      </c>
      <c r="I38" s="44">
        <v>4153</v>
      </c>
      <c r="J38" s="44">
        <v>3050</v>
      </c>
      <c r="K38" s="44">
        <f t="shared" si="3"/>
        <v>65.597851840151634</v>
      </c>
      <c r="L38" s="44">
        <f t="shared" si="4"/>
        <v>48.175643658189856</v>
      </c>
    </row>
    <row r="39" spans="1:23" ht="14.4">
      <c r="B39" s="43" t="s">
        <v>93</v>
      </c>
      <c r="C39" s="44">
        <v>15985</v>
      </c>
      <c r="D39" s="44">
        <v>2316</v>
      </c>
      <c r="E39" s="44">
        <v>24.09</v>
      </c>
      <c r="F39" s="44">
        <v>3510</v>
      </c>
      <c r="G39" s="44">
        <v>96.39</v>
      </c>
      <c r="H39" s="46">
        <v>0.16700000000000001</v>
      </c>
      <c r="I39" s="44">
        <v>4669</v>
      </c>
      <c r="J39" s="44">
        <v>3132</v>
      </c>
      <c r="K39" s="44">
        <f t="shared" si="3"/>
        <v>48.438634713144516</v>
      </c>
      <c r="L39" s="44">
        <f t="shared" si="4"/>
        <v>32.49299719887955</v>
      </c>
    </row>
    <row r="41" spans="1:23" ht="18">
      <c r="A41" s="22" t="s">
        <v>94</v>
      </c>
      <c r="B41" s="22" t="s">
        <v>95</v>
      </c>
      <c r="C41" s="42" t="s">
        <v>54</v>
      </c>
      <c r="D41" s="42" t="s">
        <v>55</v>
      </c>
      <c r="E41" s="42" t="s">
        <v>56</v>
      </c>
      <c r="F41" s="42" t="s">
        <v>57</v>
      </c>
      <c r="G41" s="42" t="s">
        <v>58</v>
      </c>
      <c r="H41" s="42" t="s">
        <v>59</v>
      </c>
      <c r="I41" s="42" t="s">
        <v>60</v>
      </c>
      <c r="J41" s="42" t="s">
        <v>61</v>
      </c>
      <c r="K41" s="42" t="s">
        <v>62</v>
      </c>
      <c r="L41" s="42" t="s">
        <v>63</v>
      </c>
      <c r="M41" s="42" t="s">
        <v>96</v>
      </c>
      <c r="O41" s="42" t="s">
        <v>97</v>
      </c>
      <c r="P41" s="42" t="s">
        <v>98</v>
      </c>
      <c r="Q41" s="42" t="s">
        <v>99</v>
      </c>
      <c r="R41" s="42" t="s">
        <v>100</v>
      </c>
      <c r="S41" s="47"/>
      <c r="T41" s="42" t="s">
        <v>97</v>
      </c>
      <c r="U41" s="42" t="s">
        <v>101</v>
      </c>
      <c r="V41" s="42" t="s">
        <v>102</v>
      </c>
      <c r="W41" s="42" t="s">
        <v>100</v>
      </c>
    </row>
    <row r="42" spans="1:23" ht="14.4">
      <c r="B42" s="48" t="s">
        <v>103</v>
      </c>
      <c r="C42" s="49">
        <f t="shared" ref="C42:F42" si="5">(C39/C14)^(1/25)-1</f>
        <v>0.12464839845775444</v>
      </c>
      <c r="D42" s="49">
        <f t="shared" si="5"/>
        <v>0.1916634757035387</v>
      </c>
      <c r="E42" s="49">
        <f t="shared" si="5"/>
        <v>1.0399108203328788E-2</v>
      </c>
      <c r="F42" s="49">
        <f t="shared" si="5"/>
        <v>0.15177166521446406</v>
      </c>
      <c r="G42" s="49">
        <f>((10*G39)/G14)^(1/25)-1</f>
        <v>0.17951437645689006</v>
      </c>
      <c r="H42" s="49">
        <f>MEDIAN(H14:H39)</f>
        <v>7.7985890901811142E-2</v>
      </c>
      <c r="I42" s="49">
        <f t="shared" ref="I42:J42" si="6">((10*I39)/I14)^(1/25)-1</f>
        <v>0.19945717587749234</v>
      </c>
      <c r="J42" s="49">
        <f t="shared" si="6"/>
        <v>0.21574624340763338</v>
      </c>
      <c r="K42" s="50">
        <f t="shared" ref="K42:L42" si="7">MEDIAN(K14:K39)</f>
        <v>39.700929989550673</v>
      </c>
      <c r="L42" s="50">
        <f t="shared" si="7"/>
        <v>20.838522987250528</v>
      </c>
      <c r="M42" s="50">
        <f t="shared" ref="M42:M44" si="8">AVERAGE(K42:L42)</f>
        <v>30.2697264884006</v>
      </c>
      <c r="O42" s="51" t="s">
        <v>54</v>
      </c>
      <c r="P42" s="52">
        <v>12700</v>
      </c>
      <c r="Q42" s="52">
        <v>12277</v>
      </c>
      <c r="R42" s="53">
        <f t="shared" ref="R42:R45" si="9">(P42/Q42)^(1/1)-1</f>
        <v>3.4454671336645815E-2</v>
      </c>
      <c r="S42" s="54"/>
      <c r="T42" s="51" t="s">
        <v>54</v>
      </c>
      <c r="U42" s="52">
        <v>8444</v>
      </c>
      <c r="V42" s="52">
        <v>8081</v>
      </c>
      <c r="W42" s="53">
        <f t="shared" ref="W42:W45" si="10">(U42/V42)^(1/1)-1</f>
        <v>4.4920183145650272E-2</v>
      </c>
    </row>
    <row r="43" spans="1:23" ht="14.4">
      <c r="B43" s="48" t="s">
        <v>104</v>
      </c>
      <c r="C43" s="49">
        <f t="shared" ref="C43:F43" si="11">(C39/C24)^(1/15)-1</f>
        <v>0.12239522689006033</v>
      </c>
      <c r="D43" s="49">
        <f t="shared" si="11"/>
        <v>0.18680882446359259</v>
      </c>
      <c r="E43" s="49">
        <f t="shared" si="11"/>
        <v>5.5594483268039951E-4</v>
      </c>
      <c r="F43" s="49">
        <f t="shared" si="11"/>
        <v>0.11691745314795243</v>
      </c>
      <c r="G43" s="49">
        <f>((10*G39)/G24)^(1/15)-1</f>
        <v>0.1863547417189575</v>
      </c>
      <c r="H43" s="49">
        <f>MEDIAN(H24:H39)</f>
        <v>9.0605435010898683E-2</v>
      </c>
      <c r="I43" s="49">
        <f t="shared" ref="I43:J43" si="12">((10*I39)/I24)^(1/15)-1</f>
        <v>0.24333146583684884</v>
      </c>
      <c r="J43" s="49">
        <f t="shared" si="12"/>
        <v>0.24468556321527291</v>
      </c>
      <c r="K43" s="50">
        <f t="shared" ref="K43:L43" si="13">MEDIAN(K24:K39)</f>
        <v>49.208405091185966</v>
      </c>
      <c r="L43" s="50">
        <f t="shared" si="13"/>
        <v>31.095387488328665</v>
      </c>
      <c r="M43" s="50">
        <f t="shared" si="8"/>
        <v>40.151896289757318</v>
      </c>
      <c r="O43" s="55" t="s">
        <v>105</v>
      </c>
      <c r="P43" s="52">
        <v>10676</v>
      </c>
      <c r="Q43" s="52">
        <v>10542</v>
      </c>
      <c r="R43" s="56">
        <f t="shared" si="9"/>
        <v>1.2711060519825512E-2</v>
      </c>
      <c r="S43" s="54"/>
      <c r="T43" s="55" t="s">
        <v>105</v>
      </c>
      <c r="U43" s="52">
        <v>7131</v>
      </c>
      <c r="V43" s="52">
        <v>7067</v>
      </c>
      <c r="W43" s="56">
        <f t="shared" si="10"/>
        <v>9.0561765954435547E-3</v>
      </c>
    </row>
    <row r="44" spans="1:23" ht="14.4">
      <c r="B44" s="48" t="s">
        <v>106</v>
      </c>
      <c r="C44" s="49">
        <f t="shared" ref="C44:F44" si="14">(C39/C34)^(1/5)-1</f>
        <v>0.1088386841341813</v>
      </c>
      <c r="D44" s="49">
        <f t="shared" si="14"/>
        <v>0.19572401180670207</v>
      </c>
      <c r="E44" s="49">
        <f t="shared" si="14"/>
        <v>6.6550262739717425E-4</v>
      </c>
      <c r="F44" s="49">
        <f t="shared" si="14"/>
        <v>1.7949090952355418E-2</v>
      </c>
      <c r="G44" s="49">
        <f>((2*G39)/G34)^(1/5)-1</f>
        <v>0.19837702611616259</v>
      </c>
      <c r="H44" s="49">
        <f>MEDIAN(H35:H39)</f>
        <v>0.123</v>
      </c>
      <c r="I44" s="49">
        <f t="shared" ref="I44:J44" si="15">((2*I39)/I34)^(1/5)-1</f>
        <v>0.13049303061755313</v>
      </c>
      <c r="J44" s="49">
        <f t="shared" si="15"/>
        <v>0.13538390399965161</v>
      </c>
      <c r="K44" s="50">
        <f t="shared" ref="K44:L44" si="16">MEDIAN(K34:K39)</f>
        <v>61.928980456133417</v>
      </c>
      <c r="L44" s="50">
        <f t="shared" si="16"/>
        <v>42.623908443358268</v>
      </c>
      <c r="M44" s="50">
        <f t="shared" si="8"/>
        <v>52.276444449745838</v>
      </c>
      <c r="N44" s="47"/>
      <c r="O44" s="57" t="s">
        <v>107</v>
      </c>
      <c r="P44" s="52">
        <v>138</v>
      </c>
      <c r="Q44" s="52">
        <v>134</v>
      </c>
      <c r="R44" s="58">
        <f t="shared" si="9"/>
        <v>2.9850746268656803E-2</v>
      </c>
      <c r="S44" s="54"/>
      <c r="T44" s="57" t="s">
        <v>107</v>
      </c>
      <c r="U44" s="52">
        <v>107</v>
      </c>
      <c r="V44" s="52">
        <v>96</v>
      </c>
      <c r="W44" s="58">
        <f t="shared" si="10"/>
        <v>0.11458333333333326</v>
      </c>
    </row>
    <row r="45" spans="1:23" ht="14.4">
      <c r="B45" s="48" t="s">
        <v>108</v>
      </c>
      <c r="C45" s="59">
        <f>(C39/C38)^(1/1)-1</f>
        <v>0.1462889924704196</v>
      </c>
      <c r="D45" s="59">
        <f t="shared" ref="D45:G45" si="17">(D39/D38)-1</f>
        <v>0.52770448548812654</v>
      </c>
      <c r="E45" s="59">
        <f t="shared" si="17"/>
        <v>0</v>
      </c>
      <c r="F45" s="59">
        <f t="shared" si="17"/>
        <v>0.38516179952644047</v>
      </c>
      <c r="G45" s="59">
        <f t="shared" si="17"/>
        <v>0.52250829252882647</v>
      </c>
      <c r="H45" s="59">
        <f>H39</f>
        <v>0.16700000000000001</v>
      </c>
      <c r="I45" s="59">
        <f t="shared" ref="I45:J45" si="18">(I39/I38)-1</f>
        <v>0.12424753190464721</v>
      </c>
      <c r="J45" s="59">
        <f t="shared" si="18"/>
        <v>2.6885245901639321E-2</v>
      </c>
      <c r="K45" s="60">
        <f t="shared" ref="K45:L45" si="19">K39</f>
        <v>48.438634713144516</v>
      </c>
      <c r="L45" s="60">
        <f t="shared" si="19"/>
        <v>32.49299719887955</v>
      </c>
      <c r="M45" s="61">
        <f>AVERAGE(M42:M44)</f>
        <v>40.899355742634583</v>
      </c>
      <c r="O45" s="57" t="s">
        <v>109</v>
      </c>
      <c r="P45" s="62">
        <v>1598</v>
      </c>
      <c r="Q45" s="62">
        <v>1759</v>
      </c>
      <c r="R45" s="63">
        <f t="shared" si="9"/>
        <v>-9.1529277998863012E-2</v>
      </c>
      <c r="S45" s="54"/>
      <c r="T45" s="57" t="s">
        <v>109</v>
      </c>
      <c r="U45" s="62">
        <v>1042</v>
      </c>
      <c r="V45" s="62">
        <v>826</v>
      </c>
      <c r="W45" s="63">
        <f t="shared" si="10"/>
        <v>0.26150121065375309</v>
      </c>
    </row>
    <row r="46" spans="1:23" ht="14.4">
      <c r="O46" s="57" t="s">
        <v>58</v>
      </c>
      <c r="P46" s="64">
        <v>66.52</v>
      </c>
      <c r="Q46" s="64">
        <v>73.2</v>
      </c>
      <c r="R46" s="65">
        <f>(P46/Q46)-1</f>
        <v>-9.125683060109302E-2</v>
      </c>
      <c r="S46" s="54"/>
      <c r="T46" s="57" t="s">
        <v>58</v>
      </c>
      <c r="U46" s="64">
        <v>43.41</v>
      </c>
      <c r="V46" s="64">
        <v>34.49</v>
      </c>
      <c r="W46" s="65">
        <f>(U46/V46)-1</f>
        <v>0.25862568860539259</v>
      </c>
    </row>
    <row r="47" spans="1:23" ht="18">
      <c r="A47" s="22" t="s">
        <v>110</v>
      </c>
      <c r="B47" s="66" t="s">
        <v>95</v>
      </c>
      <c r="C47" s="42" t="s">
        <v>54</v>
      </c>
      <c r="D47" s="42" t="s">
        <v>55</v>
      </c>
      <c r="E47" s="42" t="s">
        <v>111</v>
      </c>
      <c r="F47" s="67" t="s">
        <v>59</v>
      </c>
      <c r="H47" s="68" t="s">
        <v>112</v>
      </c>
      <c r="I47" s="68" t="s">
        <v>113</v>
      </c>
      <c r="J47" s="68" t="s">
        <v>114</v>
      </c>
      <c r="K47" s="68" t="s">
        <v>115</v>
      </c>
      <c r="L47" s="68" t="s">
        <v>116</v>
      </c>
      <c r="M47" s="68" t="s">
        <v>117</v>
      </c>
      <c r="O47" s="57" t="s">
        <v>59</v>
      </c>
      <c r="P47" s="69">
        <f t="shared" ref="P47:Q47" si="20">P45/P43</f>
        <v>0.14968152866242038</v>
      </c>
      <c r="Q47" s="69">
        <f t="shared" si="20"/>
        <v>0.1668563839878581</v>
      </c>
      <c r="R47" s="70">
        <f t="shared" ref="R47:R48" si="21">P47-Q47</f>
        <v>-1.7174855325437721E-2</v>
      </c>
      <c r="S47" s="71"/>
      <c r="T47" s="57" t="s">
        <v>59</v>
      </c>
      <c r="U47" s="69">
        <f t="shared" ref="U47:V47" si="22">U45/U43</f>
        <v>0.14612256345533586</v>
      </c>
      <c r="V47" s="69">
        <f t="shared" si="22"/>
        <v>0.11688127918494411</v>
      </c>
      <c r="W47" s="70">
        <f t="shared" ref="W47:W48" si="23">U47-V47</f>
        <v>2.9241284270391757E-2</v>
      </c>
    </row>
    <row r="48" spans="1:23" ht="14.4">
      <c r="B48" s="43" t="s">
        <v>118</v>
      </c>
      <c r="C48" s="72">
        <f>AVERAGE(C42:C44)</f>
        <v>0.11862743649399869</v>
      </c>
      <c r="D48" s="72">
        <v>0.12</v>
      </c>
      <c r="E48" s="72">
        <v>0.12</v>
      </c>
      <c r="F48" s="73">
        <f>AVERAGE(H42:H45)</f>
        <v>0.11464783147817745</v>
      </c>
      <c r="H48" s="74" t="s">
        <v>58</v>
      </c>
      <c r="I48" s="62">
        <v>23.19</v>
      </c>
      <c r="J48" s="62">
        <v>19</v>
      </c>
      <c r="K48" s="62">
        <v>24.41</v>
      </c>
      <c r="L48" s="62">
        <v>23.11</v>
      </c>
      <c r="M48" s="75">
        <f>SUM(I48:L48)</f>
        <v>89.71</v>
      </c>
      <c r="O48" s="57" t="s">
        <v>41</v>
      </c>
      <c r="P48" s="76">
        <f t="shared" ref="P48:Q48" si="24">(P42-P43+P44)/P44</f>
        <v>15.666666666666666</v>
      </c>
      <c r="Q48" s="76">
        <f t="shared" si="24"/>
        <v>13.947761194029852</v>
      </c>
      <c r="R48" s="77">
        <f t="shared" si="21"/>
        <v>1.7189054726368145</v>
      </c>
      <c r="S48" s="54"/>
      <c r="T48" s="57" t="s">
        <v>41</v>
      </c>
      <c r="U48" s="76">
        <f t="shared" ref="U48:V48" si="25">(U42-U43+U44)/U44</f>
        <v>13.271028037383177</v>
      </c>
      <c r="V48" s="76">
        <f t="shared" si="25"/>
        <v>11.5625</v>
      </c>
      <c r="W48" s="77">
        <f t="shared" si="23"/>
        <v>1.7085280373831768</v>
      </c>
    </row>
    <row r="49" spans="1:19" ht="14.4">
      <c r="B49" s="43" t="s">
        <v>119</v>
      </c>
      <c r="C49" s="72">
        <f>M52</f>
        <v>0.02</v>
      </c>
      <c r="D49" s="72">
        <f>(D52/D39)-1</f>
        <v>5.6003886010362658E-2</v>
      </c>
      <c r="E49" s="72">
        <f>D49</f>
        <v>5.6003886010362658E-2</v>
      </c>
      <c r="F49" s="73">
        <f>M54</f>
        <v>0.15</v>
      </c>
    </row>
    <row r="50" spans="1:19" ht="14.4">
      <c r="B50" s="78"/>
    </row>
    <row r="51" spans="1:19" ht="18">
      <c r="A51" s="22" t="s">
        <v>120</v>
      </c>
      <c r="B51" s="79" t="s">
        <v>95</v>
      </c>
      <c r="C51" s="42" t="s">
        <v>54</v>
      </c>
      <c r="D51" s="42" t="s">
        <v>55</v>
      </c>
      <c r="E51" s="42" t="s">
        <v>111</v>
      </c>
      <c r="F51" s="42" t="s">
        <v>121</v>
      </c>
      <c r="H51" s="68" t="s">
        <v>122</v>
      </c>
      <c r="I51" s="68" t="s">
        <v>123</v>
      </c>
      <c r="J51" s="68" t="s">
        <v>124</v>
      </c>
      <c r="K51" s="68" t="s">
        <v>101</v>
      </c>
      <c r="L51" s="68" t="s">
        <v>98</v>
      </c>
      <c r="M51" s="68" t="s">
        <v>125</v>
      </c>
      <c r="O51" s="68" t="s">
        <v>126</v>
      </c>
      <c r="P51" s="42" t="s">
        <v>98</v>
      </c>
      <c r="Q51" s="42" t="s">
        <v>99</v>
      </c>
      <c r="R51" s="68" t="s">
        <v>127</v>
      </c>
      <c r="S51" s="68" t="s">
        <v>28</v>
      </c>
    </row>
    <row r="52" spans="1:19" ht="14.4">
      <c r="B52" s="43" t="s">
        <v>128</v>
      </c>
      <c r="C52" s="80">
        <f>FV(C49,1,0,-C39,0)</f>
        <v>16304.7</v>
      </c>
      <c r="D52" s="80">
        <f>C52*F49</f>
        <v>2445.7049999999999</v>
      </c>
      <c r="E52" s="80">
        <f>D52*G39/D39</f>
        <v>101.78821457253886</v>
      </c>
      <c r="F52" s="81">
        <f t="shared" ref="F52:F54" si="26">E52*40</f>
        <v>4071.5285829015547</v>
      </c>
      <c r="H52" s="74" t="s">
        <v>8</v>
      </c>
      <c r="I52" s="82">
        <v>0.15</v>
      </c>
      <c r="J52" s="82">
        <v>0.09</v>
      </c>
      <c r="K52" s="82">
        <v>0.04</v>
      </c>
      <c r="L52" s="82">
        <v>0.03</v>
      </c>
      <c r="M52" s="82">
        <v>0.02</v>
      </c>
      <c r="N52" s="83"/>
      <c r="O52" s="51" t="s">
        <v>129</v>
      </c>
      <c r="P52" s="52">
        <v>6491</v>
      </c>
      <c r="Q52" s="52">
        <v>6304</v>
      </c>
      <c r="R52" s="82">
        <f t="shared" ref="R52:R58" si="27">P52/$P$60</f>
        <v>0.60799925065567628</v>
      </c>
      <c r="S52" s="82">
        <f t="shared" ref="S52:S58" si="28">(P52/Q52)-1</f>
        <v>2.9663705583756306E-2</v>
      </c>
    </row>
    <row r="53" spans="1:19" ht="14.4">
      <c r="B53" s="43" t="s">
        <v>130</v>
      </c>
      <c r="C53" s="80">
        <f>FV(C48,6,0,-C52,0)</f>
        <v>31946.671391917887</v>
      </c>
      <c r="D53" s="80">
        <f>C53*F48</f>
        <v>3662.6165980293144</v>
      </c>
      <c r="E53" s="80">
        <f>(D53*E52)/D52</f>
        <v>152.43506644388845</v>
      </c>
      <c r="F53" s="81">
        <f t="shared" si="26"/>
        <v>6097.4026577555378</v>
      </c>
      <c r="H53" s="57" t="s">
        <v>9</v>
      </c>
      <c r="I53" s="82">
        <v>0.53</v>
      </c>
      <c r="J53" s="82">
        <v>0.36</v>
      </c>
      <c r="K53" s="82">
        <v>0.26</v>
      </c>
      <c r="L53" s="82">
        <v>-0.09</v>
      </c>
      <c r="M53" s="84">
        <v>0.06</v>
      </c>
      <c r="N53" s="83"/>
      <c r="O53" s="55" t="s">
        <v>131</v>
      </c>
      <c r="P53" s="52">
        <v>748</v>
      </c>
      <c r="Q53" s="52">
        <v>1148</v>
      </c>
      <c r="R53" s="82">
        <f t="shared" si="27"/>
        <v>7.0063694267515922E-2</v>
      </c>
      <c r="S53" s="82">
        <f t="shared" si="28"/>
        <v>-0.34843205574912894</v>
      </c>
    </row>
    <row r="54" spans="1:19" ht="14.4">
      <c r="B54" s="43" t="s">
        <v>132</v>
      </c>
      <c r="C54" s="80">
        <f t="shared" ref="C54:E54" si="29">FV(C48,5,0,-C53,0)</f>
        <v>55956.810201938119</v>
      </c>
      <c r="D54" s="80">
        <f t="shared" si="29"/>
        <v>6454.781900287242</v>
      </c>
      <c r="E54" s="80">
        <f t="shared" si="29"/>
        <v>268.64267157542628</v>
      </c>
      <c r="F54" s="81">
        <f t="shared" si="26"/>
        <v>10745.706863017051</v>
      </c>
      <c r="H54" s="57" t="s">
        <v>133</v>
      </c>
      <c r="I54" s="46">
        <v>0.16700000000000001</v>
      </c>
      <c r="J54" s="46">
        <v>0.13200000000000001</v>
      </c>
      <c r="K54" s="46">
        <v>0.14599999999999999</v>
      </c>
      <c r="L54" s="46">
        <v>0.15</v>
      </c>
      <c r="M54" s="46">
        <v>0.15</v>
      </c>
      <c r="N54" s="40"/>
      <c r="O54" s="57" t="s">
        <v>134</v>
      </c>
      <c r="P54" s="52">
        <v>10</v>
      </c>
      <c r="Q54" s="52">
        <v>-76</v>
      </c>
      <c r="R54" s="82">
        <f t="shared" si="27"/>
        <v>9.3668040464593477E-4</v>
      </c>
      <c r="S54" s="82">
        <f t="shared" si="28"/>
        <v>-1.131578947368421</v>
      </c>
    </row>
    <row r="55" spans="1:19" ht="14.4">
      <c r="O55" s="57" t="s">
        <v>135</v>
      </c>
      <c r="P55" s="62">
        <v>547</v>
      </c>
      <c r="Q55" s="62">
        <v>488</v>
      </c>
      <c r="R55" s="82">
        <f t="shared" si="27"/>
        <v>5.1236418134132634E-2</v>
      </c>
      <c r="S55" s="82">
        <f t="shared" si="28"/>
        <v>0.12090163934426235</v>
      </c>
    </row>
    <row r="56" spans="1:19" ht="18">
      <c r="H56" s="85" t="s">
        <v>136</v>
      </c>
      <c r="I56" s="86" t="s">
        <v>137</v>
      </c>
      <c r="J56" s="86" t="s">
        <v>138</v>
      </c>
      <c r="K56" s="86" t="s">
        <v>139</v>
      </c>
      <c r="O56" s="57" t="s">
        <v>140</v>
      </c>
      <c r="P56" s="52">
        <v>138</v>
      </c>
      <c r="Q56" s="52">
        <v>134</v>
      </c>
      <c r="R56" s="82">
        <f t="shared" si="27"/>
        <v>1.2926189584113901E-2</v>
      </c>
      <c r="S56" s="82">
        <f t="shared" si="28"/>
        <v>2.9850746268656803E-2</v>
      </c>
    </row>
    <row r="57" spans="1:19" ht="14.4">
      <c r="H57" s="87">
        <v>96.39</v>
      </c>
      <c r="I57" s="88">
        <f>M48</f>
        <v>89.71</v>
      </c>
      <c r="J57" s="89">
        <f>E52</f>
        <v>101.78821457253886</v>
      </c>
      <c r="K57" s="90">
        <f ca="1">J59/6</f>
        <v>8.0950760045616637</v>
      </c>
      <c r="O57" s="57" t="s">
        <v>141</v>
      </c>
      <c r="P57" s="52">
        <v>221</v>
      </c>
      <c r="Q57" s="52">
        <v>161</v>
      </c>
      <c r="R57" s="82">
        <f t="shared" si="27"/>
        <v>2.0700636942675158E-2</v>
      </c>
      <c r="S57" s="82">
        <f t="shared" si="28"/>
        <v>0.37267080745341619</v>
      </c>
    </row>
    <row r="58" spans="1:19" ht="18">
      <c r="H58" s="91" t="s">
        <v>142</v>
      </c>
      <c r="I58" s="92" t="s">
        <v>143</v>
      </c>
      <c r="J58" s="92" t="s">
        <v>44</v>
      </c>
      <c r="K58" s="93"/>
      <c r="O58" s="57" t="s">
        <v>144</v>
      </c>
      <c r="P58" s="76">
        <v>2521</v>
      </c>
      <c r="Q58" s="52">
        <v>2384</v>
      </c>
      <c r="R58" s="82">
        <f t="shared" si="27"/>
        <v>0.23613713001124018</v>
      </c>
      <c r="S58" s="82">
        <f t="shared" si="28"/>
        <v>5.7466442953020058E-2</v>
      </c>
    </row>
    <row r="59" spans="1:19" ht="14.4">
      <c r="H59" s="94">
        <f>C4/H57</f>
        <v>44.838676211225227</v>
      </c>
      <c r="I59" s="95">
        <f ca="1">C3/I57</f>
        <v>55.109798238769365</v>
      </c>
      <c r="J59" s="96">
        <f ca="1">C3/J57</f>
        <v>48.570456027369985</v>
      </c>
      <c r="K59" s="93"/>
      <c r="O59" s="97"/>
      <c r="P59" s="97"/>
      <c r="Q59" s="97"/>
      <c r="R59" s="97"/>
      <c r="S59" s="97"/>
    </row>
    <row r="60" spans="1:19" ht="14.4">
      <c r="O60" s="98" t="s">
        <v>25</v>
      </c>
      <c r="P60" s="99">
        <f t="shared" ref="P60:Q60" si="30">SUM(P52:P58)</f>
        <v>10676</v>
      </c>
      <c r="Q60" s="99">
        <f t="shared" si="30"/>
        <v>10543</v>
      </c>
      <c r="R60" s="82">
        <f>P60/$P$60</f>
        <v>1</v>
      </c>
      <c r="S60" s="100">
        <f>(P60/Q60)-1</f>
        <v>1.2615005216731534E-2</v>
      </c>
    </row>
    <row r="69" spans="3:12" ht="14.4">
      <c r="C69" s="39"/>
      <c r="D69" s="40"/>
      <c r="E69" s="39"/>
    </row>
    <row r="70" spans="3:12" ht="14.4">
      <c r="C70" s="39"/>
      <c r="D70" s="40"/>
      <c r="E70" s="39"/>
      <c r="H70" s="24"/>
      <c r="I70" s="24"/>
      <c r="J70" s="24"/>
      <c r="K70" s="24"/>
      <c r="L70" s="47"/>
    </row>
    <row r="75" spans="3:12" ht="14.4">
      <c r="C75" s="39"/>
      <c r="D75" s="40"/>
      <c r="E75" s="39"/>
    </row>
    <row r="76" spans="3:12" ht="14.4">
      <c r="C76" s="39"/>
      <c r="D76" s="40"/>
      <c r="E76" s="39"/>
    </row>
    <row r="77" spans="3:12" ht="14.4">
      <c r="D77" s="39">
        <f>2021-1996</f>
        <v>25</v>
      </c>
    </row>
    <row r="83" spans="2:8" ht="14.4">
      <c r="D83" s="40"/>
    </row>
    <row r="84" spans="2:8" ht="14.4">
      <c r="D84" s="40"/>
    </row>
    <row r="85" spans="2:8" ht="14.4">
      <c r="D85" s="40"/>
    </row>
    <row r="86" spans="2:8" ht="18">
      <c r="B86" s="101"/>
      <c r="C86" s="102"/>
      <c r="D86" s="102"/>
      <c r="E86" s="102"/>
      <c r="F86" s="102"/>
      <c r="G86" s="102"/>
      <c r="H86" s="102"/>
    </row>
    <row r="87" spans="2:8" ht="14.4">
      <c r="B87" s="103"/>
      <c r="C87" s="104"/>
      <c r="D87" s="104"/>
      <c r="E87" s="104"/>
      <c r="F87" s="105"/>
      <c r="G87" s="39"/>
    </row>
    <row r="88" spans="2:8" ht="14.4">
      <c r="B88" s="103"/>
      <c r="C88" s="104"/>
      <c r="D88" s="104"/>
      <c r="E88" s="104"/>
      <c r="F88" s="39"/>
      <c r="G88" s="105"/>
    </row>
    <row r="89" spans="2:8" ht="14.4">
      <c r="B89" s="39"/>
      <c r="C89" s="106"/>
      <c r="D89" s="106"/>
      <c r="E89" s="106"/>
      <c r="F89" s="106"/>
      <c r="G89" s="106"/>
      <c r="H89" s="106"/>
    </row>
    <row r="90" spans="2:8" ht="14.4">
      <c r="B90" s="39"/>
      <c r="C90" s="107"/>
      <c r="D90" s="107"/>
      <c r="E90" s="107"/>
      <c r="F90" s="107"/>
      <c r="G90" s="107"/>
      <c r="H90" s="107"/>
    </row>
  </sheetData>
  <mergeCells count="1">
    <mergeCell ref="K57:K59"/>
  </mergeCells>
  <conditionalFormatting sqref="C12:C40 D40 C46 C50 C58:C62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42:D45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48:F49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2:D40 D46 D50 D58:D62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12:E39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42:E45">
    <cfRule type="colorScale" priority="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12:F40 F46 F50 F58:F62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42:G45 I42:I44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2:G39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12:H40 H46 H55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42:H45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12:J39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42:J45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48:L48">
    <cfRule type="colorScale" priority="1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53:L53">
    <cfRule type="colorScale" priority="1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54:L54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52:M52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12:L40 K46:L46 K55 L55:L58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42:M45">
    <cfRule type="colorScale" priority="12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R52:R58 R60">
    <cfRule type="colorScale" priority="2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S52:S58">
    <cfRule type="colorScale" priority="2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37F21-EA58-4AE4-9468-92D262D7EB40}">
  <sheetPr>
    <outlinePr summaryBelow="0" summaryRight="0"/>
  </sheetPr>
  <dimension ref="A2:AL228"/>
  <sheetViews>
    <sheetView showGridLines="0" workbookViewId="0"/>
  </sheetViews>
  <sheetFormatPr defaultColWidth="14.44140625" defaultRowHeight="15" customHeight="1"/>
  <cols>
    <col min="1" max="1" width="8.6640625" customWidth="1"/>
  </cols>
  <sheetData>
    <row r="2" spans="2:14" ht="14.4">
      <c r="B2" s="108" t="s">
        <v>145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2:14" ht="15" customHeight="1"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2:14" ht="15" customHeight="1"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</row>
    <row r="6" spans="2:14" ht="14.4">
      <c r="B6" s="109" t="s">
        <v>146</v>
      </c>
    </row>
    <row r="7" spans="2:14" ht="14.4">
      <c r="B7" s="109" t="s">
        <v>147</v>
      </c>
      <c r="C7" s="109" t="s">
        <v>148</v>
      </c>
      <c r="F7" s="109" t="s">
        <v>147</v>
      </c>
      <c r="G7" s="109" t="s">
        <v>149</v>
      </c>
      <c r="J7" s="109" t="s">
        <v>147</v>
      </c>
      <c r="K7" s="109" t="s">
        <v>150</v>
      </c>
    </row>
    <row r="8" spans="2:14" ht="14.4">
      <c r="B8" s="47" t="s">
        <v>151</v>
      </c>
      <c r="C8" s="110">
        <v>252834</v>
      </c>
      <c r="F8" s="47" t="s">
        <v>151</v>
      </c>
      <c r="G8" s="110">
        <v>16789</v>
      </c>
      <c r="J8" s="47" t="s">
        <v>151</v>
      </c>
      <c r="K8" s="110">
        <v>2390</v>
      </c>
    </row>
    <row r="9" spans="2:14" ht="14.4">
      <c r="B9" s="47" t="s">
        <v>26</v>
      </c>
      <c r="C9" s="110">
        <v>119083</v>
      </c>
      <c r="F9" s="47" t="s">
        <v>26</v>
      </c>
      <c r="G9" s="110">
        <v>16301</v>
      </c>
      <c r="J9" s="47" t="s">
        <v>26</v>
      </c>
      <c r="K9" s="110">
        <v>2316</v>
      </c>
    </row>
    <row r="10" spans="2:14" ht="14.4">
      <c r="B10" s="47" t="s">
        <v>152</v>
      </c>
      <c r="C10" s="110">
        <v>12276</v>
      </c>
      <c r="F10" s="47" t="s">
        <v>152</v>
      </c>
      <c r="G10" s="110">
        <v>1966</v>
      </c>
      <c r="J10" s="47" t="s">
        <v>152</v>
      </c>
      <c r="K10" s="110">
        <v>126</v>
      </c>
    </row>
    <row r="11" spans="2:14" ht="14.4">
      <c r="B11" s="47" t="s">
        <v>153</v>
      </c>
      <c r="C11" s="110">
        <v>10919</v>
      </c>
      <c r="F11" s="47" t="s">
        <v>153</v>
      </c>
      <c r="G11" s="110">
        <v>18622</v>
      </c>
      <c r="J11" s="47" t="s">
        <v>153</v>
      </c>
      <c r="K11" s="110">
        <v>-533</v>
      </c>
    </row>
    <row r="12" spans="2:14" ht="14.4">
      <c r="B12" s="47" t="s">
        <v>154</v>
      </c>
      <c r="C12" s="110">
        <v>9356</v>
      </c>
      <c r="F12" s="47" t="s">
        <v>154</v>
      </c>
      <c r="G12" s="110">
        <v>2254</v>
      </c>
      <c r="J12" s="47" t="s">
        <v>154</v>
      </c>
      <c r="K12" s="110">
        <v>310</v>
      </c>
    </row>
    <row r="13" spans="2:14" ht="14.4">
      <c r="B13" s="47" t="s">
        <v>155</v>
      </c>
      <c r="C13" s="110">
        <v>6455</v>
      </c>
      <c r="F13" s="47" t="s">
        <v>155</v>
      </c>
      <c r="G13" s="110">
        <v>1362</v>
      </c>
      <c r="J13" s="47" t="s">
        <v>155</v>
      </c>
      <c r="K13" s="110">
        <v>90</v>
      </c>
    </row>
    <row r="14" spans="2:14" ht="14.4">
      <c r="B14" s="111" t="s">
        <v>156</v>
      </c>
      <c r="C14" s="110">
        <v>4464</v>
      </c>
      <c r="F14" s="111" t="s">
        <v>156</v>
      </c>
      <c r="G14" s="110">
        <v>1394</v>
      </c>
      <c r="J14" s="111" t="s">
        <v>156</v>
      </c>
      <c r="K14" s="110">
        <v>112</v>
      </c>
    </row>
    <row r="15" spans="2:14" ht="14.4">
      <c r="B15" s="47" t="s">
        <v>157</v>
      </c>
      <c r="C15" s="110">
        <v>3131</v>
      </c>
      <c r="F15" s="47" t="s">
        <v>157</v>
      </c>
      <c r="G15" s="110">
        <v>475</v>
      </c>
      <c r="J15" s="47" t="s">
        <v>157</v>
      </c>
      <c r="K15" s="110">
        <v>30</v>
      </c>
    </row>
    <row r="16" spans="2:14" ht="14.4">
      <c r="B16" s="47" t="s">
        <v>158</v>
      </c>
      <c r="C16" s="110">
        <v>2192</v>
      </c>
      <c r="F16" s="47" t="s">
        <v>158</v>
      </c>
      <c r="G16" s="112">
        <v>1652</v>
      </c>
      <c r="J16" s="47" t="s">
        <v>158</v>
      </c>
      <c r="K16" s="112">
        <v>20</v>
      </c>
    </row>
    <row r="17" spans="2:11" ht="14.4">
      <c r="B17" s="47" t="s">
        <v>159</v>
      </c>
      <c r="C17" s="110">
        <v>2042</v>
      </c>
      <c r="F17" s="47" t="s">
        <v>159</v>
      </c>
      <c r="G17" s="112">
        <v>450</v>
      </c>
      <c r="J17" s="47" t="s">
        <v>159</v>
      </c>
      <c r="K17" s="112">
        <v>55</v>
      </c>
    </row>
    <row r="18" spans="2:11" thickBot="1">
      <c r="B18" s="47" t="s">
        <v>160</v>
      </c>
      <c r="C18" s="110">
        <v>1868</v>
      </c>
      <c r="F18" s="113" t="s">
        <v>160</v>
      </c>
      <c r="G18" s="114">
        <v>650</v>
      </c>
      <c r="J18" s="113" t="s">
        <v>160</v>
      </c>
      <c r="K18" s="114">
        <v>50</v>
      </c>
    </row>
    <row r="19" spans="2:11" ht="15.6" thickTop="1" thickBot="1">
      <c r="B19" s="115" t="s">
        <v>161</v>
      </c>
      <c r="C19" s="115">
        <v>3027</v>
      </c>
    </row>
    <row r="21" spans="2:11" thickTop="1">
      <c r="B21" s="116" t="s">
        <v>146</v>
      </c>
      <c r="C21" s="116">
        <f>SUM(C7:C19)</f>
        <v>427647</v>
      </c>
      <c r="F21" s="116" t="s">
        <v>146</v>
      </c>
      <c r="G21" s="116">
        <f>SUM(G7:G19)</f>
        <v>61915</v>
      </c>
      <c r="J21" s="116" t="s">
        <v>146</v>
      </c>
      <c r="K21" s="116">
        <f>SUM(K7:K19)</f>
        <v>4966</v>
      </c>
    </row>
    <row r="37" spans="2:7" ht="14.4">
      <c r="B37" s="109" t="s">
        <v>28</v>
      </c>
    </row>
    <row r="38" spans="2:7" ht="14.4">
      <c r="B38" s="109" t="s">
        <v>147</v>
      </c>
      <c r="C38" s="109" t="s">
        <v>162</v>
      </c>
      <c r="F38" s="109" t="s">
        <v>147</v>
      </c>
      <c r="G38" s="109" t="s">
        <v>163</v>
      </c>
    </row>
    <row r="39" spans="2:7" ht="14.4">
      <c r="B39" s="47" t="s">
        <v>151</v>
      </c>
      <c r="C39" s="117">
        <v>8.4020176609259201E-2</v>
      </c>
      <c r="F39" s="47" t="s">
        <v>151</v>
      </c>
      <c r="G39" s="117">
        <v>0.13919828459110128</v>
      </c>
    </row>
    <row r="40" spans="2:7" ht="14.4">
      <c r="B40" s="47" t="s">
        <v>26</v>
      </c>
      <c r="C40" s="117">
        <v>0.10477020613521582</v>
      </c>
      <c r="F40" s="47" t="s">
        <v>26</v>
      </c>
      <c r="G40" s="117">
        <v>2.5887982332372328E-2</v>
      </c>
    </row>
    <row r="41" spans="2:7" ht="14.4">
      <c r="B41" s="47" t="s">
        <v>152</v>
      </c>
      <c r="C41" s="117">
        <v>0.20278082516485596</v>
      </c>
      <c r="F41" s="47" t="s">
        <v>152</v>
      </c>
      <c r="G41" s="117">
        <v>9.2065106815869768E-2</v>
      </c>
    </row>
    <row r="42" spans="2:7" ht="14.4">
      <c r="B42" s="47" t="s">
        <v>153</v>
      </c>
      <c r="C42" s="117">
        <v>0.12709945405576506</v>
      </c>
      <c r="F42" s="47" t="s">
        <v>153</v>
      </c>
      <c r="G42" s="117">
        <v>-8.4147782193104925E-2</v>
      </c>
    </row>
    <row r="43" spans="2:7" ht="14.4">
      <c r="B43" s="47" t="s">
        <v>154</v>
      </c>
      <c r="C43" s="117">
        <v>0.34982412326456203</v>
      </c>
      <c r="F43" s="47" t="s">
        <v>154</v>
      </c>
      <c r="G43" s="117">
        <v>1.7746228926354135E-3</v>
      </c>
    </row>
    <row r="44" spans="2:7" ht="14.4">
      <c r="B44" s="47" t="s">
        <v>155</v>
      </c>
      <c r="C44" s="117">
        <v>0.14469233461264874</v>
      </c>
      <c r="F44" s="47" t="s">
        <v>155</v>
      </c>
      <c r="G44" s="117">
        <v>0.14831130690161531</v>
      </c>
    </row>
    <row r="45" spans="2:7" ht="14.4">
      <c r="B45" s="111" t="s">
        <v>156</v>
      </c>
      <c r="C45" s="118"/>
      <c r="F45" s="111" t="s">
        <v>156</v>
      </c>
      <c r="G45" s="117">
        <v>-3.0129124820659992E-2</v>
      </c>
    </row>
    <row r="46" spans="2:7" ht="14.4">
      <c r="B46" s="47" t="s">
        <v>157</v>
      </c>
      <c r="C46" s="117">
        <v>9.920926349885395E-2</v>
      </c>
      <c r="F46" s="47" t="s">
        <v>157</v>
      </c>
      <c r="G46" s="117">
        <v>0.13894736842105271</v>
      </c>
    </row>
    <row r="47" spans="2:7" ht="14.4">
      <c r="B47" s="47" t="s">
        <v>158</v>
      </c>
      <c r="C47" s="117">
        <v>9.7605456381603561E-2</v>
      </c>
      <c r="F47" s="47" t="s">
        <v>158</v>
      </c>
      <c r="G47" s="117">
        <v>6.0532687651337902E-4</v>
      </c>
    </row>
    <row r="48" spans="2:7" ht="14.4">
      <c r="B48" s="47" t="s">
        <v>159</v>
      </c>
      <c r="C48" s="117">
        <v>0.16688977891407952</v>
      </c>
      <c r="F48" s="47" t="s">
        <v>159</v>
      </c>
      <c r="G48" s="117">
        <v>8.8888888888888795E-2</v>
      </c>
    </row>
    <row r="49" spans="2:7" thickBot="1">
      <c r="B49" s="113" t="s">
        <v>160</v>
      </c>
      <c r="C49" s="119">
        <v>5.814078782077714E-2</v>
      </c>
      <c r="F49" s="113" t="s">
        <v>160</v>
      </c>
      <c r="G49" s="119">
        <v>0.71076923076923082</v>
      </c>
    </row>
    <row r="51" spans="2:7" thickTop="1">
      <c r="B51" s="116" t="s">
        <v>146</v>
      </c>
      <c r="C51" s="120">
        <v>0.113</v>
      </c>
      <c r="F51" s="116" t="s">
        <v>146</v>
      </c>
      <c r="G51" s="120">
        <v>3.4000000000000002E-2</v>
      </c>
    </row>
    <row r="67" spans="2:11" ht="14.4">
      <c r="B67" s="109" t="s">
        <v>31</v>
      </c>
    </row>
    <row r="68" spans="2:11" ht="14.4">
      <c r="B68" s="109" t="s">
        <v>147</v>
      </c>
      <c r="C68" s="109" t="s">
        <v>39</v>
      </c>
      <c r="F68" s="109" t="s">
        <v>147</v>
      </c>
      <c r="G68" s="109" t="s">
        <v>41</v>
      </c>
      <c r="J68" s="109" t="s">
        <v>147</v>
      </c>
      <c r="K68" s="109" t="s">
        <v>40</v>
      </c>
    </row>
    <row r="69" spans="2:11" ht="14.4">
      <c r="B69" s="47" t="s">
        <v>151</v>
      </c>
      <c r="C69" s="121">
        <v>1.1204481792717087E-2</v>
      </c>
      <c r="F69" s="47" t="s">
        <v>151</v>
      </c>
      <c r="G69" s="122">
        <v>38.571428571428569</v>
      </c>
      <c r="J69" s="47" t="s">
        <v>151</v>
      </c>
      <c r="K69" s="121">
        <v>0.69773592890393565</v>
      </c>
    </row>
    <row r="70" spans="2:11" ht="14.4">
      <c r="B70" s="47" t="s">
        <v>26</v>
      </c>
      <c r="C70" s="121">
        <v>0.96101635920640449</v>
      </c>
      <c r="F70" s="47" t="s">
        <v>26</v>
      </c>
      <c r="G70" s="122">
        <v>19.494186046511629</v>
      </c>
      <c r="J70" s="47" t="s">
        <v>26</v>
      </c>
      <c r="K70" s="121">
        <v>0.67150531489313059</v>
      </c>
    </row>
    <row r="71" spans="2:11" ht="14.4">
      <c r="B71" s="47" t="s">
        <v>152</v>
      </c>
      <c r="C71" s="121">
        <v>0.14832535885167464</v>
      </c>
      <c r="F71" s="47" t="s">
        <v>152</v>
      </c>
      <c r="G71" s="122">
        <v>37</v>
      </c>
      <c r="J71" s="47" t="s">
        <v>152</v>
      </c>
      <c r="K71" s="121">
        <v>0.27631578947368424</v>
      </c>
    </row>
    <row r="72" spans="2:11" ht="14.4">
      <c r="B72" s="47" t="s">
        <v>153</v>
      </c>
      <c r="C72" s="121">
        <v>0</v>
      </c>
      <c r="F72" s="47" t="s">
        <v>153</v>
      </c>
      <c r="G72" s="122">
        <v>6.8080357142857144</v>
      </c>
      <c r="J72" s="47" t="s">
        <v>153</v>
      </c>
      <c r="K72" s="121">
        <v>0.61745628877608572</v>
      </c>
    </row>
    <row r="73" spans="2:11" ht="14.4">
      <c r="B73" s="47" t="s">
        <v>154</v>
      </c>
      <c r="C73" s="121">
        <v>6.6833109275974648E-2</v>
      </c>
      <c r="F73" s="47" t="s">
        <v>154</v>
      </c>
      <c r="G73" s="122">
        <v>13.608695652173912</v>
      </c>
      <c r="J73" s="47" t="s">
        <v>154</v>
      </c>
      <c r="K73" s="121">
        <v>0.10684273709483794</v>
      </c>
    </row>
    <row r="74" spans="2:11" ht="14.4">
      <c r="B74" s="47" t="s">
        <v>155</v>
      </c>
      <c r="C74" s="121">
        <v>0</v>
      </c>
      <c r="F74" s="47" t="s">
        <v>155</v>
      </c>
      <c r="G74" s="122">
        <v>24.2</v>
      </c>
      <c r="J74" s="47" t="s">
        <v>155</v>
      </c>
      <c r="K74" s="121">
        <v>0.36940686784599375</v>
      </c>
    </row>
    <row r="75" spans="2:11" ht="14.4">
      <c r="B75" s="111" t="s">
        <v>156</v>
      </c>
      <c r="C75" s="121">
        <v>0.38848920863309355</v>
      </c>
      <c r="F75" s="111" t="s">
        <v>156</v>
      </c>
      <c r="G75" s="122">
        <v>15</v>
      </c>
      <c r="J75" s="111" t="s">
        <v>156</v>
      </c>
      <c r="K75" s="121">
        <v>0.37093275488069416</v>
      </c>
    </row>
    <row r="76" spans="2:11" ht="14.4">
      <c r="B76" s="47" t="s">
        <v>157</v>
      </c>
      <c r="C76" s="121">
        <v>0.18705035971223022</v>
      </c>
      <c r="F76" s="47" t="s">
        <v>157</v>
      </c>
      <c r="G76" s="122">
        <v>11.5</v>
      </c>
      <c r="J76" s="47" t="s">
        <v>157</v>
      </c>
      <c r="K76" s="121">
        <v>0.3930131004366812</v>
      </c>
    </row>
    <row r="77" spans="2:11" ht="14.4">
      <c r="B77" s="47" t="s">
        <v>158</v>
      </c>
      <c r="C77" s="121">
        <v>8.5106382978723402E-2</v>
      </c>
      <c r="F77" s="47" t="s">
        <v>158</v>
      </c>
      <c r="G77" s="122">
        <v>10</v>
      </c>
      <c r="J77" s="47" t="s">
        <v>158</v>
      </c>
      <c r="K77" s="121">
        <v>0.24840085287846481</v>
      </c>
    </row>
    <row r="78" spans="2:11" ht="14.4">
      <c r="B78" s="47" t="s">
        <v>159</v>
      </c>
      <c r="C78" s="121">
        <v>1.5837104072398189E-2</v>
      </c>
      <c r="F78" s="47" t="s">
        <v>159</v>
      </c>
      <c r="G78" s="122">
        <v>49.5</v>
      </c>
      <c r="J78" s="47" t="s">
        <v>159</v>
      </c>
      <c r="K78" s="121">
        <v>0.2078853046594982</v>
      </c>
    </row>
    <row r="79" spans="2:11" thickBot="1">
      <c r="B79" s="113" t="s">
        <v>160</v>
      </c>
      <c r="C79" s="123">
        <v>0.17647058823529413</v>
      </c>
      <c r="F79" s="113" t="s">
        <v>160</v>
      </c>
      <c r="G79" s="124">
        <v>57.6</v>
      </c>
      <c r="J79" s="113" t="s">
        <v>160</v>
      </c>
      <c r="K79" s="123">
        <v>0.25365853658536586</v>
      </c>
    </row>
    <row r="81" spans="2:11" thickTop="1">
      <c r="B81" s="116" t="s">
        <v>146</v>
      </c>
      <c r="C81" s="116">
        <v>0.18</v>
      </c>
      <c r="F81" s="116" t="s">
        <v>146</v>
      </c>
      <c r="G81" s="116">
        <v>15.4</v>
      </c>
      <c r="J81" s="116" t="s">
        <v>146</v>
      </c>
      <c r="K81" s="116">
        <v>0.54</v>
      </c>
    </row>
    <row r="97" spans="2:12" ht="14.4">
      <c r="B97" s="109" t="s">
        <v>30</v>
      </c>
    </row>
    <row r="98" spans="2:12" ht="14.4">
      <c r="B98" s="109" t="s">
        <v>147</v>
      </c>
      <c r="C98" s="109" t="s">
        <v>164</v>
      </c>
      <c r="D98" s="109" t="s">
        <v>165</v>
      </c>
      <c r="G98" s="109" t="s">
        <v>147</v>
      </c>
      <c r="H98" s="109" t="s">
        <v>166</v>
      </c>
      <c r="K98" s="109" t="s">
        <v>147</v>
      </c>
      <c r="L98" s="109" t="s">
        <v>167</v>
      </c>
    </row>
    <row r="99" spans="2:12" ht="14.4">
      <c r="B99" s="47" t="s">
        <v>151</v>
      </c>
      <c r="C99" s="117">
        <v>0.1423551134671511</v>
      </c>
      <c r="D99" s="125">
        <v>0.15680225870542716</v>
      </c>
      <c r="G99" s="47" t="s">
        <v>151</v>
      </c>
      <c r="H99" s="122">
        <v>1.2135126270908494</v>
      </c>
      <c r="K99" s="47" t="s">
        <v>151</v>
      </c>
      <c r="L99" s="122">
        <v>5.6106870229007635</v>
      </c>
    </row>
    <row r="100" spans="2:12" ht="14.4">
      <c r="B100" s="47" t="s">
        <v>26</v>
      </c>
      <c r="C100" s="117">
        <v>0.14207717317955953</v>
      </c>
      <c r="D100" s="125">
        <v>0.12886443819888777</v>
      </c>
      <c r="G100" s="47" t="s">
        <v>26</v>
      </c>
      <c r="H100" s="122">
        <v>0.86582176624421647</v>
      </c>
      <c r="K100" s="47" t="s">
        <v>26</v>
      </c>
      <c r="L100" s="122">
        <v>8.9924056688393232</v>
      </c>
    </row>
    <row r="101" spans="2:12" ht="14.4">
      <c r="B101" s="47" t="s">
        <v>152</v>
      </c>
      <c r="C101" s="117">
        <v>6.4089521871820959E-2</v>
      </c>
      <c r="D101" s="125">
        <v>8.9427107591988825E-2</v>
      </c>
      <c r="G101" s="47" t="s">
        <v>152</v>
      </c>
      <c r="H101" s="122">
        <v>1.8076923076923077</v>
      </c>
      <c r="K101" s="47" t="s">
        <v>152</v>
      </c>
      <c r="L101" s="122">
        <v>20.230554261760599</v>
      </c>
    </row>
    <row r="102" spans="2:12" ht="14.4">
      <c r="B102" s="47" t="s">
        <v>153</v>
      </c>
      <c r="C102" s="117">
        <v>-2.8622059929116098E-2</v>
      </c>
      <c r="D102" s="125">
        <v>-8.032834945763706E-3</v>
      </c>
      <c r="G102" s="47" t="s">
        <v>153</v>
      </c>
      <c r="H102" s="122">
        <v>1.3762488218661639</v>
      </c>
      <c r="K102" s="47" t="s">
        <v>153</v>
      </c>
      <c r="L102" s="122">
        <v>10.315450014658458</v>
      </c>
    </row>
    <row r="103" spans="2:12" ht="14.4">
      <c r="B103" s="47" t="s">
        <v>154</v>
      </c>
      <c r="C103" s="117">
        <v>0.13753327417923691</v>
      </c>
      <c r="D103" s="125">
        <v>0.11603188662533215</v>
      </c>
      <c r="G103" s="47" t="s">
        <v>154</v>
      </c>
      <c r="H103" s="122">
        <v>1.4727272727272727</v>
      </c>
      <c r="K103" s="47" t="s">
        <v>154</v>
      </c>
      <c r="L103" s="122">
        <v>20.690876882196633</v>
      </c>
    </row>
    <row r="104" spans="2:12" ht="14.4">
      <c r="B104" s="47" t="s">
        <v>155</v>
      </c>
      <c r="C104" s="117">
        <v>6.6079295154185022E-2</v>
      </c>
      <c r="D104" s="125">
        <v>8.5677749360613814E-2</v>
      </c>
      <c r="G104" s="47" t="s">
        <v>155</v>
      </c>
      <c r="H104" s="122">
        <v>1.808411214953271</v>
      </c>
      <c r="K104" s="47" t="s">
        <v>155</v>
      </c>
      <c r="L104" s="122">
        <v>24.737851662404093</v>
      </c>
    </row>
    <row r="105" spans="2:12" ht="14.4">
      <c r="B105" s="111" t="s">
        <v>156</v>
      </c>
      <c r="C105" s="117">
        <v>8.0344332855093251E-2</v>
      </c>
      <c r="D105" s="125">
        <v>8.2840236686390539E-2</v>
      </c>
      <c r="G105" s="111" t="s">
        <v>156</v>
      </c>
      <c r="H105" s="126" t="e">
        <v>#DIV/0!</v>
      </c>
      <c r="K105" s="111" t="s">
        <v>156</v>
      </c>
      <c r="L105" s="122">
        <v>2.9696745562130178</v>
      </c>
    </row>
    <row r="106" spans="2:12" ht="14.4">
      <c r="B106" s="47" t="s">
        <v>157</v>
      </c>
      <c r="C106" s="117">
        <v>6.3157894736842107E-2</v>
      </c>
      <c r="D106" s="125">
        <v>8.8724584103512014E-2</v>
      </c>
      <c r="G106" s="47" t="s">
        <v>157</v>
      </c>
      <c r="H106" s="122">
        <v>2</v>
      </c>
      <c r="K106" s="47" t="s">
        <v>157</v>
      </c>
      <c r="L106" s="122">
        <v>36.432532347504619</v>
      </c>
    </row>
    <row r="107" spans="2:12" ht="14.4">
      <c r="B107" s="47" t="s">
        <v>158</v>
      </c>
      <c r="C107" s="117">
        <v>1.2106537530266344E-2</v>
      </c>
      <c r="D107" s="125">
        <v>1.2099213551119177E-2</v>
      </c>
      <c r="G107" s="47" t="s">
        <v>158</v>
      </c>
      <c r="H107" s="122">
        <v>1.6265822784810127</v>
      </c>
      <c r="K107" s="47" t="s">
        <v>158</v>
      </c>
      <c r="L107" s="122">
        <v>3.0913490623109499</v>
      </c>
    </row>
    <row r="108" spans="2:12" ht="14.4">
      <c r="B108" s="47" t="s">
        <v>159</v>
      </c>
      <c r="C108" s="117">
        <v>0.12222222222222222</v>
      </c>
      <c r="D108" s="125">
        <v>0.1326530612244898</v>
      </c>
      <c r="G108" s="47" t="s">
        <v>159</v>
      </c>
      <c r="H108" s="122">
        <v>6.8269230769230766</v>
      </c>
      <c r="K108" s="47" t="s">
        <v>159</v>
      </c>
      <c r="L108" s="122">
        <v>61.081632653061227</v>
      </c>
    </row>
    <row r="109" spans="2:12" thickBot="1">
      <c r="B109" s="113" t="s">
        <v>160</v>
      </c>
      <c r="C109" s="119">
        <v>7.6923076923076927E-2</v>
      </c>
      <c r="D109" s="127">
        <v>0.23741007194244604</v>
      </c>
      <c r="G109" s="113" t="s">
        <v>160</v>
      </c>
      <c r="H109" s="124">
        <v>4.1020408163265305</v>
      </c>
      <c r="K109" s="113" t="s">
        <v>160</v>
      </c>
      <c r="L109" s="124">
        <v>124.40197841726618</v>
      </c>
    </row>
    <row r="111" spans="2:12" thickTop="1">
      <c r="B111" s="116" t="s">
        <v>146</v>
      </c>
      <c r="C111" s="120">
        <v>0.08</v>
      </c>
      <c r="D111" s="120">
        <v>9.5000000000000001E-2</v>
      </c>
      <c r="G111" s="116" t="s">
        <v>146</v>
      </c>
      <c r="H111" s="116">
        <v>1.2</v>
      </c>
      <c r="K111" s="116" t="s">
        <v>146</v>
      </c>
      <c r="L111" s="116">
        <v>11.9</v>
      </c>
    </row>
    <row r="128" spans="2:2" ht="14.4">
      <c r="B128" s="109" t="s">
        <v>32</v>
      </c>
    </row>
    <row r="129" spans="2:11" ht="14.4">
      <c r="B129" s="109" t="s">
        <v>147</v>
      </c>
      <c r="C129" s="109" t="s">
        <v>42</v>
      </c>
      <c r="F129" s="109" t="s">
        <v>147</v>
      </c>
      <c r="G129" s="109" t="s">
        <v>168</v>
      </c>
      <c r="J129" s="109" t="s">
        <v>147</v>
      </c>
      <c r="K129" s="109" t="s">
        <v>43</v>
      </c>
    </row>
    <row r="130" spans="2:11" ht="14.4">
      <c r="B130" s="47" t="s">
        <v>151</v>
      </c>
      <c r="C130" s="117">
        <v>1.0500700280112045</v>
      </c>
      <c r="F130" s="47" t="s">
        <v>151</v>
      </c>
      <c r="G130" s="110">
        <v>31.239583333333332</v>
      </c>
      <c r="J130" s="47" t="s">
        <v>151</v>
      </c>
      <c r="K130" s="128">
        <v>0.31728734659331359</v>
      </c>
    </row>
    <row r="131" spans="2:11" ht="14.4">
      <c r="B131" s="47" t="s">
        <v>26</v>
      </c>
      <c r="C131" s="117">
        <v>0.75008701705534286</v>
      </c>
      <c r="F131" s="47" t="s">
        <v>26</v>
      </c>
      <c r="G131" s="110">
        <v>89.791666666666671</v>
      </c>
      <c r="J131" s="47" t="s">
        <v>26</v>
      </c>
      <c r="K131" s="128">
        <v>0.24631386444165049</v>
      </c>
    </row>
    <row r="132" spans="2:11" ht="14.4">
      <c r="B132" s="47" t="s">
        <v>152</v>
      </c>
      <c r="C132" s="117">
        <v>0.18373205741626794</v>
      </c>
      <c r="F132" s="47" t="s">
        <v>152</v>
      </c>
      <c r="G132" s="110">
        <v>7.68</v>
      </c>
      <c r="J132" s="47" t="s">
        <v>152</v>
      </c>
      <c r="K132" s="128">
        <v>0.1329639889196676</v>
      </c>
    </row>
    <row r="133" spans="2:11" ht="14.4">
      <c r="B133" s="47" t="s">
        <v>153</v>
      </c>
      <c r="C133" s="117">
        <v>-2.5248802064135642E-2</v>
      </c>
      <c r="F133" s="47" t="s">
        <v>153</v>
      </c>
      <c r="G133" s="110">
        <v>-10.538461538461538</v>
      </c>
      <c r="J133" s="47" t="s">
        <v>153</v>
      </c>
      <c r="K133" s="128">
        <v>-9.6587704455724753E-3</v>
      </c>
    </row>
    <row r="134" spans="2:11" ht="14.4">
      <c r="B134" s="47" t="s">
        <v>154</v>
      </c>
      <c r="C134" s="117">
        <v>5.0316881121567118E-2</v>
      </c>
      <c r="F134" s="47" t="s">
        <v>154</v>
      </c>
      <c r="G134" s="110">
        <v>4.1587301587301591</v>
      </c>
      <c r="J134" s="47" t="s">
        <v>154</v>
      </c>
      <c r="K134" s="128">
        <v>4.4932258617732805E-2</v>
      </c>
    </row>
    <row r="135" spans="2:11" ht="14.4">
      <c r="B135" s="47" t="s">
        <v>155</v>
      </c>
      <c r="C135" s="117">
        <v>0.22112211221122113</v>
      </c>
      <c r="F135" s="47" t="s">
        <v>155</v>
      </c>
      <c r="G135" s="110">
        <v>2.3103448275862069</v>
      </c>
      <c r="J135" s="47" t="s">
        <v>155</v>
      </c>
      <c r="K135" s="128">
        <v>0.13943808532778357</v>
      </c>
    </row>
    <row r="136" spans="2:11" ht="14.4">
      <c r="B136" s="111" t="s">
        <v>156</v>
      </c>
      <c r="C136" s="117">
        <v>0.40287769784172661</v>
      </c>
      <c r="F136" s="111" t="s">
        <v>156</v>
      </c>
      <c r="G136" s="110">
        <v>9.3333333333333339</v>
      </c>
      <c r="J136" s="111" t="s">
        <v>156</v>
      </c>
      <c r="K136" s="128">
        <v>0.24295010845986983</v>
      </c>
    </row>
    <row r="137" spans="2:11" ht="14.4">
      <c r="B137" s="47" t="s">
        <v>157</v>
      </c>
      <c r="C137" s="117">
        <v>0.17266187050359713</v>
      </c>
      <c r="F137" s="47" t="s">
        <v>157</v>
      </c>
      <c r="G137" s="110">
        <v>16</v>
      </c>
      <c r="J137" s="47" t="s">
        <v>157</v>
      </c>
      <c r="K137" s="128">
        <v>0.10480349344978165</v>
      </c>
    </row>
    <row r="138" spans="2:11" ht="14.4">
      <c r="B138" s="47" t="s">
        <v>158</v>
      </c>
      <c r="C138" s="117">
        <v>2.8368794326241134E-2</v>
      </c>
      <c r="F138" s="47" t="s">
        <v>158</v>
      </c>
      <c r="G138" s="110">
        <v>1.6666666666666667</v>
      </c>
      <c r="J138" s="47" t="s">
        <v>158</v>
      </c>
      <c r="K138" s="128">
        <v>2.1321961620469083E-2</v>
      </c>
    </row>
    <row r="139" spans="2:11" ht="14.4">
      <c r="B139" s="47" t="s">
        <v>159</v>
      </c>
      <c r="C139" s="117">
        <v>0.14705882352941177</v>
      </c>
      <c r="F139" s="47" t="s">
        <v>159</v>
      </c>
      <c r="G139" s="110">
        <v>2.9545454545454546</v>
      </c>
      <c r="J139" s="47" t="s">
        <v>159</v>
      </c>
      <c r="K139" s="128">
        <v>0.11648745519713262</v>
      </c>
    </row>
    <row r="140" spans="2:11" thickBot="1">
      <c r="B140" s="113" t="s">
        <v>160</v>
      </c>
      <c r="C140" s="119">
        <v>0.86274509803921573</v>
      </c>
      <c r="F140" s="113" t="s">
        <v>160</v>
      </c>
      <c r="G140" s="129">
        <v>2.64</v>
      </c>
      <c r="J140" s="113" t="s">
        <v>160</v>
      </c>
      <c r="K140" s="130">
        <v>0.64390243902439026</v>
      </c>
    </row>
    <row r="142" spans="2:11" thickTop="1">
      <c r="B142" s="116" t="s">
        <v>146</v>
      </c>
      <c r="C142" s="131">
        <v>0.30536409949056037</v>
      </c>
      <c r="F142" s="116" t="s">
        <v>146</v>
      </c>
      <c r="G142" s="132">
        <v>14.285046728971963</v>
      </c>
      <c r="J142" s="116" t="s">
        <v>146</v>
      </c>
      <c r="K142" s="133">
        <v>0.14072641900290014</v>
      </c>
    </row>
    <row r="158" spans="2:11" ht="14.4">
      <c r="B158" s="109" t="s">
        <v>33</v>
      </c>
    </row>
    <row r="159" spans="2:11" ht="14.4">
      <c r="B159" s="134" t="s">
        <v>147</v>
      </c>
      <c r="C159" s="134" t="s">
        <v>169</v>
      </c>
      <c r="F159" s="134" t="s">
        <v>147</v>
      </c>
      <c r="G159" s="134" t="s">
        <v>45</v>
      </c>
      <c r="J159" s="134" t="s">
        <v>147</v>
      </c>
      <c r="K159" s="134" t="s">
        <v>47</v>
      </c>
    </row>
    <row r="160" spans="2:11" ht="13.5" customHeight="1">
      <c r="B160" s="47" t="s">
        <v>151</v>
      </c>
      <c r="C160" s="135">
        <v>84.59</v>
      </c>
      <c r="F160" s="47" t="s">
        <v>151</v>
      </c>
      <c r="G160" s="117">
        <v>1.1855296763618343E-2</v>
      </c>
      <c r="J160" s="47" t="s">
        <v>151</v>
      </c>
      <c r="K160" s="135">
        <v>88.178151260504208</v>
      </c>
    </row>
    <row r="161" spans="2:11" ht="13.5" customHeight="1">
      <c r="B161" s="47" t="s">
        <v>26</v>
      </c>
      <c r="C161" s="135">
        <v>55.11</v>
      </c>
      <c r="F161" s="47" t="s">
        <v>26</v>
      </c>
      <c r="G161" s="117">
        <v>1.8346541234214427E-2</v>
      </c>
      <c r="J161" s="47" t="s">
        <v>26</v>
      </c>
      <c r="K161" s="135">
        <v>40.847198050817958</v>
      </c>
    </row>
    <row r="162" spans="2:11" ht="13.5" customHeight="1">
      <c r="B162" s="47" t="s">
        <v>152</v>
      </c>
      <c r="C162" s="135">
        <v>65.73</v>
      </c>
      <c r="F162" s="47" t="s">
        <v>152</v>
      </c>
      <c r="G162" s="117">
        <v>1.5255965735264124E-2</v>
      </c>
      <c r="J162" s="47" t="s">
        <v>152</v>
      </c>
      <c r="K162" s="135">
        <v>11.729665071770336</v>
      </c>
    </row>
    <row r="163" spans="2:11" ht="13.5" customHeight="1">
      <c r="B163" s="47" t="s">
        <v>153</v>
      </c>
      <c r="C163" s="135"/>
      <c r="F163" s="47" t="s">
        <v>153</v>
      </c>
      <c r="G163" s="117">
        <v>-0.10903180121024848</v>
      </c>
      <c r="J163" s="47" t="s">
        <v>153</v>
      </c>
      <c r="K163" s="135">
        <v>1.8608735716918543</v>
      </c>
    </row>
    <row r="164" spans="2:11" ht="13.5" customHeight="1">
      <c r="B164" s="47" t="s">
        <v>154</v>
      </c>
      <c r="C164" s="135">
        <v>35.72</v>
      </c>
      <c r="F164" s="47" t="s">
        <v>154</v>
      </c>
      <c r="G164" s="117">
        <v>2.8095563139931737E-2</v>
      </c>
      <c r="J164" s="47" t="s">
        <v>154</v>
      </c>
      <c r="K164" s="135">
        <v>1.7725177645477241</v>
      </c>
    </row>
    <row r="165" spans="2:11" ht="13.5" customHeight="1">
      <c r="B165" s="47" t="s">
        <v>155</v>
      </c>
      <c r="C165" s="135">
        <v>49</v>
      </c>
      <c r="F165" s="47" t="s">
        <v>155</v>
      </c>
      <c r="G165" s="117">
        <v>2.0791628753412193E-2</v>
      </c>
      <c r="J165" s="47" t="s">
        <v>155</v>
      </c>
      <c r="K165" s="135">
        <v>10.518481848184818</v>
      </c>
    </row>
    <row r="166" spans="2:11" ht="13.5" customHeight="1">
      <c r="B166" s="111" t="s">
        <v>156</v>
      </c>
      <c r="C166" s="135">
        <v>38.369999999999997</v>
      </c>
      <c r="F166" s="111" t="s">
        <v>156</v>
      </c>
      <c r="G166" s="117">
        <v>2.5933147632311981E-2</v>
      </c>
      <c r="J166" s="111" t="s">
        <v>156</v>
      </c>
      <c r="K166" s="135">
        <v>15.496402877697841</v>
      </c>
    </row>
    <row r="167" spans="2:11" ht="13.5" customHeight="1">
      <c r="B167" s="47" t="s">
        <v>157</v>
      </c>
      <c r="C167" s="135">
        <v>79.540000000000006</v>
      </c>
      <c r="F167" s="47" t="s">
        <v>157</v>
      </c>
      <c r="G167" s="117">
        <v>1.4561389139159636E-2</v>
      </c>
      <c r="J167" s="47" t="s">
        <v>157</v>
      </c>
      <c r="K167" s="135">
        <v>13.175179856115108</v>
      </c>
    </row>
    <row r="168" spans="2:11" ht="13.5" customHeight="1">
      <c r="B168" s="47" t="s">
        <v>158</v>
      </c>
      <c r="C168" s="135">
        <v>35.4</v>
      </c>
      <c r="F168" s="47" t="s">
        <v>158</v>
      </c>
      <c r="G168" s="117">
        <v>2.8173003595162872E-2</v>
      </c>
      <c r="J168" s="47" t="s">
        <v>158</v>
      </c>
      <c r="K168" s="135">
        <v>3.1247659574468085</v>
      </c>
    </row>
    <row r="169" spans="2:11" ht="13.5" customHeight="1">
      <c r="B169" s="47" t="s">
        <v>159</v>
      </c>
      <c r="C169" s="135">
        <v>31.05</v>
      </c>
      <c r="F169" s="47" t="s">
        <v>159</v>
      </c>
      <c r="G169" s="117">
        <v>3.2334682860998651E-2</v>
      </c>
      <c r="J169" s="47" t="s">
        <v>159</v>
      </c>
      <c r="K169" s="135">
        <v>4.6102941176470589</v>
      </c>
    </row>
    <row r="170" spans="2:11" ht="13.5" customHeight="1" thickBot="1">
      <c r="B170" s="113" t="s">
        <v>160</v>
      </c>
      <c r="C170" s="136">
        <v>6.72</v>
      </c>
      <c r="F170" s="113" t="s">
        <v>160</v>
      </c>
      <c r="G170" s="119">
        <v>0.14903299203640502</v>
      </c>
      <c r="J170" s="113" t="s">
        <v>160</v>
      </c>
      <c r="K170" s="136">
        <v>5.7450980392156854</v>
      </c>
    </row>
    <row r="171" spans="2:11" ht="13.5" customHeight="1" thickTop="1" thickBot="1"/>
    <row r="172" spans="2:11" thickTop="1">
      <c r="B172" s="116" t="s">
        <v>146</v>
      </c>
      <c r="C172" s="137">
        <f>MEDIAN(C160:C170)</f>
        <v>43.685000000000002</v>
      </c>
      <c r="F172" s="116" t="s">
        <v>146</v>
      </c>
      <c r="G172" s="138">
        <f>MEDIAN(G160:G170)</f>
        <v>2.0791628753412193E-2</v>
      </c>
      <c r="J172" s="116" t="s">
        <v>146</v>
      </c>
      <c r="K172" s="137">
        <f>MEDIAN(K160:K170)</f>
        <v>10.518481848184818</v>
      </c>
    </row>
    <row r="193" spans="1:38" ht="14.4">
      <c r="A193" s="109" t="s">
        <v>170</v>
      </c>
      <c r="B193" s="109" t="s">
        <v>147</v>
      </c>
      <c r="C193" s="109" t="s">
        <v>171</v>
      </c>
      <c r="D193" s="109" t="s">
        <v>148</v>
      </c>
      <c r="E193" s="109" t="s">
        <v>172</v>
      </c>
      <c r="F193" s="109" t="s">
        <v>173</v>
      </c>
      <c r="G193" s="109" t="s">
        <v>174</v>
      </c>
      <c r="H193" s="109" t="s">
        <v>175</v>
      </c>
      <c r="I193" s="109" t="s">
        <v>12</v>
      </c>
      <c r="J193" s="109" t="s">
        <v>176</v>
      </c>
      <c r="K193" s="109" t="s">
        <v>14</v>
      </c>
      <c r="L193" s="109" t="s">
        <v>177</v>
      </c>
      <c r="M193" s="109" t="s">
        <v>10</v>
      </c>
      <c r="N193" s="109" t="s">
        <v>178</v>
      </c>
      <c r="O193" s="109" t="s">
        <v>179</v>
      </c>
      <c r="P193" s="109" t="s">
        <v>180</v>
      </c>
      <c r="Q193" s="109" t="s">
        <v>149</v>
      </c>
      <c r="R193" s="109" t="s">
        <v>150</v>
      </c>
      <c r="S193" s="109" t="s">
        <v>181</v>
      </c>
      <c r="T193" s="109" t="s">
        <v>182</v>
      </c>
      <c r="U193" s="109" t="s">
        <v>140</v>
      </c>
      <c r="V193" s="109" t="s">
        <v>183</v>
      </c>
      <c r="W193" s="109" t="s">
        <v>162</v>
      </c>
      <c r="X193" s="109" t="s">
        <v>163</v>
      </c>
      <c r="Y193" s="109" t="s">
        <v>164</v>
      </c>
      <c r="Z193" s="109" t="s">
        <v>165</v>
      </c>
      <c r="AA193" s="109" t="s">
        <v>41</v>
      </c>
      <c r="AB193" s="109" t="s">
        <v>166</v>
      </c>
      <c r="AC193" s="109" t="s">
        <v>167</v>
      </c>
      <c r="AD193" s="109" t="s">
        <v>39</v>
      </c>
      <c r="AE193" s="109" t="s">
        <v>40</v>
      </c>
      <c r="AF193" s="109" t="s">
        <v>42</v>
      </c>
      <c r="AG193" s="109" t="s">
        <v>168</v>
      </c>
      <c r="AH193" s="109" t="s">
        <v>43</v>
      </c>
      <c r="AI193" s="109" t="s">
        <v>169</v>
      </c>
      <c r="AJ193" s="109" t="s">
        <v>45</v>
      </c>
      <c r="AK193" s="109" t="s">
        <v>46</v>
      </c>
      <c r="AL193" s="109" t="s">
        <v>47</v>
      </c>
    </row>
    <row r="194" spans="1:38" ht="14.4">
      <c r="A194" s="139">
        <v>500790</v>
      </c>
      <c r="B194" s="140" t="s">
        <v>151</v>
      </c>
      <c r="C194" s="62">
        <v>2623.3</v>
      </c>
      <c r="D194" s="52">
        <v>252834</v>
      </c>
      <c r="E194" s="110">
        <v>3700</v>
      </c>
      <c r="F194" s="110">
        <v>3049</v>
      </c>
      <c r="G194" s="110">
        <v>9452</v>
      </c>
      <c r="H194" s="110">
        <v>6595</v>
      </c>
      <c r="I194" s="110">
        <v>96</v>
      </c>
      <c r="J194" s="110">
        <v>2856</v>
      </c>
      <c r="K194" s="112">
        <v>32</v>
      </c>
      <c r="L194" s="110">
        <v>294</v>
      </c>
      <c r="M194" s="112">
        <v>1</v>
      </c>
      <c r="N194" s="8">
        <f ca="1">IFERROR(__xludf.DUMMYFUNCTION("GOOGLEFINANCE(""NSE:""&amp;B194,""EPS"")"),31.1)</f>
        <v>31.1</v>
      </c>
      <c r="O194" s="110">
        <v>11216</v>
      </c>
      <c r="P194" s="110">
        <v>1606</v>
      </c>
      <c r="Q194" s="110">
        <v>16789</v>
      </c>
      <c r="R194" s="110">
        <v>2390</v>
      </c>
      <c r="S194" s="110">
        <v>19126</v>
      </c>
      <c r="T194" s="110">
        <v>2999</v>
      </c>
      <c r="U194" s="112">
        <v>119</v>
      </c>
      <c r="V194" s="112">
        <v>14655</v>
      </c>
      <c r="W194" s="141">
        <f t="shared" ref="W194:W204" si="0">(Q194/O194)^(1/5)-1</f>
        <v>8.4020176609259201E-2</v>
      </c>
      <c r="X194" s="141">
        <f t="shared" ref="X194:X204" si="1">(S194/Q194)-1</f>
        <v>0.13919828459110128</v>
      </c>
      <c r="Y194" s="141">
        <f t="shared" ref="Y194:Y204" si="2">R194/Q194</f>
        <v>0.1423551134671511</v>
      </c>
      <c r="Z194" s="83">
        <f t="shared" ref="Z194:Z204" si="3">T194/S194</f>
        <v>0.15680225870542716</v>
      </c>
      <c r="AA194" s="142">
        <f t="shared" ref="AA194:AA204" si="4">(S194-V194+U194)/U194</f>
        <v>38.571428571428569</v>
      </c>
      <c r="AB194" s="142">
        <f t="shared" ref="AB194:AB204" si="5">E194/F194</f>
        <v>1.2135126270908494</v>
      </c>
      <c r="AC194" s="142">
        <f t="shared" ref="AC194:AC204" si="6">(L194/S194)*365</f>
        <v>5.6106870229007635</v>
      </c>
      <c r="AD194" s="143">
        <f t="shared" ref="AD194:AD204" si="7">K194/J194</f>
        <v>1.1204481792717087E-2</v>
      </c>
      <c r="AE194" s="143">
        <f t="shared" ref="AE194:AE204" si="8">H194/G194</f>
        <v>0.69773592890393565</v>
      </c>
      <c r="AF194" s="141">
        <f t="shared" ref="AF194:AF204" si="9">T194/J194</f>
        <v>1.0500700280112045</v>
      </c>
      <c r="AG194" s="144">
        <f t="shared" ref="AG194:AG204" si="10">T194/I194</f>
        <v>31.239583333333332</v>
      </c>
      <c r="AH194" s="145">
        <f t="shared" ref="AH194:AH204" si="11">T194/G194</f>
        <v>0.31728734659331359</v>
      </c>
      <c r="AI194" s="8">
        <f ca="1">IFERROR(__xludf.DUMMYFUNCTION("GOOGLEFINANCE(""NSE:""&amp;B194,""PE"")"),84.59)</f>
        <v>84.59</v>
      </c>
      <c r="AJ194" s="141">
        <f t="shared" ref="AJ194:AJ204" ca="1" si="12">N194/C194</f>
        <v>1.1855296763618343E-2</v>
      </c>
      <c r="AK194" s="142">
        <f t="shared" ref="AK194:AK204" si="13">J194/(I194/M194)</f>
        <v>29.75</v>
      </c>
      <c r="AL194" s="105">
        <f t="shared" ref="AL194:AL204" si="14">C194/AK194</f>
        <v>88.178151260504208</v>
      </c>
    </row>
    <row r="195" spans="1:38" ht="14.4">
      <c r="A195" s="139">
        <v>500825</v>
      </c>
      <c r="B195" s="140" t="s">
        <v>26</v>
      </c>
      <c r="C195" s="62">
        <v>4889.75</v>
      </c>
      <c r="D195" s="52">
        <v>119083</v>
      </c>
      <c r="E195" s="110">
        <v>4304</v>
      </c>
      <c r="F195" s="110">
        <v>4971</v>
      </c>
      <c r="G195" s="110">
        <v>8749</v>
      </c>
      <c r="H195" s="110">
        <v>5875</v>
      </c>
      <c r="I195" s="110">
        <v>24</v>
      </c>
      <c r="J195" s="110">
        <v>2873</v>
      </c>
      <c r="K195" s="112">
        <v>2761</v>
      </c>
      <c r="L195" s="110">
        <v>412</v>
      </c>
      <c r="M195" s="112">
        <v>1</v>
      </c>
      <c r="N195" s="8">
        <f ca="1">IFERROR(__xludf.DUMMYFUNCTION("GOOGLEFINANCE(""NSE:""&amp;B195,""EPS"")"),89.71)</f>
        <v>89.71</v>
      </c>
      <c r="O195" s="110">
        <v>9905</v>
      </c>
      <c r="P195" s="110">
        <v>1004</v>
      </c>
      <c r="Q195" s="110">
        <v>16301</v>
      </c>
      <c r="R195" s="110">
        <v>2316</v>
      </c>
      <c r="S195" s="110">
        <v>16723</v>
      </c>
      <c r="T195" s="110">
        <v>2155</v>
      </c>
      <c r="U195" s="112">
        <v>172</v>
      </c>
      <c r="V195" s="112">
        <v>13542</v>
      </c>
      <c r="W195" s="141">
        <f t="shared" si="0"/>
        <v>0.10477020613521582</v>
      </c>
      <c r="X195" s="141">
        <f t="shared" si="1"/>
        <v>2.5887982332372328E-2</v>
      </c>
      <c r="Y195" s="141">
        <f t="shared" si="2"/>
        <v>0.14207717317955953</v>
      </c>
      <c r="Z195" s="83">
        <f t="shared" si="3"/>
        <v>0.12886443819888777</v>
      </c>
      <c r="AA195" s="142">
        <f t="shared" si="4"/>
        <v>19.494186046511629</v>
      </c>
      <c r="AB195" s="142">
        <f t="shared" si="5"/>
        <v>0.86582176624421647</v>
      </c>
      <c r="AC195" s="142">
        <f t="shared" si="6"/>
        <v>8.9924056688393232</v>
      </c>
      <c r="AD195" s="143">
        <f t="shared" si="7"/>
        <v>0.96101635920640449</v>
      </c>
      <c r="AE195" s="143">
        <f t="shared" si="8"/>
        <v>0.67150531489313059</v>
      </c>
      <c r="AF195" s="141">
        <f t="shared" si="9"/>
        <v>0.75008701705534286</v>
      </c>
      <c r="AG195" s="144">
        <f t="shared" si="10"/>
        <v>89.791666666666671</v>
      </c>
      <c r="AH195" s="145">
        <f t="shared" si="11"/>
        <v>0.24631386444165049</v>
      </c>
      <c r="AI195" s="8">
        <f ca="1">IFERROR(__xludf.DUMMYFUNCTION("GOOGLEFINANCE(""NSE:""&amp;B195,""PE"")"),55.11)</f>
        <v>55.11</v>
      </c>
      <c r="AJ195" s="141">
        <f t="shared" ca="1" si="12"/>
        <v>1.8346541234214427E-2</v>
      </c>
      <c r="AK195" s="142">
        <f t="shared" si="13"/>
        <v>119.70833333333333</v>
      </c>
      <c r="AL195" s="105">
        <f t="shared" si="14"/>
        <v>40.847198050817958</v>
      </c>
    </row>
    <row r="196" spans="1:38" ht="14.4">
      <c r="A196" s="139">
        <v>543653</v>
      </c>
      <c r="B196" s="140" t="s">
        <v>152</v>
      </c>
      <c r="C196" s="62">
        <v>490.3</v>
      </c>
      <c r="D196" s="52">
        <v>12276</v>
      </c>
      <c r="E196" s="110">
        <v>517</v>
      </c>
      <c r="F196" s="110">
        <v>286</v>
      </c>
      <c r="G196" s="110">
        <v>1444</v>
      </c>
      <c r="H196" s="110">
        <v>399</v>
      </c>
      <c r="I196" s="110">
        <v>25</v>
      </c>
      <c r="J196" s="110">
        <v>1045</v>
      </c>
      <c r="K196" s="112">
        <v>155</v>
      </c>
      <c r="L196" s="110">
        <v>119</v>
      </c>
      <c r="M196" s="112">
        <v>1</v>
      </c>
      <c r="N196" s="8">
        <f ca="1">IFERROR(__xludf.DUMMYFUNCTION("GOOGLEFINANCE(""NSE:""&amp;B196,""EPS"")"),7.48)</f>
        <v>7.48</v>
      </c>
      <c r="O196" s="110">
        <v>781</v>
      </c>
      <c r="P196" s="110">
        <v>53</v>
      </c>
      <c r="Q196" s="110">
        <v>1966</v>
      </c>
      <c r="R196" s="146">
        <v>126</v>
      </c>
      <c r="S196" s="110">
        <v>2147</v>
      </c>
      <c r="T196" s="110">
        <v>192</v>
      </c>
      <c r="U196" s="112">
        <v>8</v>
      </c>
      <c r="V196" s="112">
        <v>1859</v>
      </c>
      <c r="W196" s="141">
        <f t="shared" si="0"/>
        <v>0.20278082516485596</v>
      </c>
      <c r="X196" s="141">
        <f t="shared" si="1"/>
        <v>9.2065106815869768E-2</v>
      </c>
      <c r="Y196" s="141">
        <f t="shared" si="2"/>
        <v>6.4089521871820959E-2</v>
      </c>
      <c r="Z196" s="83">
        <f t="shared" si="3"/>
        <v>8.9427107591988825E-2</v>
      </c>
      <c r="AA196" s="142">
        <f t="shared" si="4"/>
        <v>37</v>
      </c>
      <c r="AB196" s="142">
        <f t="shared" si="5"/>
        <v>1.8076923076923077</v>
      </c>
      <c r="AC196" s="142">
        <f t="shared" si="6"/>
        <v>20.230554261760599</v>
      </c>
      <c r="AD196" s="143">
        <f t="shared" si="7"/>
        <v>0.14832535885167464</v>
      </c>
      <c r="AE196" s="143">
        <f t="shared" si="8"/>
        <v>0.27631578947368424</v>
      </c>
      <c r="AF196" s="141">
        <f t="shared" si="9"/>
        <v>0.18373205741626794</v>
      </c>
      <c r="AG196" s="144">
        <f t="shared" si="10"/>
        <v>7.68</v>
      </c>
      <c r="AH196" s="145">
        <f t="shared" si="11"/>
        <v>0.1329639889196676</v>
      </c>
      <c r="AI196" s="8">
        <f ca="1">IFERROR(__xludf.DUMMYFUNCTION("GOOGLEFINANCE(""NSE:""&amp;B196,""PE"")"),65.73)</f>
        <v>65.73</v>
      </c>
      <c r="AJ196" s="141">
        <f t="shared" ca="1" si="12"/>
        <v>1.5255965735264124E-2</v>
      </c>
      <c r="AK196" s="142">
        <f t="shared" si="13"/>
        <v>41.8</v>
      </c>
      <c r="AL196" s="105">
        <f t="shared" si="14"/>
        <v>11.729665071770336</v>
      </c>
    </row>
    <row r="197" spans="1:38" ht="14.4">
      <c r="A197" s="139">
        <v>501425</v>
      </c>
      <c r="B197" s="140" t="s">
        <v>153</v>
      </c>
      <c r="C197" s="62">
        <v>1553.4</v>
      </c>
      <c r="D197" s="52">
        <v>10919</v>
      </c>
      <c r="E197" s="110">
        <v>7301</v>
      </c>
      <c r="F197" s="110">
        <v>5305</v>
      </c>
      <c r="G197" s="110">
        <v>14184</v>
      </c>
      <c r="H197" s="110">
        <v>8758</v>
      </c>
      <c r="I197" s="110">
        <v>13</v>
      </c>
      <c r="J197" s="110">
        <v>5426</v>
      </c>
      <c r="K197" s="112">
        <v>0</v>
      </c>
      <c r="L197" s="110">
        <v>482</v>
      </c>
      <c r="M197" s="112">
        <v>2</v>
      </c>
      <c r="N197" s="8">
        <f ca="1">IFERROR(__xludf.DUMMYFUNCTION("GOOGLEFINANCE(""NSE:""&amp;B197,""EPS"")"),-169.37)</f>
        <v>-169.37</v>
      </c>
      <c r="O197" s="110">
        <v>10238</v>
      </c>
      <c r="P197" s="110">
        <v>773</v>
      </c>
      <c r="Q197" s="110">
        <v>18622</v>
      </c>
      <c r="R197" s="110">
        <v>-533</v>
      </c>
      <c r="S197" s="110">
        <v>17055</v>
      </c>
      <c r="T197" s="110">
        <v>-137</v>
      </c>
      <c r="U197" s="112">
        <v>448</v>
      </c>
      <c r="V197" s="112">
        <v>14453</v>
      </c>
      <c r="W197" s="141">
        <f t="shared" si="0"/>
        <v>0.12709945405576506</v>
      </c>
      <c r="X197" s="141">
        <f t="shared" si="1"/>
        <v>-8.4147782193104925E-2</v>
      </c>
      <c r="Y197" s="141">
        <f t="shared" si="2"/>
        <v>-2.8622059929116098E-2</v>
      </c>
      <c r="Z197" s="83">
        <f t="shared" si="3"/>
        <v>-8.032834945763706E-3</v>
      </c>
      <c r="AA197" s="142">
        <f t="shared" si="4"/>
        <v>6.8080357142857144</v>
      </c>
      <c r="AB197" s="142">
        <f t="shared" si="5"/>
        <v>1.3762488218661639</v>
      </c>
      <c r="AC197" s="142">
        <f t="shared" si="6"/>
        <v>10.315450014658458</v>
      </c>
      <c r="AD197" s="143">
        <f t="shared" si="7"/>
        <v>0</v>
      </c>
      <c r="AE197" s="143">
        <f t="shared" si="8"/>
        <v>0.61745628877608572</v>
      </c>
      <c r="AF197" s="141">
        <f t="shared" si="9"/>
        <v>-2.5248802064135642E-2</v>
      </c>
      <c r="AG197" s="144">
        <f t="shared" si="10"/>
        <v>-10.538461538461538</v>
      </c>
      <c r="AH197" s="145">
        <f t="shared" si="11"/>
        <v>-9.6587704455724753E-3</v>
      </c>
      <c r="AI197" s="8" t="str">
        <f ca="1">IFERROR(__xludf.DUMMYFUNCTION("GOOGLEFINANCE(""BOM:""&amp;A197,""PE"")"),"#N/A")</f>
        <v>#N/A</v>
      </c>
      <c r="AJ197" s="141">
        <f t="shared" ca="1" si="12"/>
        <v>-0.10903180121024848</v>
      </c>
      <c r="AK197" s="142">
        <f t="shared" si="13"/>
        <v>834.76923076923072</v>
      </c>
      <c r="AL197" s="105">
        <f t="shared" si="14"/>
        <v>1.8608735716918543</v>
      </c>
    </row>
    <row r="198" spans="1:38" ht="14.4">
      <c r="A198" s="139">
        <v>531335</v>
      </c>
      <c r="B198" s="140" t="s">
        <v>154</v>
      </c>
      <c r="C198" s="62">
        <v>1465</v>
      </c>
      <c r="D198" s="52">
        <v>9356</v>
      </c>
      <c r="E198" s="110">
        <v>891</v>
      </c>
      <c r="F198" s="110">
        <v>605</v>
      </c>
      <c r="G198" s="110">
        <v>5831</v>
      </c>
      <c r="H198" s="110">
        <v>623</v>
      </c>
      <c r="I198" s="110">
        <v>63</v>
      </c>
      <c r="J198" s="110">
        <v>5207</v>
      </c>
      <c r="K198" s="112">
        <v>348</v>
      </c>
      <c r="L198" s="110">
        <v>128</v>
      </c>
      <c r="M198" s="112">
        <v>10</v>
      </c>
      <c r="N198" s="8">
        <f ca="1">IFERROR(__xludf.DUMMYFUNCTION("GOOGLEFINANCE(""NSE:""&amp;B198,""EPS"")"),41.16)</f>
        <v>41.16</v>
      </c>
      <c r="O198" s="110">
        <v>503</v>
      </c>
      <c r="P198" s="110">
        <v>136</v>
      </c>
      <c r="Q198" s="110">
        <v>2254</v>
      </c>
      <c r="R198" s="110">
        <v>310</v>
      </c>
      <c r="S198" s="110">
        <v>2258</v>
      </c>
      <c r="T198" s="110">
        <v>262</v>
      </c>
      <c r="U198" s="112">
        <v>23</v>
      </c>
      <c r="V198" s="112">
        <v>1968</v>
      </c>
      <c r="W198" s="141">
        <f t="shared" si="0"/>
        <v>0.34982412326456225</v>
      </c>
      <c r="X198" s="141">
        <f t="shared" si="1"/>
        <v>1.7746228926354135E-3</v>
      </c>
      <c r="Y198" s="141">
        <f t="shared" si="2"/>
        <v>0.13753327417923691</v>
      </c>
      <c r="Z198" s="83">
        <f t="shared" si="3"/>
        <v>0.11603188662533215</v>
      </c>
      <c r="AA198" s="142">
        <f t="shared" si="4"/>
        <v>13.608695652173912</v>
      </c>
      <c r="AB198" s="142">
        <f t="shared" si="5"/>
        <v>1.4727272727272727</v>
      </c>
      <c r="AC198" s="142">
        <f t="shared" si="6"/>
        <v>20.690876882196633</v>
      </c>
      <c r="AD198" s="143">
        <f t="shared" si="7"/>
        <v>6.6833109275974648E-2</v>
      </c>
      <c r="AE198" s="143">
        <f t="shared" si="8"/>
        <v>0.10684273709483794</v>
      </c>
      <c r="AF198" s="141">
        <f t="shared" si="9"/>
        <v>5.0316881121567118E-2</v>
      </c>
      <c r="AG198" s="144">
        <f t="shared" si="10"/>
        <v>4.1587301587301591</v>
      </c>
      <c r="AH198" s="145">
        <f t="shared" si="11"/>
        <v>4.4932258617732805E-2</v>
      </c>
      <c r="AI198" s="8">
        <f ca="1">IFERROR(__xludf.DUMMYFUNCTION("GOOGLEFINANCE(""NSE:""&amp;B198,""PE"")"),35.72)</f>
        <v>35.72</v>
      </c>
      <c r="AJ198" s="141">
        <f t="shared" ca="1" si="12"/>
        <v>2.8095563139931737E-2</v>
      </c>
      <c r="AK198" s="142">
        <f t="shared" si="13"/>
        <v>826.50793650793651</v>
      </c>
      <c r="AL198" s="105">
        <f t="shared" si="14"/>
        <v>1.7725177645477241</v>
      </c>
    </row>
    <row r="199" spans="1:38" ht="14.4">
      <c r="A199" s="139">
        <v>543253</v>
      </c>
      <c r="B199" s="140" t="s">
        <v>155</v>
      </c>
      <c r="C199" s="62">
        <v>1099</v>
      </c>
      <c r="D199" s="52">
        <v>6455</v>
      </c>
      <c r="E199" s="110">
        <v>387</v>
      </c>
      <c r="F199" s="110">
        <v>214</v>
      </c>
      <c r="G199" s="110">
        <v>961</v>
      </c>
      <c r="H199" s="110">
        <v>355</v>
      </c>
      <c r="I199" s="110">
        <v>58</v>
      </c>
      <c r="J199" s="110">
        <v>606</v>
      </c>
      <c r="K199" s="112">
        <v>0</v>
      </c>
      <c r="L199" s="110">
        <v>106</v>
      </c>
      <c r="M199" s="112">
        <v>10</v>
      </c>
      <c r="N199" s="8">
        <f ca="1">IFERROR(__xludf.DUMMYFUNCTION("GOOGLEFINANCE(""NSE:""&amp;B199,""EPS"")"),22.85)</f>
        <v>22.85</v>
      </c>
      <c r="O199" s="110">
        <v>693</v>
      </c>
      <c r="P199" s="110">
        <v>35</v>
      </c>
      <c r="Q199" s="110">
        <v>1362</v>
      </c>
      <c r="R199" s="110">
        <v>90</v>
      </c>
      <c r="S199" s="110">
        <v>1564</v>
      </c>
      <c r="T199" s="110">
        <v>134</v>
      </c>
      <c r="U199" s="112">
        <v>10</v>
      </c>
      <c r="V199" s="112">
        <v>1332</v>
      </c>
      <c r="W199" s="141">
        <f t="shared" si="0"/>
        <v>0.14469233461264874</v>
      </c>
      <c r="X199" s="141">
        <f t="shared" si="1"/>
        <v>0.14831130690161531</v>
      </c>
      <c r="Y199" s="141">
        <f t="shared" si="2"/>
        <v>6.6079295154185022E-2</v>
      </c>
      <c r="Z199" s="83">
        <f t="shared" si="3"/>
        <v>8.5677749360613814E-2</v>
      </c>
      <c r="AA199" s="142">
        <f t="shared" si="4"/>
        <v>24.2</v>
      </c>
      <c r="AB199" s="142">
        <f t="shared" si="5"/>
        <v>1.808411214953271</v>
      </c>
      <c r="AC199" s="142">
        <f t="shared" si="6"/>
        <v>24.737851662404093</v>
      </c>
      <c r="AD199" s="143">
        <f t="shared" si="7"/>
        <v>0</v>
      </c>
      <c r="AE199" s="143">
        <f t="shared" si="8"/>
        <v>0.36940686784599375</v>
      </c>
      <c r="AF199" s="141">
        <f t="shared" si="9"/>
        <v>0.22112211221122113</v>
      </c>
      <c r="AG199" s="144">
        <f t="shared" si="10"/>
        <v>2.3103448275862069</v>
      </c>
      <c r="AH199" s="145">
        <f t="shared" si="11"/>
        <v>0.13943808532778357</v>
      </c>
      <c r="AI199" s="8">
        <f ca="1">IFERROR(__xludf.DUMMYFUNCTION("GOOGLEFINANCE(""NSE:""&amp;B199,""PE"")"),49)</f>
        <v>49</v>
      </c>
      <c r="AJ199" s="141">
        <f t="shared" ca="1" si="12"/>
        <v>2.0791628753412193E-2</v>
      </c>
      <c r="AK199" s="142">
        <f t="shared" si="13"/>
        <v>104.48275862068967</v>
      </c>
      <c r="AL199" s="105">
        <f t="shared" si="14"/>
        <v>10.518481848184818</v>
      </c>
    </row>
    <row r="200" spans="1:38" ht="14.4">
      <c r="A200" s="139">
        <v>544140</v>
      </c>
      <c r="B200" s="147" t="s">
        <v>156</v>
      </c>
      <c r="C200" s="62">
        <v>359</v>
      </c>
      <c r="D200" s="52">
        <v>4464</v>
      </c>
      <c r="E200" s="144"/>
      <c r="F200" s="144"/>
      <c r="G200" s="110">
        <v>461</v>
      </c>
      <c r="H200" s="110">
        <v>171</v>
      </c>
      <c r="I200" s="110">
        <v>12</v>
      </c>
      <c r="J200" s="110">
        <v>278</v>
      </c>
      <c r="K200" s="112">
        <v>108</v>
      </c>
      <c r="L200" s="110">
        <v>11</v>
      </c>
      <c r="M200" s="112">
        <v>1</v>
      </c>
      <c r="N200" s="8">
        <f ca="1">IFERROR(__xludf.DUMMYFUNCTION("GOOGLEFINANCE(""NSE:""&amp;B200,""EPS"")"),9.31)</f>
        <v>9.31</v>
      </c>
      <c r="O200" s="144"/>
      <c r="P200" s="144"/>
      <c r="Q200" s="110">
        <v>1394</v>
      </c>
      <c r="R200" s="110">
        <v>112</v>
      </c>
      <c r="S200" s="110">
        <v>1352</v>
      </c>
      <c r="T200" s="110">
        <v>112</v>
      </c>
      <c r="U200" s="112">
        <v>11</v>
      </c>
      <c r="V200" s="112">
        <v>1198</v>
      </c>
      <c r="W200" s="141" t="e">
        <f t="shared" si="0"/>
        <v>#DIV/0!</v>
      </c>
      <c r="X200" s="141">
        <f t="shared" si="1"/>
        <v>-3.0129124820659992E-2</v>
      </c>
      <c r="Y200" s="141">
        <f t="shared" si="2"/>
        <v>8.0344332855093251E-2</v>
      </c>
      <c r="Z200" s="83">
        <f t="shared" si="3"/>
        <v>8.2840236686390539E-2</v>
      </c>
      <c r="AA200" s="142">
        <f t="shared" si="4"/>
        <v>15</v>
      </c>
      <c r="AB200" s="142" t="e">
        <f t="shared" si="5"/>
        <v>#DIV/0!</v>
      </c>
      <c r="AC200" s="142">
        <f t="shared" si="6"/>
        <v>2.9696745562130178</v>
      </c>
      <c r="AD200" s="143">
        <f t="shared" si="7"/>
        <v>0.38848920863309355</v>
      </c>
      <c r="AE200" s="143">
        <f t="shared" si="8"/>
        <v>0.37093275488069416</v>
      </c>
      <c r="AF200" s="141">
        <f t="shared" si="9"/>
        <v>0.40287769784172661</v>
      </c>
      <c r="AG200" s="144">
        <f t="shared" si="10"/>
        <v>9.3333333333333339</v>
      </c>
      <c r="AH200" s="145">
        <f t="shared" si="11"/>
        <v>0.24295010845986983</v>
      </c>
      <c r="AI200" s="8">
        <f ca="1">IFERROR(__xludf.DUMMYFUNCTION("GOOGLEFINANCE(""NSE:""&amp;B200,""PE"")"),38.37)</f>
        <v>38.369999999999997</v>
      </c>
      <c r="AJ200" s="141">
        <f t="shared" ca="1" si="12"/>
        <v>2.5933147632311981E-2</v>
      </c>
      <c r="AK200" s="142">
        <f t="shared" si="13"/>
        <v>23.166666666666668</v>
      </c>
      <c r="AL200" s="105">
        <f t="shared" si="14"/>
        <v>15.496402877697841</v>
      </c>
    </row>
    <row r="201" spans="1:38" ht="14.4">
      <c r="A201" s="139">
        <v>519091</v>
      </c>
      <c r="B201" s="140" t="s">
        <v>157</v>
      </c>
      <c r="C201" s="62">
        <v>12209</v>
      </c>
      <c r="D201" s="52">
        <v>3131</v>
      </c>
      <c r="E201" s="110">
        <v>188</v>
      </c>
      <c r="F201" s="110">
        <v>94</v>
      </c>
      <c r="G201" s="110">
        <v>458</v>
      </c>
      <c r="H201" s="110">
        <v>180</v>
      </c>
      <c r="I201" s="110">
        <v>3</v>
      </c>
      <c r="J201" s="110">
        <v>278</v>
      </c>
      <c r="K201" s="112">
        <v>52</v>
      </c>
      <c r="L201" s="110">
        <v>54</v>
      </c>
      <c r="M201" s="112">
        <v>10</v>
      </c>
      <c r="N201" s="8">
        <f ca="1">IFERROR(__xludf.DUMMYFUNCTION("GOOGLEFINANCE(""BOM:""&amp;A201,""EPS"")"),177.78)</f>
        <v>177.78</v>
      </c>
      <c r="O201" s="110">
        <v>296</v>
      </c>
      <c r="P201" s="110">
        <v>26</v>
      </c>
      <c r="Q201" s="110">
        <v>475</v>
      </c>
      <c r="R201" s="110">
        <v>30</v>
      </c>
      <c r="S201" s="110">
        <v>541</v>
      </c>
      <c r="T201" s="110">
        <v>48</v>
      </c>
      <c r="U201" s="112">
        <v>8</v>
      </c>
      <c r="V201" s="112">
        <v>457</v>
      </c>
      <c r="W201" s="141">
        <f t="shared" si="0"/>
        <v>9.920926349885395E-2</v>
      </c>
      <c r="X201" s="141">
        <f t="shared" si="1"/>
        <v>0.13894736842105271</v>
      </c>
      <c r="Y201" s="141">
        <f t="shared" si="2"/>
        <v>6.3157894736842107E-2</v>
      </c>
      <c r="Z201" s="83">
        <f t="shared" si="3"/>
        <v>8.8724584103512014E-2</v>
      </c>
      <c r="AA201" s="142">
        <f t="shared" si="4"/>
        <v>11.5</v>
      </c>
      <c r="AB201" s="142">
        <f t="shared" si="5"/>
        <v>2</v>
      </c>
      <c r="AC201" s="142">
        <f t="shared" si="6"/>
        <v>36.432532347504619</v>
      </c>
      <c r="AD201" s="143">
        <f t="shared" si="7"/>
        <v>0.18705035971223022</v>
      </c>
      <c r="AE201" s="143">
        <f t="shared" si="8"/>
        <v>0.3930131004366812</v>
      </c>
      <c r="AF201" s="141">
        <f t="shared" si="9"/>
        <v>0.17266187050359713</v>
      </c>
      <c r="AG201" s="144">
        <f t="shared" si="10"/>
        <v>16</v>
      </c>
      <c r="AH201" s="145">
        <f t="shared" si="11"/>
        <v>0.10480349344978165</v>
      </c>
      <c r="AI201" s="8">
        <f ca="1">IFERROR(__xludf.DUMMYFUNCTION("GOOGLEFINANCE(""BOM:""&amp;A201,""PE"")"),79.54)</f>
        <v>79.540000000000006</v>
      </c>
      <c r="AJ201" s="141">
        <f t="shared" ca="1" si="12"/>
        <v>1.4561389139159636E-2</v>
      </c>
      <c r="AK201" s="142">
        <f t="shared" si="13"/>
        <v>926.66666666666674</v>
      </c>
      <c r="AL201" s="105">
        <f t="shared" si="14"/>
        <v>13.175179856115108</v>
      </c>
    </row>
    <row r="202" spans="1:38" ht="14.4">
      <c r="A202" s="139">
        <v>540724</v>
      </c>
      <c r="B202" s="140" t="s">
        <v>158</v>
      </c>
      <c r="C202" s="62">
        <v>917.9</v>
      </c>
      <c r="D202" s="52">
        <v>2192</v>
      </c>
      <c r="E202" s="110">
        <v>257</v>
      </c>
      <c r="F202" s="110">
        <v>158</v>
      </c>
      <c r="G202" s="110">
        <v>938</v>
      </c>
      <c r="H202" s="110">
        <v>233</v>
      </c>
      <c r="I202" s="110">
        <v>12</v>
      </c>
      <c r="J202" s="110">
        <v>705</v>
      </c>
      <c r="K202" s="112">
        <v>60</v>
      </c>
      <c r="L202" s="110">
        <v>14</v>
      </c>
      <c r="M202" s="112">
        <v>5</v>
      </c>
      <c r="N202" s="8">
        <f ca="1">IFERROR(__xludf.DUMMYFUNCTION("GOOGLEFINANCE(""NSE:""&amp;B202,""EPS"")"),25.86)</f>
        <v>25.86</v>
      </c>
      <c r="O202" s="112">
        <v>1037</v>
      </c>
      <c r="P202" s="112">
        <v>44</v>
      </c>
      <c r="Q202" s="112">
        <v>1652</v>
      </c>
      <c r="R202" s="112">
        <v>20</v>
      </c>
      <c r="S202" s="112">
        <v>1653</v>
      </c>
      <c r="T202" s="112">
        <v>20</v>
      </c>
      <c r="U202" s="112">
        <v>7</v>
      </c>
      <c r="V202" s="112">
        <v>1590</v>
      </c>
      <c r="W202" s="141">
        <f t="shared" si="0"/>
        <v>9.7605456381603561E-2</v>
      </c>
      <c r="X202" s="141">
        <f t="shared" si="1"/>
        <v>6.0532687651337902E-4</v>
      </c>
      <c r="Y202" s="141">
        <f t="shared" si="2"/>
        <v>1.2106537530266344E-2</v>
      </c>
      <c r="Z202" s="83">
        <f t="shared" si="3"/>
        <v>1.2099213551119177E-2</v>
      </c>
      <c r="AA202" s="142">
        <f t="shared" si="4"/>
        <v>10</v>
      </c>
      <c r="AB202" s="142">
        <f t="shared" si="5"/>
        <v>1.6265822784810127</v>
      </c>
      <c r="AC202" s="142">
        <f t="shared" si="6"/>
        <v>3.0913490623109499</v>
      </c>
      <c r="AD202" s="143">
        <f t="shared" si="7"/>
        <v>8.5106382978723402E-2</v>
      </c>
      <c r="AE202" s="143">
        <f t="shared" si="8"/>
        <v>0.24840085287846481</v>
      </c>
      <c r="AF202" s="141">
        <f t="shared" si="9"/>
        <v>2.8368794326241134E-2</v>
      </c>
      <c r="AG202" s="144">
        <f t="shared" si="10"/>
        <v>1.6666666666666667</v>
      </c>
      <c r="AH202" s="145">
        <f t="shared" si="11"/>
        <v>2.1321961620469083E-2</v>
      </c>
      <c r="AI202" s="8">
        <f ca="1">IFERROR(__xludf.DUMMYFUNCTION("GOOGLEFINANCE(""NSE:""&amp;B202,""PE"")"),35.4)</f>
        <v>35.4</v>
      </c>
      <c r="AJ202" s="141">
        <f t="shared" ca="1" si="12"/>
        <v>2.8173003595162872E-2</v>
      </c>
      <c r="AK202" s="142">
        <f t="shared" si="13"/>
        <v>293.75</v>
      </c>
      <c r="AL202" s="105">
        <f t="shared" si="14"/>
        <v>3.1247659574468085</v>
      </c>
    </row>
    <row r="203" spans="1:38" ht="14.4">
      <c r="A203" s="139">
        <v>519183</v>
      </c>
      <c r="B203" s="140" t="s">
        <v>159</v>
      </c>
      <c r="C203" s="62">
        <v>185.25</v>
      </c>
      <c r="D203" s="52">
        <v>2042</v>
      </c>
      <c r="E203" s="110">
        <v>355</v>
      </c>
      <c r="F203" s="110">
        <v>52</v>
      </c>
      <c r="G203" s="110">
        <v>558</v>
      </c>
      <c r="H203" s="110">
        <v>116</v>
      </c>
      <c r="I203" s="110">
        <v>22</v>
      </c>
      <c r="J203" s="110">
        <v>442</v>
      </c>
      <c r="K203" s="112">
        <v>7</v>
      </c>
      <c r="L203" s="110">
        <v>82</v>
      </c>
      <c r="M203" s="112">
        <v>2</v>
      </c>
      <c r="N203" s="8">
        <f ca="1">IFERROR(__xludf.DUMMYFUNCTION("GOOGLEFINANCE(""NSE:""&amp;B203,""EPS"")"),5.99)</f>
        <v>5.99</v>
      </c>
      <c r="O203" s="112">
        <v>208</v>
      </c>
      <c r="P203" s="112">
        <v>18</v>
      </c>
      <c r="Q203" s="112">
        <v>450</v>
      </c>
      <c r="R203" s="112">
        <v>55</v>
      </c>
      <c r="S203" s="112">
        <v>490</v>
      </c>
      <c r="T203" s="112">
        <v>65</v>
      </c>
      <c r="U203" s="112">
        <v>2</v>
      </c>
      <c r="V203" s="112">
        <v>393</v>
      </c>
      <c r="W203" s="141">
        <f t="shared" si="0"/>
        <v>0.16688977891407952</v>
      </c>
      <c r="X203" s="141">
        <f t="shared" si="1"/>
        <v>8.8888888888888795E-2</v>
      </c>
      <c r="Y203" s="141">
        <f t="shared" si="2"/>
        <v>0.12222222222222222</v>
      </c>
      <c r="Z203" s="83">
        <f t="shared" si="3"/>
        <v>0.1326530612244898</v>
      </c>
      <c r="AA203" s="142">
        <f t="shared" si="4"/>
        <v>49.5</v>
      </c>
      <c r="AB203" s="142">
        <f t="shared" si="5"/>
        <v>6.8269230769230766</v>
      </c>
      <c r="AC203" s="142">
        <f t="shared" si="6"/>
        <v>61.081632653061227</v>
      </c>
      <c r="AD203" s="143">
        <f t="shared" si="7"/>
        <v>1.5837104072398189E-2</v>
      </c>
      <c r="AE203" s="143">
        <f t="shared" si="8"/>
        <v>0.2078853046594982</v>
      </c>
      <c r="AF203" s="141">
        <f t="shared" si="9"/>
        <v>0.14705882352941177</v>
      </c>
      <c r="AG203" s="144">
        <f t="shared" si="10"/>
        <v>2.9545454545454546</v>
      </c>
      <c r="AH203" s="145">
        <f t="shared" si="11"/>
        <v>0.11648745519713262</v>
      </c>
      <c r="AI203" s="8">
        <f ca="1">IFERROR(__xludf.DUMMYFUNCTION("GOOGLEFINANCE(""NSE:""&amp;B203,""PE"")"),31.05)</f>
        <v>31.05</v>
      </c>
      <c r="AJ203" s="141">
        <f t="shared" ca="1" si="12"/>
        <v>3.2334682860998651E-2</v>
      </c>
      <c r="AK203" s="142">
        <f t="shared" si="13"/>
        <v>40.18181818181818</v>
      </c>
      <c r="AL203" s="105">
        <f t="shared" si="14"/>
        <v>4.6102941176470589</v>
      </c>
    </row>
    <row r="204" spans="1:38" ht="14.4">
      <c r="A204" s="139">
        <v>539594</v>
      </c>
      <c r="B204" s="140" t="s">
        <v>160</v>
      </c>
      <c r="C204" s="62">
        <v>17.579999999999998</v>
      </c>
      <c r="D204" s="52">
        <v>1868</v>
      </c>
      <c r="E204" s="110">
        <v>402</v>
      </c>
      <c r="F204" s="110">
        <v>98</v>
      </c>
      <c r="G204" s="110">
        <v>410</v>
      </c>
      <c r="H204" s="110">
        <v>104</v>
      </c>
      <c r="I204" s="110">
        <v>100</v>
      </c>
      <c r="J204" s="110">
        <v>306</v>
      </c>
      <c r="K204" s="112">
        <v>54</v>
      </c>
      <c r="L204" s="110">
        <v>379</v>
      </c>
      <c r="M204" s="112">
        <v>1</v>
      </c>
      <c r="N204" s="8">
        <f ca="1">IFERROR(__xludf.DUMMYFUNCTION("GOOGLEFINANCE(""BOM:""&amp;A204,""EPS"")"),2.62)</f>
        <v>2.62</v>
      </c>
      <c r="O204" s="112">
        <v>490</v>
      </c>
      <c r="P204" s="112">
        <v>6</v>
      </c>
      <c r="Q204" s="112">
        <v>650</v>
      </c>
      <c r="R204" s="112">
        <v>50</v>
      </c>
      <c r="S204" s="112">
        <v>1112</v>
      </c>
      <c r="T204" s="112">
        <v>264</v>
      </c>
      <c r="U204" s="112">
        <v>5</v>
      </c>
      <c r="V204" s="112">
        <v>829</v>
      </c>
      <c r="W204" s="141">
        <f t="shared" si="0"/>
        <v>5.814078782077714E-2</v>
      </c>
      <c r="X204" s="141">
        <f t="shared" si="1"/>
        <v>0.71076923076923082</v>
      </c>
      <c r="Y204" s="141">
        <f t="shared" si="2"/>
        <v>7.6923076923076927E-2</v>
      </c>
      <c r="Z204" s="83">
        <f t="shared" si="3"/>
        <v>0.23741007194244604</v>
      </c>
      <c r="AA204" s="142">
        <f t="shared" si="4"/>
        <v>57.6</v>
      </c>
      <c r="AB204" s="142">
        <f t="shared" si="5"/>
        <v>4.1020408163265305</v>
      </c>
      <c r="AC204" s="142">
        <f t="shared" si="6"/>
        <v>124.40197841726618</v>
      </c>
      <c r="AD204" s="143">
        <f t="shared" si="7"/>
        <v>0.17647058823529413</v>
      </c>
      <c r="AE204" s="143">
        <f t="shared" si="8"/>
        <v>0.25365853658536586</v>
      </c>
      <c r="AF204" s="141">
        <f t="shared" si="9"/>
        <v>0.86274509803921573</v>
      </c>
      <c r="AG204" s="144">
        <f t="shared" si="10"/>
        <v>2.64</v>
      </c>
      <c r="AH204" s="145">
        <f t="shared" si="11"/>
        <v>0.64390243902439026</v>
      </c>
      <c r="AI204" s="8">
        <f ca="1">IFERROR(__xludf.DUMMYFUNCTION("GOOGLEFINANCE(""BOM:""&amp;A204,""PE"")"),6.72)</f>
        <v>6.72</v>
      </c>
      <c r="AJ204" s="141">
        <f t="shared" ca="1" si="12"/>
        <v>0.14903299203640502</v>
      </c>
      <c r="AK204" s="142">
        <f t="shared" si="13"/>
        <v>3.06</v>
      </c>
      <c r="AL204" s="105">
        <f t="shared" si="14"/>
        <v>5.7450980392156854</v>
      </c>
    </row>
    <row r="205" spans="1:38" ht="14.4">
      <c r="A205" s="139">
        <v>507552</v>
      </c>
      <c r="B205" s="140" t="s">
        <v>184</v>
      </c>
      <c r="C205" s="62">
        <v>130.15</v>
      </c>
      <c r="D205" s="52">
        <v>738</v>
      </c>
      <c r="E205" s="144"/>
      <c r="F205" s="144"/>
      <c r="G205" s="144"/>
      <c r="H205" s="144"/>
      <c r="I205" s="144"/>
      <c r="J205" s="144"/>
      <c r="K205" s="148"/>
      <c r="L205" s="144"/>
      <c r="M205" s="148"/>
      <c r="N205" s="148"/>
      <c r="O205" s="143"/>
      <c r="P205" s="148"/>
      <c r="Q205" s="148"/>
      <c r="R205" s="148"/>
      <c r="S205" s="148"/>
      <c r="T205" s="148"/>
      <c r="U205" s="148"/>
      <c r="V205" s="148"/>
      <c r="W205" s="148"/>
      <c r="X205" s="148"/>
      <c r="Y205" s="148"/>
      <c r="AA205" s="148"/>
      <c r="AB205" s="148"/>
      <c r="AC205" s="148"/>
      <c r="AD205" s="148"/>
      <c r="AE205" s="148"/>
      <c r="AF205" s="148"/>
      <c r="AG205" s="148"/>
      <c r="AH205" s="148"/>
      <c r="AI205" s="148"/>
      <c r="AJ205" s="148"/>
      <c r="AK205" s="148"/>
      <c r="AL205" s="148"/>
    </row>
    <row r="206" spans="1:38" ht="14.4">
      <c r="A206" s="139">
        <v>531889</v>
      </c>
      <c r="B206" s="140" t="s">
        <v>185</v>
      </c>
      <c r="C206" s="62">
        <v>629</v>
      </c>
      <c r="D206" s="52">
        <v>603</v>
      </c>
      <c r="E206" s="144"/>
      <c r="F206" s="144"/>
      <c r="G206" s="144"/>
      <c r="H206" s="144"/>
      <c r="I206" s="144"/>
      <c r="J206" s="144"/>
      <c r="K206" s="148"/>
      <c r="L206" s="144"/>
      <c r="M206" s="148"/>
      <c r="N206" s="148"/>
      <c r="O206" s="143"/>
      <c r="P206" s="148"/>
      <c r="Q206" s="148"/>
      <c r="R206" s="148"/>
      <c r="S206" s="148"/>
      <c r="T206" s="148"/>
      <c r="U206" s="148"/>
      <c r="V206" s="148"/>
      <c r="W206" s="148"/>
      <c r="X206" s="148"/>
      <c r="Y206" s="148"/>
      <c r="AA206" s="148"/>
      <c r="AB206" s="148"/>
      <c r="AC206" s="148"/>
      <c r="AD206" s="148"/>
      <c r="AE206" s="148"/>
      <c r="AF206" s="148"/>
      <c r="AG206" s="148"/>
      <c r="AH206" s="148"/>
      <c r="AI206" s="148"/>
      <c r="AJ206" s="148"/>
      <c r="AK206" s="148"/>
      <c r="AL206" s="148"/>
    </row>
    <row r="207" spans="1:38" ht="14.4">
      <c r="A207" s="139">
        <v>523475</v>
      </c>
      <c r="B207" s="140" t="s">
        <v>186</v>
      </c>
      <c r="C207" s="62">
        <v>345</v>
      </c>
      <c r="D207" s="52">
        <v>443</v>
      </c>
      <c r="E207" s="144"/>
      <c r="F207" s="144"/>
      <c r="G207" s="144"/>
      <c r="H207" s="144"/>
      <c r="I207" s="144"/>
      <c r="J207" s="144"/>
      <c r="K207" s="148"/>
      <c r="L207" s="144"/>
      <c r="M207" s="148"/>
      <c r="N207" s="148"/>
      <c r="O207" s="143"/>
      <c r="P207" s="148"/>
      <c r="Q207" s="148"/>
      <c r="R207" s="148"/>
      <c r="S207" s="148"/>
      <c r="T207" s="148"/>
      <c r="U207" s="148"/>
      <c r="V207" s="148"/>
      <c r="W207" s="148"/>
      <c r="X207" s="148"/>
      <c r="Y207" s="148"/>
      <c r="AA207" s="148"/>
      <c r="AB207" s="148"/>
      <c r="AC207" s="148"/>
      <c r="AD207" s="148"/>
      <c r="AE207" s="148"/>
      <c r="AF207" s="148"/>
      <c r="AG207" s="148"/>
      <c r="AH207" s="148"/>
      <c r="AI207" s="148"/>
      <c r="AJ207" s="148"/>
      <c r="AK207" s="148"/>
      <c r="AL207" s="148"/>
    </row>
    <row r="208" spans="1:38" ht="14.4">
      <c r="A208" s="139">
        <v>519295</v>
      </c>
      <c r="B208" s="140" t="s">
        <v>187</v>
      </c>
      <c r="C208" s="62">
        <v>333.5</v>
      </c>
      <c r="D208" s="52">
        <v>267</v>
      </c>
      <c r="E208" s="144"/>
      <c r="F208" s="144"/>
      <c r="G208" s="144"/>
      <c r="H208" s="144"/>
      <c r="I208" s="144"/>
      <c r="J208" s="144"/>
      <c r="K208" s="148"/>
      <c r="L208" s="144"/>
      <c r="M208" s="148"/>
      <c r="N208" s="148"/>
      <c r="O208" s="143"/>
      <c r="P208" s="148"/>
      <c r="Q208" s="148"/>
      <c r="R208" s="148"/>
      <c r="S208" s="148"/>
      <c r="T208" s="148"/>
      <c r="U208" s="148"/>
      <c r="V208" s="148"/>
      <c r="W208" s="148"/>
      <c r="X208" s="148"/>
      <c r="Y208" s="148"/>
      <c r="AA208" s="148"/>
      <c r="AB208" s="148"/>
      <c r="AC208" s="148"/>
      <c r="AD208" s="148"/>
      <c r="AE208" s="148"/>
      <c r="AF208" s="148"/>
      <c r="AG208" s="148"/>
      <c r="AH208" s="148"/>
      <c r="AI208" s="148"/>
      <c r="AJ208" s="148"/>
      <c r="AK208" s="148"/>
      <c r="AL208" s="148"/>
    </row>
    <row r="209" spans="1:38" ht="14.4">
      <c r="A209" s="139">
        <v>540332</v>
      </c>
      <c r="B209" s="140" t="s">
        <v>188</v>
      </c>
      <c r="C209" s="62">
        <v>163.15</v>
      </c>
      <c r="D209" s="52">
        <v>170</v>
      </c>
      <c r="E209" s="148"/>
      <c r="F209" s="148"/>
      <c r="G209" s="148"/>
      <c r="H209" s="148"/>
      <c r="I209" s="148"/>
      <c r="J209" s="148"/>
      <c r="K209" s="148"/>
      <c r="L209" s="148"/>
      <c r="M209" s="148"/>
      <c r="N209" s="148"/>
      <c r="O209" s="148"/>
      <c r="P209" s="148"/>
      <c r="Q209" s="148"/>
      <c r="R209" s="148"/>
      <c r="S209" s="148"/>
      <c r="T209" s="148"/>
      <c r="U209" s="148"/>
      <c r="V209" s="148"/>
      <c r="W209" s="148"/>
      <c r="X209" s="148"/>
      <c r="Y209" s="148"/>
      <c r="AA209" s="148"/>
      <c r="AB209" s="148"/>
      <c r="AC209" s="148"/>
      <c r="AD209" s="148"/>
      <c r="AE209" s="148"/>
      <c r="AF209" s="148"/>
      <c r="AG209" s="148"/>
      <c r="AH209" s="148"/>
      <c r="AI209" s="148"/>
      <c r="AJ209" s="148"/>
      <c r="AK209" s="148"/>
      <c r="AL209" s="148"/>
    </row>
    <row r="210" spans="1:38" ht="14.4">
      <c r="A210" s="139">
        <v>540648</v>
      </c>
      <c r="B210" s="140" t="s">
        <v>189</v>
      </c>
      <c r="C210" s="62">
        <v>120.35</v>
      </c>
      <c r="D210" s="52">
        <v>117</v>
      </c>
      <c r="E210" s="148"/>
      <c r="F210" s="148"/>
      <c r="G210" s="148"/>
      <c r="H210" s="148"/>
      <c r="I210" s="148"/>
      <c r="J210" s="148"/>
      <c r="K210" s="148"/>
      <c r="L210" s="148"/>
      <c r="M210" s="148"/>
      <c r="N210" s="148"/>
      <c r="O210" s="148"/>
      <c r="P210" s="148"/>
      <c r="Q210" s="148"/>
      <c r="R210" s="148"/>
      <c r="S210" s="148"/>
      <c r="T210" s="148"/>
      <c r="U210" s="148"/>
      <c r="V210" s="148"/>
      <c r="W210" s="148"/>
      <c r="X210" s="148"/>
      <c r="Y210" s="148"/>
      <c r="AA210" s="148"/>
      <c r="AB210" s="148"/>
      <c r="AC210" s="148"/>
      <c r="AD210" s="148"/>
      <c r="AE210" s="148"/>
      <c r="AF210" s="148"/>
      <c r="AG210" s="148"/>
      <c r="AH210" s="148"/>
      <c r="AI210" s="148"/>
      <c r="AJ210" s="148"/>
      <c r="AK210" s="148"/>
      <c r="AL210" s="148"/>
    </row>
    <row r="211" spans="1:38" ht="14.4">
      <c r="A211" s="139">
        <v>532070</v>
      </c>
      <c r="B211" s="140" t="s">
        <v>190</v>
      </c>
      <c r="C211" s="62">
        <v>162</v>
      </c>
      <c r="D211" s="52">
        <v>115</v>
      </c>
      <c r="E211" s="148"/>
      <c r="F211" s="148"/>
      <c r="G211" s="148"/>
      <c r="H211" s="148"/>
      <c r="I211" s="148"/>
      <c r="J211" s="148"/>
      <c r="K211" s="148"/>
      <c r="L211" s="148"/>
      <c r="M211" s="148"/>
      <c r="N211" s="148"/>
      <c r="O211" s="148"/>
      <c r="P211" s="148"/>
      <c r="Q211" s="148"/>
      <c r="R211" s="148"/>
      <c r="S211" s="148"/>
      <c r="T211" s="148"/>
      <c r="U211" s="148"/>
      <c r="V211" s="148"/>
      <c r="W211" s="148"/>
      <c r="X211" s="148"/>
      <c r="Y211" s="148"/>
      <c r="AA211" s="148"/>
      <c r="AB211" s="148"/>
      <c r="AC211" s="148"/>
      <c r="AD211" s="148"/>
      <c r="AE211" s="148"/>
      <c r="AF211" s="148"/>
      <c r="AG211" s="148"/>
      <c r="AH211" s="148"/>
      <c r="AI211" s="148"/>
      <c r="AJ211" s="148"/>
      <c r="AK211" s="148"/>
      <c r="AL211" s="148"/>
    </row>
    <row r="212" spans="1:38" ht="14.4">
      <c r="A212" s="139">
        <v>511153</v>
      </c>
      <c r="B212" s="140" t="s">
        <v>191</v>
      </c>
      <c r="C212" s="62">
        <v>31.9</v>
      </c>
      <c r="D212" s="52">
        <v>89</v>
      </c>
      <c r="E212" s="148"/>
      <c r="F212" s="148"/>
      <c r="G212" s="148"/>
      <c r="H212" s="148"/>
      <c r="I212" s="148"/>
      <c r="J212" s="148"/>
      <c r="K212" s="148"/>
      <c r="L212" s="148"/>
      <c r="M212" s="148"/>
      <c r="N212" s="148"/>
      <c r="O212" s="148"/>
      <c r="P212" s="148"/>
      <c r="Q212" s="148"/>
      <c r="R212" s="148"/>
      <c r="S212" s="148"/>
      <c r="T212" s="148"/>
      <c r="U212" s="148"/>
      <c r="V212" s="148"/>
      <c r="W212" s="148"/>
      <c r="X212" s="148"/>
      <c r="Y212" s="148"/>
      <c r="AA212" s="148"/>
      <c r="AB212" s="148"/>
      <c r="AC212" s="148"/>
      <c r="AD212" s="148"/>
      <c r="AE212" s="148"/>
      <c r="AF212" s="148"/>
      <c r="AG212" s="148"/>
      <c r="AH212" s="148"/>
      <c r="AI212" s="148"/>
      <c r="AJ212" s="148"/>
      <c r="AK212" s="148"/>
      <c r="AL212" s="148"/>
    </row>
    <row r="213" spans="1:38" ht="14.4">
      <c r="A213" s="139">
        <v>540850</v>
      </c>
      <c r="B213" s="140" t="s">
        <v>192</v>
      </c>
      <c r="C213" s="62">
        <v>77.87</v>
      </c>
      <c r="D213" s="52">
        <v>80</v>
      </c>
      <c r="E213" s="148"/>
      <c r="F213" s="148"/>
      <c r="G213" s="148"/>
      <c r="H213" s="148"/>
      <c r="I213" s="148"/>
      <c r="J213" s="148"/>
      <c r="K213" s="148"/>
      <c r="L213" s="148"/>
      <c r="M213" s="148"/>
      <c r="N213" s="148"/>
      <c r="O213" s="148"/>
      <c r="P213" s="148"/>
      <c r="Q213" s="148"/>
      <c r="R213" s="148"/>
      <c r="S213" s="148"/>
      <c r="T213" s="148"/>
      <c r="U213" s="148"/>
      <c r="V213" s="148"/>
      <c r="W213" s="148"/>
      <c r="X213" s="148"/>
      <c r="Y213" s="148"/>
      <c r="AA213" s="148"/>
      <c r="AB213" s="148"/>
      <c r="AC213" s="148"/>
      <c r="AD213" s="148"/>
      <c r="AE213" s="148"/>
      <c r="AF213" s="148"/>
      <c r="AG213" s="148"/>
      <c r="AH213" s="148"/>
      <c r="AI213" s="148"/>
      <c r="AJ213" s="148"/>
      <c r="AK213" s="148"/>
      <c r="AL213" s="148"/>
    </row>
    <row r="214" spans="1:38" ht="14.4">
      <c r="A214" s="139">
        <v>541418</v>
      </c>
      <c r="B214" s="140" t="s">
        <v>193</v>
      </c>
      <c r="C214" s="62">
        <v>50.34</v>
      </c>
      <c r="D214" s="52">
        <v>64</v>
      </c>
      <c r="E214" s="148"/>
      <c r="F214" s="148"/>
      <c r="G214" s="148"/>
      <c r="H214" s="148"/>
      <c r="I214" s="148"/>
      <c r="J214" s="148"/>
      <c r="K214" s="148"/>
      <c r="L214" s="148"/>
      <c r="M214" s="148"/>
      <c r="N214" s="148"/>
      <c r="O214" s="148"/>
      <c r="P214" s="148"/>
      <c r="Q214" s="148"/>
      <c r="R214" s="148"/>
      <c r="S214" s="148"/>
      <c r="T214" s="148"/>
      <c r="U214" s="148"/>
      <c r="V214" s="148"/>
      <c r="W214" s="148"/>
      <c r="X214" s="148"/>
      <c r="Y214" s="148"/>
      <c r="AA214" s="148"/>
      <c r="AB214" s="148"/>
      <c r="AC214" s="148"/>
      <c r="AD214" s="148"/>
      <c r="AE214" s="148"/>
      <c r="AF214" s="148"/>
      <c r="AG214" s="148"/>
      <c r="AH214" s="148"/>
      <c r="AI214" s="148"/>
      <c r="AJ214" s="148"/>
      <c r="AK214" s="148"/>
      <c r="AL214" s="148"/>
    </row>
    <row r="215" spans="1:38" ht="14.4">
      <c r="A215" s="139">
        <v>506186</v>
      </c>
      <c r="B215" s="140" t="s">
        <v>194</v>
      </c>
      <c r="C215" s="62">
        <v>12.44</v>
      </c>
      <c r="D215" s="52">
        <v>56</v>
      </c>
      <c r="E215" s="148"/>
      <c r="F215" s="148"/>
      <c r="G215" s="148"/>
      <c r="H215" s="148"/>
      <c r="I215" s="148"/>
      <c r="J215" s="148"/>
      <c r="K215" s="148"/>
      <c r="L215" s="148"/>
      <c r="M215" s="148"/>
      <c r="N215" s="148"/>
      <c r="O215" s="148"/>
      <c r="P215" s="148"/>
      <c r="Q215" s="148"/>
      <c r="R215" s="148"/>
      <c r="S215" s="148"/>
      <c r="T215" s="148"/>
      <c r="U215" s="148"/>
      <c r="V215" s="148"/>
      <c r="W215" s="148"/>
      <c r="X215" s="148"/>
      <c r="Y215" s="148"/>
      <c r="AA215" s="148"/>
      <c r="AB215" s="148"/>
      <c r="AC215" s="148"/>
      <c r="AD215" s="148"/>
      <c r="AE215" s="148"/>
      <c r="AF215" s="148"/>
      <c r="AG215" s="148"/>
      <c r="AH215" s="148"/>
      <c r="AI215" s="148"/>
      <c r="AJ215" s="148"/>
      <c r="AK215" s="148"/>
      <c r="AL215" s="148"/>
    </row>
    <row r="216" spans="1:38" ht="14.4">
      <c r="A216" s="139">
        <v>530617</v>
      </c>
      <c r="B216" s="140" t="s">
        <v>195</v>
      </c>
      <c r="C216" s="62">
        <v>68.25</v>
      </c>
      <c r="D216" s="52">
        <v>50</v>
      </c>
      <c r="E216" s="148"/>
      <c r="F216" s="148"/>
      <c r="G216" s="148"/>
      <c r="H216" s="148"/>
      <c r="I216" s="148"/>
      <c r="J216" s="148"/>
      <c r="K216" s="148"/>
      <c r="L216" s="148"/>
      <c r="M216" s="148"/>
      <c r="N216" s="148"/>
      <c r="O216" s="148"/>
      <c r="P216" s="148"/>
      <c r="Q216" s="148"/>
      <c r="R216" s="148"/>
      <c r="S216" s="148"/>
      <c r="T216" s="148"/>
      <c r="U216" s="148"/>
      <c r="V216" s="148"/>
      <c r="W216" s="148"/>
      <c r="X216" s="148"/>
      <c r="Y216" s="148"/>
      <c r="AA216" s="148"/>
      <c r="AB216" s="148"/>
      <c r="AC216" s="148"/>
      <c r="AD216" s="148"/>
      <c r="AE216" s="148"/>
      <c r="AF216" s="148"/>
      <c r="AG216" s="148"/>
      <c r="AH216" s="148"/>
      <c r="AI216" s="148"/>
      <c r="AJ216" s="148"/>
      <c r="AK216" s="148"/>
      <c r="AL216" s="148"/>
    </row>
    <row r="217" spans="1:38" ht="14.4">
      <c r="A217" s="139">
        <v>514171</v>
      </c>
      <c r="B217" s="140" t="s">
        <v>196</v>
      </c>
      <c r="C217" s="62">
        <v>32.35</v>
      </c>
      <c r="D217" s="52">
        <v>47</v>
      </c>
      <c r="E217" s="148"/>
      <c r="F217" s="148"/>
      <c r="G217" s="148"/>
      <c r="H217" s="148"/>
      <c r="I217" s="148"/>
      <c r="J217" s="148"/>
      <c r="K217" s="148"/>
      <c r="L217" s="148"/>
      <c r="M217" s="148"/>
      <c r="N217" s="148"/>
      <c r="O217" s="148"/>
      <c r="P217" s="148"/>
      <c r="Q217" s="148"/>
      <c r="R217" s="148"/>
      <c r="S217" s="148"/>
      <c r="T217" s="148"/>
      <c r="U217" s="148"/>
      <c r="V217" s="148"/>
      <c r="W217" s="148"/>
      <c r="X217" s="148"/>
      <c r="Y217" s="148"/>
      <c r="AA217" s="148"/>
      <c r="AB217" s="148"/>
      <c r="AC217" s="148"/>
      <c r="AD217" s="148"/>
      <c r="AE217" s="148"/>
      <c r="AF217" s="148"/>
      <c r="AG217" s="148"/>
      <c r="AH217" s="148"/>
      <c r="AI217" s="148"/>
      <c r="AJ217" s="148"/>
      <c r="AK217" s="148"/>
      <c r="AL217" s="148"/>
    </row>
    <row r="218" spans="1:38" ht="14.4">
      <c r="A218" s="139">
        <v>530217</v>
      </c>
      <c r="B218" s="140" t="s">
        <v>197</v>
      </c>
      <c r="C218" s="62">
        <v>10.95</v>
      </c>
      <c r="D218" s="52">
        <v>34</v>
      </c>
      <c r="E218" s="148"/>
      <c r="F218" s="148"/>
      <c r="G218" s="148"/>
      <c r="H218" s="148"/>
      <c r="I218" s="148"/>
      <c r="J218" s="148"/>
      <c r="K218" s="148"/>
      <c r="L218" s="148"/>
      <c r="M218" s="148"/>
      <c r="N218" s="148"/>
      <c r="O218" s="148"/>
      <c r="P218" s="148"/>
      <c r="Q218" s="148"/>
      <c r="R218" s="148"/>
      <c r="S218" s="148"/>
      <c r="T218" s="148"/>
      <c r="U218" s="148"/>
      <c r="V218" s="148"/>
      <c r="W218" s="148"/>
      <c r="X218" s="148"/>
      <c r="Y218" s="148"/>
      <c r="AA218" s="148"/>
      <c r="AB218" s="148"/>
      <c r="AC218" s="148"/>
      <c r="AD218" s="148"/>
      <c r="AE218" s="148"/>
      <c r="AF218" s="148"/>
      <c r="AG218" s="148"/>
      <c r="AH218" s="148"/>
      <c r="AI218" s="148"/>
      <c r="AJ218" s="148"/>
      <c r="AK218" s="148"/>
      <c r="AL218" s="148"/>
    </row>
    <row r="219" spans="1:38" ht="14.4">
      <c r="A219" s="139">
        <v>519475</v>
      </c>
      <c r="B219" s="140" t="s">
        <v>198</v>
      </c>
      <c r="C219" s="62">
        <v>83</v>
      </c>
      <c r="D219" s="52">
        <v>33</v>
      </c>
      <c r="E219" s="148"/>
      <c r="F219" s="148"/>
      <c r="G219" s="148"/>
      <c r="H219" s="148"/>
      <c r="I219" s="148"/>
      <c r="J219" s="148"/>
      <c r="K219" s="148"/>
      <c r="L219" s="148"/>
      <c r="M219" s="148"/>
      <c r="N219" s="148"/>
      <c r="O219" s="148"/>
      <c r="P219" s="148"/>
      <c r="Q219" s="148"/>
      <c r="R219" s="148"/>
      <c r="S219" s="148"/>
      <c r="T219" s="148"/>
      <c r="U219" s="148"/>
      <c r="V219" s="148"/>
      <c r="W219" s="148"/>
      <c r="X219" s="148"/>
      <c r="Y219" s="148"/>
      <c r="AA219" s="148"/>
      <c r="AB219" s="148"/>
      <c r="AC219" s="148"/>
      <c r="AD219" s="148"/>
      <c r="AE219" s="148"/>
      <c r="AF219" s="148"/>
      <c r="AG219" s="148"/>
      <c r="AH219" s="148"/>
      <c r="AI219" s="148"/>
      <c r="AJ219" s="148"/>
      <c r="AK219" s="148"/>
      <c r="AL219" s="148"/>
    </row>
    <row r="220" spans="1:38" ht="14.4">
      <c r="A220" s="139">
        <v>526345</v>
      </c>
      <c r="B220" s="140" t="s">
        <v>199</v>
      </c>
      <c r="C220" s="62">
        <v>19.13</v>
      </c>
      <c r="D220" s="52">
        <v>30</v>
      </c>
      <c r="E220" s="148"/>
      <c r="F220" s="148"/>
      <c r="G220" s="148"/>
      <c r="H220" s="148"/>
      <c r="I220" s="148"/>
      <c r="J220" s="148"/>
      <c r="K220" s="148"/>
      <c r="L220" s="148"/>
      <c r="M220" s="148"/>
      <c r="N220" s="148"/>
      <c r="O220" s="148"/>
      <c r="P220" s="148"/>
      <c r="Q220" s="148"/>
      <c r="R220" s="148"/>
      <c r="S220" s="148"/>
      <c r="T220" s="148"/>
      <c r="U220" s="148"/>
      <c r="V220" s="148"/>
      <c r="W220" s="148"/>
      <c r="X220" s="148"/>
      <c r="Y220" s="148"/>
      <c r="AA220" s="148"/>
      <c r="AB220" s="148"/>
      <c r="AC220" s="148"/>
      <c r="AD220" s="148"/>
      <c r="AE220" s="148"/>
      <c r="AF220" s="148"/>
      <c r="AG220" s="148"/>
      <c r="AH220" s="148"/>
      <c r="AI220" s="148"/>
      <c r="AJ220" s="148"/>
      <c r="AK220" s="148"/>
      <c r="AL220" s="148"/>
    </row>
    <row r="221" spans="1:38" ht="14.4">
      <c r="A221" s="139">
        <v>540681</v>
      </c>
      <c r="B221" s="140" t="s">
        <v>200</v>
      </c>
      <c r="C221" s="62">
        <v>25.5</v>
      </c>
      <c r="D221" s="52">
        <v>26</v>
      </c>
      <c r="E221" s="148"/>
      <c r="F221" s="148"/>
      <c r="G221" s="148"/>
      <c r="H221" s="148"/>
      <c r="I221" s="148"/>
      <c r="J221" s="148"/>
      <c r="K221" s="148"/>
      <c r="L221" s="148"/>
      <c r="M221" s="148"/>
      <c r="N221" s="148"/>
      <c r="O221" s="148"/>
      <c r="P221" s="148"/>
      <c r="Q221" s="148"/>
      <c r="R221" s="148"/>
      <c r="S221" s="148"/>
      <c r="T221" s="148"/>
      <c r="U221" s="148"/>
      <c r="V221" s="148"/>
      <c r="W221" s="148"/>
      <c r="X221" s="148"/>
      <c r="Y221" s="148"/>
      <c r="AA221" s="148"/>
      <c r="AB221" s="148"/>
      <c r="AC221" s="148"/>
      <c r="AD221" s="148"/>
      <c r="AE221" s="148"/>
      <c r="AF221" s="148"/>
      <c r="AG221" s="148"/>
      <c r="AH221" s="148"/>
      <c r="AI221" s="148"/>
      <c r="AJ221" s="148"/>
      <c r="AK221" s="148"/>
      <c r="AL221" s="148"/>
    </row>
    <row r="222" spans="1:38" ht="14.4">
      <c r="A222" s="139">
        <v>542935</v>
      </c>
      <c r="B222" s="140" t="s">
        <v>201</v>
      </c>
      <c r="C222" s="62">
        <v>39.71</v>
      </c>
      <c r="D222" s="52">
        <v>24</v>
      </c>
      <c r="E222" s="148"/>
      <c r="F222" s="148"/>
      <c r="G222" s="148"/>
      <c r="H222" s="148"/>
      <c r="I222" s="148"/>
      <c r="J222" s="148"/>
      <c r="K222" s="148"/>
      <c r="L222" s="148"/>
      <c r="M222" s="148"/>
      <c r="N222" s="148"/>
      <c r="O222" s="148"/>
      <c r="P222" s="148"/>
      <c r="Q222" s="148"/>
      <c r="R222" s="148"/>
      <c r="S222" s="148"/>
      <c r="T222" s="148"/>
      <c r="U222" s="148"/>
      <c r="V222" s="148"/>
      <c r="W222" s="148"/>
      <c r="X222" s="148"/>
      <c r="Y222" s="148"/>
      <c r="AA222" s="148"/>
      <c r="AB222" s="148"/>
      <c r="AC222" s="148"/>
      <c r="AD222" s="148"/>
      <c r="AE222" s="148"/>
      <c r="AF222" s="148"/>
      <c r="AG222" s="148"/>
      <c r="AH222" s="148"/>
      <c r="AI222" s="148"/>
      <c r="AJ222" s="148"/>
      <c r="AK222" s="148"/>
      <c r="AL222" s="148"/>
    </row>
    <row r="223" spans="1:38" ht="14.4">
      <c r="A223" s="139">
        <v>519415</v>
      </c>
      <c r="B223" s="140" t="s">
        <v>202</v>
      </c>
      <c r="C223" s="62">
        <v>36.58</v>
      </c>
      <c r="D223" s="52">
        <v>19</v>
      </c>
      <c r="E223" s="148"/>
      <c r="F223" s="148"/>
      <c r="G223" s="148"/>
      <c r="H223" s="148"/>
      <c r="I223" s="148"/>
      <c r="J223" s="148"/>
      <c r="K223" s="148"/>
      <c r="L223" s="148"/>
      <c r="M223" s="148"/>
      <c r="N223" s="148"/>
      <c r="O223" s="148"/>
      <c r="P223" s="148"/>
      <c r="Q223" s="148"/>
      <c r="R223" s="148"/>
      <c r="S223" s="148"/>
      <c r="T223" s="148"/>
      <c r="U223" s="148"/>
      <c r="V223" s="148"/>
      <c r="W223" s="148"/>
      <c r="X223" s="148"/>
      <c r="Y223" s="148"/>
      <c r="AA223" s="148"/>
      <c r="AB223" s="148"/>
      <c r="AC223" s="148"/>
      <c r="AD223" s="148"/>
      <c r="AE223" s="148"/>
      <c r="AF223" s="148"/>
      <c r="AG223" s="148"/>
      <c r="AH223" s="148"/>
      <c r="AI223" s="148"/>
      <c r="AJ223" s="148"/>
      <c r="AK223" s="148"/>
      <c r="AL223" s="148"/>
    </row>
    <row r="224" spans="1:38" ht="14.4">
      <c r="A224" s="139">
        <v>530735</v>
      </c>
      <c r="B224" s="140" t="s">
        <v>203</v>
      </c>
      <c r="C224" s="62">
        <v>31</v>
      </c>
      <c r="D224" s="52">
        <v>9</v>
      </c>
      <c r="E224" s="148"/>
      <c r="F224" s="148"/>
      <c r="G224" s="148"/>
      <c r="H224" s="148"/>
      <c r="I224" s="148"/>
      <c r="J224" s="148"/>
      <c r="K224" s="148"/>
      <c r="L224" s="148"/>
      <c r="M224" s="148"/>
      <c r="N224" s="148"/>
      <c r="O224" s="148"/>
      <c r="P224" s="148"/>
      <c r="Q224" s="148"/>
      <c r="R224" s="148"/>
      <c r="S224" s="148"/>
      <c r="T224" s="148"/>
      <c r="U224" s="148"/>
      <c r="V224" s="148"/>
      <c r="W224" s="148"/>
      <c r="X224" s="148"/>
      <c r="Y224" s="148"/>
      <c r="AA224" s="148"/>
      <c r="AB224" s="148"/>
      <c r="AC224" s="148"/>
      <c r="AD224" s="148"/>
      <c r="AE224" s="148"/>
      <c r="AF224" s="148"/>
      <c r="AG224" s="148"/>
      <c r="AH224" s="148"/>
      <c r="AI224" s="148"/>
      <c r="AJ224" s="148"/>
      <c r="AK224" s="148"/>
      <c r="AL224" s="148"/>
    </row>
    <row r="225" spans="1:38" ht="14.4">
      <c r="A225" s="139">
        <v>543924</v>
      </c>
      <c r="B225" s="140" t="s">
        <v>204</v>
      </c>
      <c r="C225" s="62">
        <v>34.03</v>
      </c>
      <c r="D225" s="52">
        <v>7</v>
      </c>
      <c r="E225" s="148"/>
      <c r="F225" s="148"/>
      <c r="G225" s="148"/>
      <c r="H225" s="148"/>
      <c r="I225" s="148"/>
      <c r="J225" s="148"/>
      <c r="K225" s="148"/>
      <c r="L225" s="148"/>
      <c r="M225" s="148"/>
      <c r="N225" s="148"/>
      <c r="O225" s="148"/>
      <c r="P225" s="148"/>
      <c r="Q225" s="148"/>
      <c r="R225" s="148"/>
      <c r="S225" s="148"/>
      <c r="T225" s="148"/>
      <c r="U225" s="148"/>
      <c r="V225" s="148"/>
      <c r="W225" s="148"/>
      <c r="X225" s="148"/>
      <c r="Y225" s="148"/>
      <c r="AA225" s="148"/>
      <c r="AB225" s="148"/>
      <c r="AC225" s="148"/>
      <c r="AD225" s="148"/>
      <c r="AE225" s="148"/>
      <c r="AF225" s="148"/>
      <c r="AG225" s="148"/>
      <c r="AH225" s="148"/>
      <c r="AI225" s="148"/>
      <c r="AJ225" s="148"/>
      <c r="AK225" s="148"/>
      <c r="AL225" s="148"/>
    </row>
    <row r="226" spans="1:38" ht="14.4">
      <c r="A226" s="139">
        <v>531925</v>
      </c>
      <c r="B226" s="140" t="s">
        <v>205</v>
      </c>
      <c r="C226" s="62">
        <v>1.62</v>
      </c>
      <c r="D226" s="52">
        <v>6</v>
      </c>
      <c r="E226" s="148"/>
      <c r="F226" s="148"/>
      <c r="G226" s="148"/>
      <c r="H226" s="148"/>
      <c r="I226" s="148"/>
      <c r="J226" s="148"/>
      <c r="K226" s="148"/>
      <c r="L226" s="148"/>
      <c r="M226" s="148"/>
      <c r="N226" s="148"/>
      <c r="O226" s="148"/>
      <c r="P226" s="148"/>
      <c r="Q226" s="148"/>
      <c r="R226" s="148"/>
      <c r="S226" s="148"/>
      <c r="T226" s="148"/>
      <c r="U226" s="148"/>
      <c r="V226" s="148"/>
      <c r="W226" s="148"/>
      <c r="X226" s="148"/>
      <c r="Y226" s="148"/>
      <c r="AA226" s="148"/>
      <c r="AB226" s="148"/>
      <c r="AC226" s="148"/>
      <c r="AD226" s="148"/>
      <c r="AE226" s="148"/>
      <c r="AF226" s="148"/>
      <c r="AG226" s="148"/>
      <c r="AH226" s="148"/>
      <c r="AI226" s="148"/>
      <c r="AJ226" s="148"/>
      <c r="AK226" s="148"/>
      <c r="AL226" s="148"/>
    </row>
    <row r="228" spans="1:38" ht="14.4">
      <c r="B228" s="39" t="s">
        <v>146</v>
      </c>
      <c r="D228" s="105">
        <f t="shared" ref="D228:L228" si="15">SUM(D194:D226)</f>
        <v>427647</v>
      </c>
      <c r="E228" s="105">
        <f t="shared" si="15"/>
        <v>18302</v>
      </c>
      <c r="F228" s="105">
        <f t="shared" si="15"/>
        <v>14832</v>
      </c>
      <c r="G228" s="105">
        <f t="shared" si="15"/>
        <v>43446</v>
      </c>
      <c r="H228" s="105">
        <f t="shared" si="15"/>
        <v>23409</v>
      </c>
      <c r="I228" s="105">
        <f t="shared" si="15"/>
        <v>428</v>
      </c>
      <c r="J228" s="105">
        <f t="shared" si="15"/>
        <v>20022</v>
      </c>
      <c r="K228" s="39">
        <f t="shared" si="15"/>
        <v>3577</v>
      </c>
      <c r="L228" s="105">
        <f t="shared" si="15"/>
        <v>2081</v>
      </c>
      <c r="M228" s="39">
        <f>MEDIAN(M194:M226)</f>
        <v>2</v>
      </c>
      <c r="N228" s="105">
        <f t="shared" ref="N228:V228" ca="1" si="16">SUM(N194:N226)</f>
        <v>244.49</v>
      </c>
      <c r="O228" s="105">
        <f t="shared" si="16"/>
        <v>35367</v>
      </c>
      <c r="P228" s="105">
        <f t="shared" si="16"/>
        <v>3701</v>
      </c>
      <c r="Q228" s="105">
        <f t="shared" si="16"/>
        <v>61915</v>
      </c>
      <c r="R228" s="105">
        <f t="shared" si="16"/>
        <v>4966</v>
      </c>
      <c r="S228" s="105">
        <f t="shared" si="16"/>
        <v>64021</v>
      </c>
      <c r="T228" s="105">
        <f t="shared" si="16"/>
        <v>6114</v>
      </c>
      <c r="U228" s="39">
        <f t="shared" si="16"/>
        <v>813</v>
      </c>
      <c r="V228" s="39">
        <f t="shared" si="16"/>
        <v>52276</v>
      </c>
      <c r="W228" s="141">
        <f>(Q228/O228)^(1/5)-1</f>
        <v>0.11850912363024046</v>
      </c>
      <c r="X228" s="141">
        <f>(S228/Q228)-1</f>
        <v>3.4014374545748183E-2</v>
      </c>
      <c r="Y228" s="141">
        <f>R228/Q228</f>
        <v>8.0206735039974164E-2</v>
      </c>
      <c r="Z228" s="83">
        <f>T228/S228</f>
        <v>9.5499914090688989E-2</v>
      </c>
      <c r="AA228" s="142">
        <f>(S228-V228+U228)/U228</f>
        <v>15.446494464944649</v>
      </c>
      <c r="AB228" s="142">
        <f>E228/F228</f>
        <v>1.2339536138079827</v>
      </c>
      <c r="AC228" s="142">
        <f>(L228/S228)*365</f>
        <v>11.86431014823261</v>
      </c>
      <c r="AD228" s="143">
        <f>K228/J228</f>
        <v>0.17865348117071223</v>
      </c>
      <c r="AE228" s="143">
        <f>H228/G228</f>
        <v>0.53880679464162407</v>
      </c>
      <c r="AF228" s="141">
        <f>T228/J228</f>
        <v>0.30536409949056037</v>
      </c>
      <c r="AG228" s="144">
        <f>T228/I228</f>
        <v>14.285046728971963</v>
      </c>
      <c r="AH228" s="145">
        <f>T228/G228</f>
        <v>0.14072641900290014</v>
      </c>
    </row>
  </sheetData>
  <mergeCells count="1">
    <mergeCell ref="B2:N4"/>
  </mergeCells>
  <conditionalFormatting sqref="C8:C19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39:C49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69:C79">
    <cfRule type="colorScale" priority="6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C130:C140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160:C170">
    <cfRule type="colorScale" priority="15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C99:D109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8:G18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39:G49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68:G79 J68:K68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30:G140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60:G170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99:H109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8:K18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69:K79">
    <cfRule type="colorScale" priority="8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K130:K140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160:K170">
    <cfRule type="colorScale" priority="17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L99:L109">
    <cfRule type="colorScale" priority="11">
      <colorScale>
        <cfvo type="min"/>
        <cfvo type="percentile" val="50"/>
        <cfvo type="max"/>
        <color rgb="FF57BB8A"/>
        <color rgb="FFFFD666"/>
        <color rgb="FFE67C73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BritanniaINtrinsic</vt:lpstr>
      <vt:lpstr>PACKAGED FOODS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2024-03-30T10:13:12Z</dcterms:created>
  <dcterms:modified xsi:type="dcterms:W3CDTF">2024-03-30T10:13:42Z</dcterms:modified>
</cp:coreProperties>
</file>