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EE1845F8-4A83-49DE-BF32-7EC2B9C1CFE8}" xr6:coauthVersionLast="47" xr6:coauthVersionMax="47" xr10:uidLastSave="{00000000-0000-0000-0000-000000000000}"/>
  <bookViews>
    <workbookView xWindow="-108" yWindow="-108" windowWidth="23256" windowHeight="12456" xr2:uid="{C966D4C5-72FB-4325-8D58-E73D79017341}"/>
  </bookViews>
  <sheets>
    <sheet name="NESTLE INDIA" sheetId="1" r:id="rId1"/>
  </sheets>
  <definedNames>
    <definedName name="_xlnm._FilterDatabase" localSheetId="0" hidden="1">'NESTLE INDIA'!$T$49:$X$59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Q66" i="1"/>
  <c r="R66" i="1" s="1"/>
  <c r="Q65" i="1"/>
  <c r="R65" i="1" s="1"/>
  <c r="Q64" i="1"/>
  <c r="R64" i="1" s="1"/>
  <c r="R63" i="1"/>
  <c r="I63" i="1"/>
  <c r="G63" i="1"/>
  <c r="H63" i="1" s="1"/>
  <c r="F63" i="1"/>
  <c r="L63" i="1" s="1"/>
  <c r="E63" i="1"/>
  <c r="C63" i="1"/>
  <c r="D63" i="1" s="1"/>
  <c r="D60" i="1" s="1"/>
  <c r="F60" i="1"/>
  <c r="W59" i="1"/>
  <c r="V59" i="1"/>
  <c r="U59" i="1"/>
  <c r="W53" i="1" s="1"/>
  <c r="X57" i="1"/>
  <c r="W57" i="1"/>
  <c r="X56" i="1"/>
  <c r="N56" i="1"/>
  <c r="O56" i="1" s="1"/>
  <c r="M56" i="1"/>
  <c r="I56" i="1"/>
  <c r="H56" i="1"/>
  <c r="J56" i="1" s="1"/>
  <c r="E56" i="1"/>
  <c r="D56" i="1"/>
  <c r="C56" i="1"/>
  <c r="X55" i="1"/>
  <c r="W55" i="1"/>
  <c r="R55" i="1"/>
  <c r="N55" i="1"/>
  <c r="M55" i="1"/>
  <c r="O55" i="1" s="1"/>
  <c r="I55" i="1"/>
  <c r="H55" i="1"/>
  <c r="J55" i="1" s="1"/>
  <c r="D55" i="1"/>
  <c r="C55" i="1"/>
  <c r="E55" i="1" s="1"/>
  <c r="X54" i="1"/>
  <c r="W54" i="1"/>
  <c r="O54" i="1"/>
  <c r="J54" i="1"/>
  <c r="E54" i="1"/>
  <c r="X53" i="1"/>
  <c r="O53" i="1"/>
  <c r="J53" i="1"/>
  <c r="E53" i="1"/>
  <c r="X52" i="1"/>
  <c r="W52" i="1"/>
  <c r="O52" i="1"/>
  <c r="J52" i="1"/>
  <c r="E52" i="1"/>
  <c r="X51" i="1"/>
  <c r="W51" i="1"/>
  <c r="O51" i="1"/>
  <c r="J51" i="1"/>
  <c r="E51" i="1"/>
  <c r="X50" i="1"/>
  <c r="W50" i="1"/>
  <c r="O50" i="1"/>
  <c r="J50" i="1"/>
  <c r="E50" i="1"/>
  <c r="P47" i="1"/>
  <c r="Q45" i="1"/>
  <c r="N45" i="1"/>
  <c r="M42" i="1"/>
  <c r="J42" i="1"/>
  <c r="I42" i="1"/>
  <c r="G42" i="1"/>
  <c r="F42" i="1"/>
  <c r="E42" i="1"/>
  <c r="D42" i="1"/>
  <c r="C42" i="1"/>
  <c r="J41" i="1"/>
  <c r="I41" i="1"/>
  <c r="G41" i="1"/>
  <c r="F41" i="1"/>
  <c r="E41" i="1"/>
  <c r="D41" i="1"/>
  <c r="C41" i="1"/>
  <c r="J40" i="1"/>
  <c r="I40" i="1"/>
  <c r="G40" i="1"/>
  <c r="F40" i="1"/>
  <c r="E40" i="1"/>
  <c r="D40" i="1"/>
  <c r="C40" i="1"/>
  <c r="J39" i="1"/>
  <c r="I39" i="1"/>
  <c r="G39" i="1"/>
  <c r="F39" i="1"/>
  <c r="E39" i="1"/>
  <c r="D39" i="1"/>
  <c r="C39" i="1"/>
  <c r="N36" i="1"/>
  <c r="M36" i="1"/>
  <c r="O36" i="1" s="1"/>
  <c r="G36" i="1"/>
  <c r="L36" i="1" s="1"/>
  <c r="E36" i="1"/>
  <c r="D36" i="1"/>
  <c r="C36" i="1"/>
  <c r="H36" i="1" s="1"/>
  <c r="M35" i="1"/>
  <c r="O35" i="1" s="1"/>
  <c r="O42" i="1" s="1"/>
  <c r="L35" i="1"/>
  <c r="L42" i="1" s="1"/>
  <c r="K35" i="1"/>
  <c r="K42" i="1" s="1"/>
  <c r="H35" i="1"/>
  <c r="H42" i="1" s="1"/>
  <c r="N34" i="1"/>
  <c r="M34" i="1"/>
  <c r="O34" i="1" s="1"/>
  <c r="L34" i="1"/>
  <c r="K34" i="1"/>
  <c r="H34" i="1"/>
  <c r="O33" i="1"/>
  <c r="M33" i="1"/>
  <c r="N33" i="1" s="1"/>
  <c r="L33" i="1"/>
  <c r="K33" i="1"/>
  <c r="H33" i="1"/>
  <c r="M32" i="1"/>
  <c r="O32" i="1" s="1"/>
  <c r="L32" i="1"/>
  <c r="K32" i="1"/>
  <c r="H32" i="1"/>
  <c r="M31" i="1"/>
  <c r="O31" i="1" s="1"/>
  <c r="L31" i="1"/>
  <c r="K31" i="1"/>
  <c r="H31" i="1"/>
  <c r="N30" i="1"/>
  <c r="M30" i="1"/>
  <c r="O30" i="1" s="1"/>
  <c r="L30" i="1"/>
  <c r="L41" i="1" s="1"/>
  <c r="K30" i="1"/>
  <c r="K41" i="1" s="1"/>
  <c r="H30" i="1"/>
  <c r="H41" i="1" s="1"/>
  <c r="O29" i="1"/>
  <c r="M29" i="1"/>
  <c r="N29" i="1" s="1"/>
  <c r="L29" i="1"/>
  <c r="K29" i="1"/>
  <c r="H29" i="1"/>
  <c r="M28" i="1"/>
  <c r="O28" i="1" s="1"/>
  <c r="L28" i="1"/>
  <c r="K28" i="1"/>
  <c r="H28" i="1"/>
  <c r="M27" i="1"/>
  <c r="O27" i="1" s="1"/>
  <c r="L27" i="1"/>
  <c r="K27" i="1"/>
  <c r="H27" i="1"/>
  <c r="N26" i="1"/>
  <c r="M26" i="1"/>
  <c r="O26" i="1" s="1"/>
  <c r="L26" i="1"/>
  <c r="K26" i="1"/>
  <c r="H26" i="1"/>
  <c r="H40" i="1" s="1"/>
  <c r="O25" i="1"/>
  <c r="O40" i="1" s="1"/>
  <c r="M25" i="1"/>
  <c r="N25" i="1" s="1"/>
  <c r="L25" i="1"/>
  <c r="L40" i="1" s="1"/>
  <c r="K25" i="1"/>
  <c r="K40" i="1" s="1"/>
  <c r="H25" i="1"/>
  <c r="M24" i="1"/>
  <c r="O24" i="1" s="1"/>
  <c r="L24" i="1"/>
  <c r="K24" i="1"/>
  <c r="H24" i="1"/>
  <c r="M23" i="1"/>
  <c r="O23" i="1" s="1"/>
  <c r="L23" i="1"/>
  <c r="K23" i="1"/>
  <c r="H23" i="1"/>
  <c r="N22" i="1"/>
  <c r="M22" i="1"/>
  <c r="O22" i="1" s="1"/>
  <c r="L22" i="1"/>
  <c r="K22" i="1"/>
  <c r="H22" i="1"/>
  <c r="O21" i="1"/>
  <c r="M21" i="1"/>
  <c r="N21" i="1" s="1"/>
  <c r="L21" i="1"/>
  <c r="K21" i="1"/>
  <c r="H21" i="1"/>
  <c r="M20" i="1"/>
  <c r="O20" i="1" s="1"/>
  <c r="L20" i="1"/>
  <c r="K20" i="1"/>
  <c r="H20" i="1"/>
  <c r="M19" i="1"/>
  <c r="O19" i="1" s="1"/>
  <c r="L19" i="1"/>
  <c r="K19" i="1"/>
  <c r="M18" i="1"/>
  <c r="O18" i="1" s="1"/>
  <c r="L18" i="1"/>
  <c r="K18" i="1"/>
  <c r="H18" i="1"/>
  <c r="O17" i="1"/>
  <c r="N17" i="1"/>
  <c r="M17" i="1"/>
  <c r="L17" i="1"/>
  <c r="K17" i="1"/>
  <c r="H17" i="1"/>
  <c r="M16" i="1"/>
  <c r="O16" i="1" s="1"/>
  <c r="L16" i="1"/>
  <c r="L39" i="1" s="1"/>
  <c r="K16" i="1"/>
  <c r="H16" i="1"/>
  <c r="O15" i="1"/>
  <c r="N15" i="1"/>
  <c r="M15" i="1"/>
  <c r="M39" i="1" s="1"/>
  <c r="L15" i="1"/>
  <c r="K15" i="1"/>
  <c r="K39" i="1" s="1"/>
  <c r="H15" i="1"/>
  <c r="H39" i="1" s="1"/>
  <c r="M14" i="1"/>
  <c r="O14" i="1" s="1"/>
  <c r="L14" i="1"/>
  <c r="K14" i="1"/>
  <c r="H14" i="1"/>
  <c r="O13" i="1"/>
  <c r="N13" i="1"/>
  <c r="M13" i="1"/>
  <c r="L13" i="1"/>
  <c r="K13" i="1"/>
  <c r="H13" i="1"/>
  <c r="M12" i="1"/>
  <c r="O12" i="1" s="1"/>
  <c r="L12" i="1"/>
  <c r="K12" i="1"/>
  <c r="H12" i="1"/>
  <c r="O11" i="1"/>
  <c r="N11" i="1"/>
  <c r="M11" i="1"/>
  <c r="L11" i="1"/>
  <c r="K11" i="1"/>
  <c r="H11" i="1"/>
  <c r="K7" i="1"/>
  <c r="J7" i="1"/>
  <c r="H7" i="1"/>
  <c r="D7" i="1"/>
  <c r="C7" i="1"/>
  <c r="B7" i="1"/>
  <c r="P3" i="1"/>
  <c r="G7" i="1" s="1"/>
  <c r="L3" i="1"/>
  <c r="K3" i="1"/>
  <c r="J3" i="1"/>
  <c r="I7" i="1" s="1"/>
  <c r="G3" i="1"/>
  <c r="F3" i="1"/>
  <c r="E3" i="1"/>
  <c r="E7" i="1" s="1"/>
  <c r="D3" i="1"/>
  <c r="C3" i="1"/>
  <c r="L7" i="1" s="1"/>
  <c r="M7" i="1" l="1"/>
  <c r="O41" i="1"/>
  <c r="F59" i="1"/>
  <c r="O39" i="1"/>
  <c r="N7" i="1"/>
  <c r="O7" i="1" s="1"/>
  <c r="N14" i="1"/>
  <c r="N18" i="1"/>
  <c r="M40" i="1"/>
  <c r="C64" i="1"/>
  <c r="F7" i="1"/>
  <c r="Q47" i="1"/>
  <c r="W56" i="1"/>
  <c r="X59" i="1"/>
  <c r="N20" i="1"/>
  <c r="N24" i="1"/>
  <c r="N28" i="1"/>
  <c r="N32" i="1"/>
  <c r="J63" i="1"/>
  <c r="K63" i="1" s="1"/>
  <c r="M63" i="1" s="1"/>
  <c r="E68" i="1" s="1"/>
  <c r="F68" i="1" s="1"/>
  <c r="F64" i="1"/>
  <c r="R47" i="1"/>
  <c r="S45" i="1" s="1"/>
  <c r="P7" i="1" s="1"/>
  <c r="N12" i="1"/>
  <c r="N16" i="1"/>
  <c r="K36" i="1"/>
  <c r="N19" i="1"/>
  <c r="N23" i="1"/>
  <c r="N27" i="1"/>
  <c r="N40" i="1" s="1"/>
  <c r="N31" i="1"/>
  <c r="N41" i="1" s="1"/>
  <c r="N35" i="1"/>
  <c r="N42" i="1" s="1"/>
  <c r="M41" i="1"/>
  <c r="L64" i="1" l="1"/>
  <c r="F65" i="1"/>
  <c r="J64" i="1"/>
  <c r="K64" i="1" s="1"/>
  <c r="C65" i="1"/>
  <c r="D64" i="1"/>
  <c r="N39" i="1"/>
  <c r="D65" i="1" l="1"/>
  <c r="E64" i="1"/>
  <c r="L65" i="1"/>
  <c r="J65" i="1"/>
  <c r="K65" i="1" s="1"/>
  <c r="I64" i="1" l="1"/>
  <c r="G64" i="1"/>
  <c r="H64" i="1" s="1"/>
  <c r="M64" i="1" s="1"/>
  <c r="E65" i="1"/>
  <c r="I65" i="1" l="1"/>
  <c r="G65" i="1"/>
  <c r="H65" i="1" s="1"/>
  <c r="M65" i="1" s="1"/>
</calcChain>
</file>

<file path=xl/sharedStrings.xml><?xml version="1.0" encoding="utf-8"?>
<sst xmlns="http://schemas.openxmlformats.org/spreadsheetml/2006/main" count="217" uniqueCount="155">
  <si>
    <t>Company</t>
  </si>
  <si>
    <t>Price</t>
  </si>
  <si>
    <t>Marketcap in Cr</t>
  </si>
  <si>
    <t>SALES</t>
  </si>
  <si>
    <t>PROFIT</t>
  </si>
  <si>
    <t>EPS</t>
  </si>
  <si>
    <t>FV</t>
  </si>
  <si>
    <t>Equity</t>
  </si>
  <si>
    <t>Total Equity</t>
  </si>
  <si>
    <t>Debt</t>
  </si>
  <si>
    <t>Lease Cr</t>
  </si>
  <si>
    <t>CUR.ASSETS</t>
  </si>
  <si>
    <t>CUR.LIABILITIES</t>
  </si>
  <si>
    <t>ASSETS</t>
  </si>
  <si>
    <t>LIABILITIES</t>
  </si>
  <si>
    <t>TRADE REC</t>
  </si>
  <si>
    <t>CFO</t>
  </si>
  <si>
    <t>CFI</t>
  </si>
  <si>
    <t>CFF</t>
  </si>
  <si>
    <t>PPE</t>
  </si>
  <si>
    <t>NESTLEIND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</si>
  <si>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</si>
  <si>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</si>
  <si>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</si>
  <si>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</si>
  <si>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</si>
  <si>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</si>
  <si>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</si>
  <si>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</si>
  <si>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</si>
  <si>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</si>
  <si>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</si>
  <si>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</si>
  <si>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</si>
  <si>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ROPE</t>
  </si>
  <si>
    <t>ROA</t>
  </si>
  <si>
    <t>PE</t>
  </si>
  <si>
    <t>YIELD_24</t>
  </si>
  <si>
    <t>BOOKVALUE</t>
  </si>
  <si>
    <t>PBV</t>
  </si>
  <si>
    <t>PEG</t>
  </si>
  <si>
    <t>ActualData</t>
  </si>
  <si>
    <t>Years</t>
  </si>
  <si>
    <t>Sales</t>
  </si>
  <si>
    <t>Profit</t>
  </si>
  <si>
    <t>Reserve</t>
  </si>
  <si>
    <t>Margin</t>
  </si>
  <si>
    <t>Low</t>
  </si>
  <si>
    <t>High</t>
  </si>
  <si>
    <t>LPE</t>
  </si>
  <si>
    <t>HPE</t>
  </si>
  <si>
    <t>BookValue</t>
  </si>
  <si>
    <t>LBV</t>
  </si>
  <si>
    <t>HBV</t>
  </si>
  <si>
    <t>FY_2001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</si>
  <si>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</si>
  <si>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</si>
  <si>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</si>
  <si>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</si>
  <si>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</si>
  <si>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</si>
  <si>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</si>
  <si>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</si>
  <si>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</si>
  <si>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</si>
  <si>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</si>
  <si>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</si>
  <si>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</si>
  <si>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</si>
  <si>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</si>
  <si>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</si>
  <si>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</si>
  <si>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</si>
  <si>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</si>
  <si>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</si>
  <si>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</si>
  <si>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</si>
  <si>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Split</t>
  </si>
  <si>
    <t>FY_2024</t>
  </si>
  <si>
    <t>FY_2025</t>
  </si>
  <si>
    <t>Bonus</t>
  </si>
  <si>
    <t>TrailFY_26</t>
  </si>
  <si>
    <t>20  Year</t>
  </si>
  <si>
    <t>10 Years</t>
  </si>
  <si>
    <t>5 Years</t>
  </si>
  <si>
    <t>Last Year</t>
  </si>
  <si>
    <t>TREND</t>
  </si>
  <si>
    <t>H1_FY25</t>
  </si>
  <si>
    <t>9M_FY25</t>
  </si>
  <si>
    <t>FY25</t>
  </si>
  <si>
    <t>Q1_FY26</t>
  </si>
  <si>
    <t>EST_FY26</t>
  </si>
  <si>
    <t>TRAIL</t>
  </si>
  <si>
    <t>Q2_FY25</t>
  </si>
  <si>
    <t>Q3_FY25</t>
  </si>
  <si>
    <t>Q4_FY25</t>
  </si>
  <si>
    <t>TRAIL_EPS</t>
  </si>
  <si>
    <t>EPS_24</t>
  </si>
  <si>
    <t>TRAI_EPS</t>
  </si>
  <si>
    <t>F_EPS_26</t>
  </si>
  <si>
    <t>F_PEG</t>
  </si>
  <si>
    <t>TRAILPE</t>
  </si>
  <si>
    <t>F_PE</t>
  </si>
  <si>
    <t>MARGIN</t>
  </si>
  <si>
    <t>RESULT</t>
  </si>
  <si>
    <t>Q1_FY25</t>
  </si>
  <si>
    <t>Growth</t>
  </si>
  <si>
    <t>Q4_FY24</t>
  </si>
  <si>
    <t>FY24</t>
  </si>
  <si>
    <t>SEGMENT</t>
  </si>
  <si>
    <t>Q1_FY_26</t>
  </si>
  <si>
    <t>MajorCost</t>
  </si>
  <si>
    <t>Share</t>
  </si>
  <si>
    <t>Revenue</t>
  </si>
  <si>
    <t>Milk Products And Nutrition</t>
  </si>
  <si>
    <t>RAWMaterial</t>
  </si>
  <si>
    <t>Finance(Employee)</t>
  </si>
  <si>
    <t>Prepared Dishes And Cooking Aids</t>
  </si>
  <si>
    <t>Other Exp</t>
  </si>
  <si>
    <t>Expense</t>
  </si>
  <si>
    <t>Confectionery</t>
  </si>
  <si>
    <t>Employee</t>
  </si>
  <si>
    <t>Net Profit</t>
  </si>
  <si>
    <t>Powdered And Liquid Beverages</t>
  </si>
  <si>
    <t>D&amp;A</t>
  </si>
  <si>
    <t>StockinTrade</t>
  </si>
  <si>
    <t>Net Profit Margin</t>
  </si>
  <si>
    <t>TOTAL</t>
  </si>
  <si>
    <t>Finance(Emp)</t>
  </si>
  <si>
    <t>CSR</t>
  </si>
  <si>
    <t>Change inventory</t>
  </si>
  <si>
    <t>Exp Growth</t>
  </si>
  <si>
    <t>Long Term</t>
  </si>
  <si>
    <t>fy_2026</t>
  </si>
  <si>
    <t>Base on EPS</t>
  </si>
  <si>
    <t>Base on BV</t>
  </si>
  <si>
    <t>Blended EPS(60%)+PBV(40%)</t>
  </si>
  <si>
    <t>SHP</t>
  </si>
  <si>
    <t>Estimates</t>
  </si>
  <si>
    <t>BV</t>
  </si>
  <si>
    <t>LOW PRICE RANGE</t>
  </si>
  <si>
    <t>FAIRVALUE@EPS</t>
  </si>
  <si>
    <t>HIGH PRICE RANGE</t>
  </si>
  <si>
    <t>FAIRVALUE@BV</t>
  </si>
  <si>
    <t>Blended Farivalue</t>
  </si>
  <si>
    <t>ANNUAL</t>
  </si>
  <si>
    <t>PROMOTER</t>
  </si>
  <si>
    <t>fy_2030</t>
  </si>
  <si>
    <t>MF</t>
  </si>
  <si>
    <t>fy_2035</t>
  </si>
  <si>
    <t>FII</t>
  </si>
  <si>
    <t>RETAIL</t>
  </si>
  <si>
    <t>STRATEGIC WT %</t>
  </si>
  <si>
    <t>TAF</t>
  </si>
  <si>
    <t>Tactical Wt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</si>
</sst>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₹&quot;\ #,##0;[Red]&quot;₹&quot;\ \-#,##0"/>
    <numFmt numFmtId="164" formatCode="0.0"/>
    <numFmt numFmtId="165" formatCode="0.0%"/>
    <numFmt numFmtId="166" formatCode="#,##0.0"/>
    <numFmt numFmtId="167" formatCode="#,##0;\(#,##0\)"/>
  </numFmts>
  <fonts count="1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</font>
    <font>
      <b/>
      <sz val="10"/>
      <color rgb="FFFFFFFF"/>
      <name val="Calibri"/>
    </font>
    <font>
      <sz val="11"/>
      <color theme="1"/>
      <name val="Calibri"/>
    </font>
    <font>
      <b/>
      <sz val="14"/>
      <color rgb="FFFFFFFF"/>
      <name val="Calibri"/>
      <scheme val="minor"/>
    </font>
    <font>
      <b/>
      <sz val="11"/>
      <color rgb="FFFFFFFF"/>
      <name val="Calibri"/>
      <scheme val="minor"/>
    </font>
    <font>
      <sz val="11"/>
      <color theme="1"/>
      <name val="&quot;Times New Roman&quot;"/>
    </font>
    <font>
      <b/>
      <i/>
      <sz val="11"/>
      <color theme="1"/>
      <name val="Calibri"/>
      <scheme val="minor"/>
    </font>
    <font>
      <b/>
      <sz val="14"/>
      <color rgb="FFFFFFFF"/>
      <name val="Calibri"/>
    </font>
    <font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34"/>
      <color theme="1"/>
      <name val="Calibri"/>
    </font>
    <font>
      <b/>
      <sz val="11"/>
      <color theme="1"/>
      <name val="Calibri"/>
      <scheme val="minor"/>
    </font>
    <font>
      <b/>
      <i/>
      <u/>
      <sz val="11"/>
      <color theme="1"/>
      <name val="Calibri"/>
      <scheme val="minor"/>
    </font>
    <font>
      <i/>
      <sz val="11"/>
      <color theme="1"/>
      <name val="Arial"/>
    </font>
    <font>
      <b/>
      <sz val="9"/>
      <color rgb="FFFFFFFF"/>
      <name val="Times New Roman"/>
    </font>
    <font>
      <sz val="11"/>
      <color theme="1"/>
      <name val="Source Code Pro"/>
    </font>
  </fonts>
  <fills count="1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3D85C6"/>
        <bgColor rgb="FF3D85C6"/>
      </patternFill>
    </fill>
    <fill>
      <patternFill patternType="solid">
        <fgColor rgb="FF57BB8A"/>
        <bgColor rgb="FF57BB8A"/>
      </patternFill>
    </fill>
    <fill>
      <patternFill patternType="solid">
        <fgColor rgb="FF92D3B3"/>
        <bgColor rgb="FF92D3B3"/>
      </patternFill>
    </fill>
    <fill>
      <patternFill patternType="solid">
        <fgColor rgb="FFB7B7B7"/>
        <bgColor rgb="FFB7B7B7"/>
      </patternFill>
    </fill>
    <fill>
      <patternFill patternType="solid">
        <fgColor rgb="FFF3BFBB"/>
        <bgColor rgb="FFF3BFBB"/>
      </patternFill>
    </fill>
    <fill>
      <patternFill patternType="solid">
        <fgColor rgb="FFFEFFFE"/>
        <bgColor rgb="FFFEFFFE"/>
      </patternFill>
    </fill>
    <fill>
      <patternFill patternType="solid">
        <fgColor rgb="FFF2FAF6"/>
        <bgColor rgb="FFF2FAF6"/>
      </patternFill>
    </fill>
    <fill>
      <patternFill patternType="solid">
        <fgColor rgb="FFD9D9D9"/>
        <bgColor rgb="FFD9D9D9"/>
      </patternFill>
    </fill>
    <fill>
      <patternFill patternType="solid">
        <fgColor rgb="FF0C343D"/>
        <bgColor rgb="FF0C343D"/>
      </patternFill>
    </fill>
  </fills>
  <borders count="9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4" fillId="0" borderId="2" xfId="0" applyFont="1" applyBorder="1"/>
    <xf numFmtId="0" fontId="4" fillId="3" borderId="2" xfId="0" applyFont="1" applyFill="1" applyBorder="1"/>
    <xf numFmtId="0" fontId="1" fillId="0" borderId="0" xfId="0" applyFont="1"/>
    <xf numFmtId="0" fontId="2" fillId="2" borderId="2" xfId="0" applyFont="1" applyFill="1" applyBorder="1" applyAlignment="1">
      <alignment wrapText="1"/>
    </xf>
    <xf numFmtId="9" fontId="2" fillId="2" borderId="2" xfId="0" applyNumberFormat="1" applyFont="1" applyFill="1" applyBorder="1" applyAlignment="1">
      <alignment wrapText="1"/>
    </xf>
    <xf numFmtId="1" fontId="2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5" fontId="2" fillId="2" borderId="2" xfId="0" applyNumberFormat="1" applyFont="1" applyFill="1" applyBorder="1" applyAlignment="1">
      <alignment wrapText="1"/>
    </xf>
    <xf numFmtId="1" fontId="1" fillId="0" borderId="0" xfId="0" applyNumberFormat="1" applyFont="1"/>
    <xf numFmtId="9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9" fontId="1" fillId="0" borderId="0" xfId="0" applyNumberFormat="1" applyFont="1"/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6" fillId="5" borderId="0" xfId="0" applyFont="1" applyFill="1" applyAlignment="1">
      <alignment horizontal="left"/>
    </xf>
    <xf numFmtId="1" fontId="7" fillId="0" borderId="0" xfId="0" applyNumberFormat="1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0" fontId="6" fillId="5" borderId="1" xfId="0" applyFont="1" applyFill="1" applyBorder="1" applyAlignment="1">
      <alignment horizontal="left"/>
    </xf>
    <xf numFmtId="1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9" fontId="8" fillId="0" borderId="0" xfId="0" applyNumberFormat="1" applyFont="1"/>
    <xf numFmtId="3" fontId="8" fillId="0" borderId="0" xfId="0" applyNumberFormat="1" applyFont="1"/>
    <xf numFmtId="9" fontId="8" fillId="0" borderId="1" xfId="0" applyNumberFormat="1" applyFont="1" applyBorder="1"/>
    <xf numFmtId="1" fontId="8" fillId="0" borderId="1" xfId="0" applyNumberFormat="1" applyFont="1" applyBorder="1"/>
    <xf numFmtId="9" fontId="5" fillId="4" borderId="0" xfId="0" applyNumberFormat="1" applyFont="1" applyFill="1"/>
    <xf numFmtId="0" fontId="5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9" fontId="10" fillId="0" borderId="0" xfId="0" applyNumberFormat="1" applyFont="1"/>
    <xf numFmtId="9" fontId="11" fillId="0" borderId="0" xfId="0" applyNumberFormat="1" applyFont="1" applyAlignment="1">
      <alignment horizontal="right"/>
    </xf>
    <xf numFmtId="0" fontId="10" fillId="0" borderId="1" xfId="0" applyFont="1" applyBorder="1"/>
    <xf numFmtId="164" fontId="11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64" fontId="11" fillId="6" borderId="5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164" fontId="13" fillId="8" borderId="0" xfId="0" applyNumberFormat="1" applyFont="1" applyFill="1" applyAlignment="1">
      <alignment horizontal="center"/>
    </xf>
    <xf numFmtId="9" fontId="11" fillId="0" borderId="0" xfId="0" applyNumberFormat="1" applyFont="1"/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0" fillId="0" borderId="0" xfId="0"/>
    <xf numFmtId="9" fontId="11" fillId="0" borderId="1" xfId="0" applyNumberFormat="1" applyFont="1" applyBorder="1"/>
    <xf numFmtId="1" fontId="11" fillId="9" borderId="4" xfId="0" applyNumberFormat="1" applyFont="1" applyFill="1" applyBorder="1" applyAlignment="1">
      <alignment horizontal="center"/>
    </xf>
    <xf numFmtId="1" fontId="11" fillId="10" borderId="5" xfId="0" applyNumberFormat="1" applyFont="1" applyFill="1" applyBorder="1" applyAlignment="1">
      <alignment horizontal="center"/>
    </xf>
    <xf numFmtId="1" fontId="11" fillId="11" borderId="5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/>
    <xf numFmtId="0" fontId="6" fillId="4" borderId="0" xfId="0" applyFont="1" applyFill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5" fontId="8" fillId="0" borderId="2" xfId="0" applyNumberFormat="1" applyFont="1" applyBorder="1"/>
    <xf numFmtId="10" fontId="1" fillId="0" borderId="0" xfId="0" applyNumberFormat="1" applyFont="1"/>
    <xf numFmtId="0" fontId="1" fillId="0" borderId="0" xfId="0" applyFont="1" applyAlignment="1">
      <alignment horizontal="left"/>
    </xf>
    <xf numFmtId="165" fontId="8" fillId="0" borderId="0" xfId="0" applyNumberFormat="1" applyFont="1"/>
    <xf numFmtId="0" fontId="14" fillId="0" borderId="2" xfId="0" applyFont="1" applyBorder="1"/>
    <xf numFmtId="9" fontId="8" fillId="0" borderId="2" xfId="0" applyNumberFormat="1" applyFont="1" applyBorder="1"/>
    <xf numFmtId="1" fontId="14" fillId="0" borderId="2" xfId="0" applyNumberFormat="1" applyFont="1" applyBorder="1"/>
    <xf numFmtId="9" fontId="1" fillId="0" borderId="1" xfId="0" applyNumberFormat="1" applyFont="1" applyBorder="1"/>
    <xf numFmtId="165" fontId="1" fillId="0" borderId="2" xfId="0" applyNumberFormat="1" applyFont="1" applyBorder="1"/>
    <xf numFmtId="0" fontId="1" fillId="0" borderId="6" xfId="0" applyFont="1" applyBorder="1"/>
    <xf numFmtId="0" fontId="1" fillId="0" borderId="7" xfId="0" applyFont="1" applyBorder="1"/>
    <xf numFmtId="9" fontId="1" fillId="0" borderId="7" xfId="0" applyNumberFormat="1" applyFont="1" applyBorder="1"/>
    <xf numFmtId="0" fontId="1" fillId="0" borderId="8" xfId="0" applyFont="1" applyBorder="1" applyAlignment="1">
      <alignment horizontal="left"/>
    </xf>
    <xf numFmtId="1" fontId="1" fillId="0" borderId="2" xfId="0" applyNumberFormat="1" applyFont="1" applyBorder="1"/>
    <xf numFmtId="4" fontId="8" fillId="0" borderId="2" xfId="0" applyNumberFormat="1" applyFont="1" applyBorder="1"/>
    <xf numFmtId="0" fontId="1" fillId="0" borderId="1" xfId="0" applyFont="1" applyBorder="1" applyAlignment="1">
      <alignment horizontal="left"/>
    </xf>
    <xf numFmtId="4" fontId="8" fillId="0" borderId="1" xfId="0" applyNumberFormat="1" applyFont="1" applyBorder="1"/>
    <xf numFmtId="165" fontId="8" fillId="8" borderId="0" xfId="0" applyNumberFormat="1" applyFont="1" applyFill="1"/>
    <xf numFmtId="0" fontId="15" fillId="0" borderId="7" xfId="0" applyFont="1" applyBorder="1"/>
    <xf numFmtId="165" fontId="15" fillId="0" borderId="7" xfId="0" applyNumberFormat="1" applyFont="1" applyBorder="1"/>
    <xf numFmtId="9" fontId="15" fillId="0" borderId="7" xfId="0" applyNumberFormat="1" applyFont="1" applyBorder="1"/>
    <xf numFmtId="165" fontId="8" fillId="8" borderId="1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4" borderId="2" xfId="0" applyFont="1" applyFill="1" applyBorder="1" applyAlignment="1">
      <alignment horizontal="right"/>
    </xf>
    <xf numFmtId="3" fontId="1" fillId="8" borderId="0" xfId="0" applyNumberFormat="1" applyFont="1" applyFill="1"/>
    <xf numFmtId="166" fontId="1" fillId="8" borderId="0" xfId="0" applyNumberFormat="1" applyFont="1" applyFill="1"/>
    <xf numFmtId="1" fontId="4" fillId="12" borderId="2" xfId="0" applyNumberFormat="1" applyFont="1" applyFill="1" applyBorder="1" applyAlignment="1">
      <alignment horizontal="right"/>
    </xf>
    <xf numFmtId="167" fontId="11" fillId="12" borderId="2" xfId="0" applyNumberFormat="1" applyFont="1" applyFill="1" applyBorder="1" applyAlignment="1">
      <alignment horizontal="right"/>
    </xf>
    <xf numFmtId="167" fontId="16" fillId="12" borderId="2" xfId="0" applyNumberFormat="1" applyFont="1" applyFill="1" applyBorder="1" applyAlignment="1">
      <alignment horizontal="center"/>
    </xf>
    <xf numFmtId="164" fontId="1" fillId="0" borderId="2" xfId="0" applyNumberFormat="1" applyFont="1" applyBorder="1"/>
    <xf numFmtId="6" fontId="4" fillId="12" borderId="2" xfId="0" applyNumberFormat="1" applyFont="1" applyFill="1" applyBorder="1" applyAlignment="1">
      <alignment horizontal="right"/>
    </xf>
    <xf numFmtId="3" fontId="1" fillId="8" borderId="1" xfId="0" applyNumberFormat="1" applyFont="1" applyFill="1" applyBorder="1"/>
    <xf numFmtId="166" fontId="1" fillId="8" borderId="1" xfId="0" applyNumberFormat="1" applyFont="1" applyFill="1" applyBorder="1"/>
    <xf numFmtId="0" fontId="17" fillId="13" borderId="2" xfId="0" applyFont="1" applyFill="1" applyBorder="1" applyAlignment="1">
      <alignment wrapText="1"/>
    </xf>
    <xf numFmtId="1" fontId="17" fillId="13" borderId="2" xfId="0" applyNumberFormat="1" applyFont="1" applyFill="1" applyBorder="1" applyAlignment="1">
      <alignment wrapText="1"/>
    </xf>
    <xf numFmtId="1" fontId="18" fillId="0" borderId="2" xfId="0" applyNumberFormat="1" applyFont="1" applyBorder="1" applyAlignment="1">
      <alignment horizontal="right"/>
    </xf>
    <xf numFmtId="10" fontId="11" fillId="6" borderId="2" xfId="0" applyNumberFormat="1" applyFont="1" applyFill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10" fontId="11" fillId="0" borderId="2" xfId="0" applyNumberFormat="1" applyFont="1" applyBorder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68</xdr:row>
      <xdr:rowOff>190500</xdr:rowOff>
    </xdr:from>
    <xdr:ext cx="9601200" cy="38385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0C45545-B737-4EBC-8105-D981D0FC972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3228320"/>
          <a:ext cx="9601200" cy="3838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2E1C-B11C-4DCD-A21E-A8583204C17D}">
  <sheetPr>
    <outlinePr summaryBelow="0" summaryRight="0"/>
  </sheetPr>
  <dimension ref="A2:X1008"/>
  <sheetViews>
    <sheetView showGridLines="0" tabSelected="1" workbookViewId="0"/>
  </sheetViews>
  <sheetFormatPr defaultColWidth="14.44140625" defaultRowHeight="15" customHeight="1"/>
  <cols>
    <col min="1" max="1" width="5.109375" customWidth="1"/>
  </cols>
  <sheetData>
    <row r="2" spans="2:21" ht="14.4">
      <c r="B2" s="1" t="s">
        <v>0</v>
      </c>
      <c r="C2" s="1" t="s">
        <v>1</v>
      </c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</row>
    <row r="3" spans="2:21" thickBot="1">
      <c r="B3" s="3" t="s">
        <v>20</v>
      </c>
      <c r="C3" s="4">
        <f ca="1">IFERROR(__xludf.DUMMYFUNCTION("GOOGLEFINANCE(""NSE:""&amp;B3,""price"")"),1174)</f>
        <v>1174</v>
      </c>
      <c r="D3" s="4">
        <f ca="1">IFERROR(__xludf.DUMMYFUNCTION("GOOGLEFINANCE(""NSE:""&amp;B3,""MARKETCAP"")/10000000"),226441.9224355)</f>
        <v>226441.92243549999</v>
      </c>
      <c r="E3" s="4">
        <f t="shared" ref="E3:F3" si="0">C35</f>
        <v>20078</v>
      </c>
      <c r="F3" s="4">
        <f t="shared" si="0"/>
        <v>3208</v>
      </c>
      <c r="G3" s="4">
        <f>G35</f>
        <v>33.270000000000003</v>
      </c>
      <c r="H3" s="5">
        <v>1</v>
      </c>
      <c r="I3" s="5">
        <v>96.4</v>
      </c>
      <c r="J3" s="4">
        <f>F35</f>
        <v>3914</v>
      </c>
      <c r="K3" s="5">
        <f>731+22</f>
        <v>753</v>
      </c>
      <c r="L3" s="3">
        <f>342+72</f>
        <v>414</v>
      </c>
      <c r="M3" s="4">
        <v>3734</v>
      </c>
      <c r="N3" s="4">
        <v>4685</v>
      </c>
      <c r="O3" s="6">
        <v>12193</v>
      </c>
      <c r="P3" s="4">
        <f>3498+N3</f>
        <v>8183</v>
      </c>
      <c r="Q3" s="5">
        <v>363</v>
      </c>
      <c r="R3" s="7">
        <v>3961</v>
      </c>
      <c r="S3" s="7">
        <v>-1811</v>
      </c>
      <c r="T3" s="7">
        <v>-1848</v>
      </c>
      <c r="U3" s="7">
        <v>2009</v>
      </c>
    </row>
    <row r="5" spans="2:21" ht="14.4">
      <c r="B5" s="8" t="s">
        <v>21</v>
      </c>
      <c r="C5" s="8" t="s">
        <v>22</v>
      </c>
      <c r="D5" s="8"/>
      <c r="E5" s="8"/>
      <c r="F5" s="8" t="s">
        <v>23</v>
      </c>
      <c r="G5" s="8"/>
      <c r="H5" s="8"/>
      <c r="I5" s="8" t="s">
        <v>24</v>
      </c>
      <c r="J5" s="9"/>
      <c r="K5" s="9"/>
      <c r="L5" s="9" t="s">
        <v>25</v>
      </c>
      <c r="M5" s="9"/>
      <c r="N5" s="9"/>
      <c r="O5" s="9"/>
      <c r="P5" s="9"/>
      <c r="Q5" s="10"/>
    </row>
    <row r="6" spans="2:21" ht="14.4">
      <c r="B6" s="11" t="s">
        <v>26</v>
      </c>
      <c r="C6" s="11" t="s">
        <v>27</v>
      </c>
      <c r="D6" s="11" t="s">
        <v>28</v>
      </c>
      <c r="E6" s="11" t="s">
        <v>29</v>
      </c>
      <c r="F6" s="11" t="s">
        <v>30</v>
      </c>
      <c r="G6" s="12" t="s">
        <v>31</v>
      </c>
      <c r="H6" s="13" t="s">
        <v>32</v>
      </c>
      <c r="I6" s="14" t="s">
        <v>33</v>
      </c>
      <c r="J6" s="12" t="s">
        <v>34</v>
      </c>
      <c r="K6" s="12" t="s">
        <v>35</v>
      </c>
      <c r="L6" s="11" t="s">
        <v>36</v>
      </c>
      <c r="M6" s="11" t="s">
        <v>37</v>
      </c>
      <c r="N6" s="14" t="s">
        <v>38</v>
      </c>
      <c r="O6" s="13" t="s">
        <v>39</v>
      </c>
      <c r="P6" s="15" t="s">
        <v>40</v>
      </c>
      <c r="Q6" s="16"/>
    </row>
    <row r="7" spans="2:21" ht="14.4">
      <c r="B7" s="17">
        <f>E50</f>
        <v>5.8627164615063565E-2</v>
      </c>
      <c r="C7" s="17">
        <f>C55</f>
        <v>0.12731572723689397</v>
      </c>
      <c r="D7" s="18">
        <f>M3/N3</f>
        <v>0.79701173959445037</v>
      </c>
      <c r="E7" s="19">
        <f>(Q3/E3)*365</f>
        <v>6.5990138460005978</v>
      </c>
      <c r="F7" s="20">
        <f>(K3+L3)/J3</f>
        <v>0.29816044966785898</v>
      </c>
      <c r="G7" s="20">
        <f>P3/O3</f>
        <v>0.67112277536291309</v>
      </c>
      <c r="H7" s="21">
        <f>C56</f>
        <v>20</v>
      </c>
      <c r="I7" s="17">
        <f>F3/(I3+J3)</f>
        <v>0.79992020746060244</v>
      </c>
      <c r="J7" s="21">
        <f>F3/I3</f>
        <v>33.278008298755182</v>
      </c>
      <c r="K7" s="17">
        <f>F3/O3</f>
        <v>0.26310177970966947</v>
      </c>
      <c r="L7" s="21">
        <f ca="1">C3/G3</f>
        <v>35.287045386233842</v>
      </c>
      <c r="M7" s="22">
        <f ca="1">G3/C3</f>
        <v>2.8339011925042592E-2</v>
      </c>
      <c r="N7" s="21">
        <f>J3/(I3/H3)</f>
        <v>40.601659751037339</v>
      </c>
      <c r="O7" s="21">
        <f ca="1">C3/N7</f>
        <v>28.915074092999493</v>
      </c>
      <c r="P7" s="18">
        <f ca="1">S45</f>
        <v>6.988095238095239</v>
      </c>
    </row>
    <row r="8" spans="2:21" ht="14.4">
      <c r="B8" s="10"/>
      <c r="C8" s="23"/>
    </row>
    <row r="9" spans="2:21" ht="15" customHeight="1">
      <c r="B9" s="24" t="s">
        <v>41</v>
      </c>
    </row>
    <row r="10" spans="2:21" ht="14.4">
      <c r="B10" s="25" t="s">
        <v>42</v>
      </c>
      <c r="C10" s="26" t="s">
        <v>43</v>
      </c>
      <c r="D10" s="26" t="s">
        <v>44</v>
      </c>
      <c r="E10" s="26" t="s">
        <v>7</v>
      </c>
      <c r="F10" s="26" t="s">
        <v>45</v>
      </c>
      <c r="G10" s="26" t="s">
        <v>5</v>
      </c>
      <c r="H10" s="26" t="s">
        <v>46</v>
      </c>
      <c r="I10" s="26" t="s">
        <v>47</v>
      </c>
      <c r="J10" s="26" t="s">
        <v>48</v>
      </c>
      <c r="K10" s="26" t="s">
        <v>49</v>
      </c>
      <c r="L10" s="26" t="s">
        <v>50</v>
      </c>
      <c r="M10" s="26" t="s">
        <v>51</v>
      </c>
      <c r="N10" s="26" t="s">
        <v>52</v>
      </c>
      <c r="O10" s="26" t="s">
        <v>53</v>
      </c>
    </row>
    <row r="11" spans="2:21" ht="14.4">
      <c r="B11" s="27" t="s">
        <v>54</v>
      </c>
      <c r="C11" s="16">
        <v>1937.23</v>
      </c>
      <c r="D11" s="16">
        <v>173.15</v>
      </c>
      <c r="E11" s="16">
        <v>96.42</v>
      </c>
      <c r="F11" s="28">
        <v>168.87</v>
      </c>
      <c r="G11" s="16">
        <v>17.96</v>
      </c>
      <c r="H11" s="29">
        <f t="shared" ref="H11:H18" si="1">D11/C11</f>
        <v>8.9380197498490119E-2</v>
      </c>
      <c r="I11" s="16">
        <v>463</v>
      </c>
      <c r="J11" s="16">
        <v>589.29999999999995</v>
      </c>
      <c r="K11" s="16">
        <f t="shared" ref="K11:K35" si="2">I11/G11</f>
        <v>25.779510022271715</v>
      </c>
      <c r="L11" s="16">
        <f t="shared" ref="L11:L35" si="3">J11/G11</f>
        <v>32.81180400890868</v>
      </c>
      <c r="M11" s="16">
        <f t="shared" ref="M11:M33" si="4">(E11+F11)/(E11/10)</f>
        <v>27.514001244555075</v>
      </c>
      <c r="N11" s="16">
        <f t="shared" ref="N11:N36" si="5">I11/M11</f>
        <v>16.82779599683365</v>
      </c>
      <c r="O11" s="16">
        <f t="shared" ref="O11:O36" si="6">J11/M11</f>
        <v>21.418186135926717</v>
      </c>
    </row>
    <row r="12" spans="2:21" ht="14.4">
      <c r="B12" s="27" t="s">
        <v>55</v>
      </c>
      <c r="C12" s="16">
        <v>2075.6</v>
      </c>
      <c r="D12" s="16">
        <v>201.51</v>
      </c>
      <c r="E12" s="16">
        <v>96.42</v>
      </c>
      <c r="F12" s="28">
        <v>192.88</v>
      </c>
      <c r="G12" s="16">
        <v>20.9</v>
      </c>
      <c r="H12" s="29">
        <f t="shared" si="1"/>
        <v>9.7085180188861059E-2</v>
      </c>
      <c r="I12" s="16">
        <v>455.55</v>
      </c>
      <c r="J12" s="16">
        <v>579.95000000000005</v>
      </c>
      <c r="K12" s="16">
        <f t="shared" si="2"/>
        <v>21.796650717703351</v>
      </c>
      <c r="L12" s="16">
        <f t="shared" si="3"/>
        <v>27.7488038277512</v>
      </c>
      <c r="M12" s="16">
        <f t="shared" si="4"/>
        <v>30.004148516905211</v>
      </c>
      <c r="N12" s="16">
        <f t="shared" si="5"/>
        <v>15.182900449360524</v>
      </c>
      <c r="O12" s="16">
        <f t="shared" si="6"/>
        <v>19.328993778085032</v>
      </c>
    </row>
    <row r="13" spans="2:21" ht="14.4">
      <c r="B13" s="27" t="s">
        <v>56</v>
      </c>
      <c r="C13" s="16">
        <v>2168.44</v>
      </c>
      <c r="D13" s="16">
        <v>263.08</v>
      </c>
      <c r="E13" s="16">
        <v>96.42</v>
      </c>
      <c r="F13" s="28">
        <v>238.57</v>
      </c>
      <c r="G13" s="16">
        <v>27.29</v>
      </c>
      <c r="H13" s="29">
        <f t="shared" si="1"/>
        <v>0.12132224087362342</v>
      </c>
      <c r="I13" s="16">
        <v>500.3</v>
      </c>
      <c r="J13" s="16">
        <v>714.9</v>
      </c>
      <c r="K13" s="16">
        <f t="shared" si="2"/>
        <v>18.332722609014294</v>
      </c>
      <c r="L13" s="16">
        <f t="shared" si="3"/>
        <v>26.19640894100403</v>
      </c>
      <c r="M13" s="16">
        <f t="shared" si="4"/>
        <v>34.742791951877209</v>
      </c>
      <c r="N13" s="16">
        <f t="shared" si="5"/>
        <v>14.400109256992744</v>
      </c>
      <c r="O13" s="16">
        <f t="shared" si="6"/>
        <v>20.576930057613655</v>
      </c>
    </row>
    <row r="14" spans="2:21" ht="14.4">
      <c r="B14" s="27" t="s">
        <v>57</v>
      </c>
      <c r="C14" s="16">
        <v>2242.02</v>
      </c>
      <c r="D14" s="16">
        <v>251.91</v>
      </c>
      <c r="E14" s="16">
        <v>96.42</v>
      </c>
      <c r="F14" s="28">
        <v>222.99</v>
      </c>
      <c r="G14" s="16">
        <v>26.13</v>
      </c>
      <c r="H14" s="29">
        <f t="shared" si="1"/>
        <v>0.11235849814007011</v>
      </c>
      <c r="I14" s="16">
        <v>500</v>
      </c>
      <c r="J14" s="16">
        <v>720</v>
      </c>
      <c r="K14" s="16">
        <f t="shared" si="2"/>
        <v>19.135093761959435</v>
      </c>
      <c r="L14" s="16">
        <f t="shared" si="3"/>
        <v>27.554535017221585</v>
      </c>
      <c r="M14" s="16">
        <f t="shared" si="4"/>
        <v>33.126944617299323</v>
      </c>
      <c r="N14" s="16">
        <f t="shared" si="5"/>
        <v>15.093453554992013</v>
      </c>
      <c r="O14" s="16">
        <f t="shared" si="6"/>
        <v>21.7345731191885</v>
      </c>
    </row>
    <row r="15" spans="2:21" ht="14.4">
      <c r="B15" s="27" t="s">
        <v>58</v>
      </c>
      <c r="C15" s="16">
        <v>2500.64</v>
      </c>
      <c r="D15" s="16">
        <v>309.57</v>
      </c>
      <c r="E15" s="16">
        <v>96.42</v>
      </c>
      <c r="F15" s="28">
        <v>257.70999999999998</v>
      </c>
      <c r="G15" s="16">
        <v>32.11</v>
      </c>
      <c r="H15" s="29">
        <f t="shared" si="1"/>
        <v>0.12379630814511486</v>
      </c>
      <c r="I15" s="16">
        <v>525.25</v>
      </c>
      <c r="J15" s="16">
        <v>1008</v>
      </c>
      <c r="K15" s="16">
        <f t="shared" si="2"/>
        <v>16.357832450949861</v>
      </c>
      <c r="L15" s="16">
        <f t="shared" si="3"/>
        <v>31.392089691684834</v>
      </c>
      <c r="M15" s="16">
        <f t="shared" si="4"/>
        <v>36.727857291018459</v>
      </c>
      <c r="N15" s="16">
        <f t="shared" si="5"/>
        <v>14.30113376443679</v>
      </c>
      <c r="O15" s="16">
        <f t="shared" si="6"/>
        <v>27.44510772880016</v>
      </c>
    </row>
    <row r="16" spans="2:21" ht="14.4">
      <c r="B16" s="27" t="s">
        <v>59</v>
      </c>
      <c r="C16" s="16">
        <v>2836.67</v>
      </c>
      <c r="D16" s="16">
        <v>315.08999999999997</v>
      </c>
      <c r="E16" s="16">
        <v>96.42</v>
      </c>
      <c r="F16" s="28">
        <v>292.47000000000003</v>
      </c>
      <c r="G16" s="16">
        <v>32.68</v>
      </c>
      <c r="H16" s="29">
        <f t="shared" si="1"/>
        <v>0.11107742529092209</v>
      </c>
      <c r="I16" s="16">
        <v>800</v>
      </c>
      <c r="J16" s="16">
        <v>1348</v>
      </c>
      <c r="K16" s="16">
        <f t="shared" si="2"/>
        <v>24.479804161566708</v>
      </c>
      <c r="L16" s="16">
        <f t="shared" si="3"/>
        <v>41.248470012239899</v>
      </c>
      <c r="M16" s="16">
        <f t="shared" si="4"/>
        <v>40.332918481642821</v>
      </c>
      <c r="N16" s="16">
        <f t="shared" si="5"/>
        <v>19.834914757386404</v>
      </c>
      <c r="O16" s="16">
        <f t="shared" si="6"/>
        <v>33.421831366196088</v>
      </c>
    </row>
    <row r="17" spans="2:15" ht="14.4">
      <c r="B17" s="27" t="s">
        <v>60</v>
      </c>
      <c r="C17" s="16">
        <v>3529.79</v>
      </c>
      <c r="D17" s="16">
        <v>413.81</v>
      </c>
      <c r="E17" s="16">
        <v>96.42</v>
      </c>
      <c r="F17" s="28">
        <v>322</v>
      </c>
      <c r="G17" s="16">
        <v>42.92</v>
      </c>
      <c r="H17" s="29">
        <f t="shared" si="1"/>
        <v>0.11723360313219766</v>
      </c>
      <c r="I17" s="16">
        <v>876</v>
      </c>
      <c r="J17" s="16">
        <v>1662.75</v>
      </c>
      <c r="K17" s="16">
        <f t="shared" si="2"/>
        <v>20.410065237651445</v>
      </c>
      <c r="L17" s="16">
        <f t="shared" si="3"/>
        <v>38.740680335507918</v>
      </c>
      <c r="M17" s="16">
        <f t="shared" si="4"/>
        <v>43.395561086911435</v>
      </c>
      <c r="N17" s="16">
        <f t="shared" si="5"/>
        <v>20.186396443764636</v>
      </c>
      <c r="O17" s="16">
        <f t="shared" si="6"/>
        <v>38.316130921084074</v>
      </c>
    </row>
    <row r="18" spans="2:15" ht="14.4">
      <c r="B18" s="27" t="s">
        <v>61</v>
      </c>
      <c r="C18" s="16">
        <v>4358.13</v>
      </c>
      <c r="D18" s="16">
        <v>534.08000000000004</v>
      </c>
      <c r="E18" s="16">
        <v>96.42</v>
      </c>
      <c r="F18" s="16">
        <v>376.93</v>
      </c>
      <c r="G18" s="16">
        <v>55.39</v>
      </c>
      <c r="H18" s="29">
        <f t="shared" si="1"/>
        <v>0.12254797355746616</v>
      </c>
      <c r="I18" s="16">
        <v>1200.05</v>
      </c>
      <c r="J18" s="16">
        <v>1880</v>
      </c>
      <c r="K18" s="16">
        <f t="shared" si="2"/>
        <v>21.665463079978334</v>
      </c>
      <c r="L18" s="16">
        <f t="shared" si="3"/>
        <v>33.941144610940604</v>
      </c>
      <c r="M18" s="16">
        <f t="shared" si="4"/>
        <v>49.092511926986106</v>
      </c>
      <c r="N18" s="16">
        <f t="shared" si="5"/>
        <v>24.444664835745218</v>
      </c>
      <c r="O18" s="16">
        <f t="shared" si="6"/>
        <v>38.295045949086294</v>
      </c>
    </row>
    <row r="19" spans="2:15" ht="14.4">
      <c r="B19" s="27" t="s">
        <v>62</v>
      </c>
      <c r="C19" s="16">
        <v>5167.17</v>
      </c>
      <c r="D19" s="16">
        <v>655</v>
      </c>
      <c r="E19" s="16">
        <v>96.42</v>
      </c>
      <c r="F19" s="16">
        <v>484.84</v>
      </c>
      <c r="G19" s="16">
        <v>67.94</v>
      </c>
      <c r="H19" s="29"/>
      <c r="I19" s="16">
        <v>1377.05</v>
      </c>
      <c r="J19" s="16">
        <v>2739</v>
      </c>
      <c r="K19" s="16">
        <f t="shared" si="2"/>
        <v>20.268619370032383</v>
      </c>
      <c r="L19" s="16">
        <f t="shared" si="3"/>
        <v>40.314983809243451</v>
      </c>
      <c r="M19" s="16">
        <f t="shared" si="4"/>
        <v>60.284173408006637</v>
      </c>
      <c r="N19" s="16">
        <f t="shared" si="5"/>
        <v>22.842645459863057</v>
      </c>
      <c r="O19" s="16">
        <f t="shared" si="6"/>
        <v>45.434810583903932</v>
      </c>
    </row>
    <row r="20" spans="2:15" ht="14.4">
      <c r="B20" s="27" t="s">
        <v>63</v>
      </c>
      <c r="C20" s="16">
        <v>6297.4</v>
      </c>
      <c r="D20" s="16">
        <v>818.66</v>
      </c>
      <c r="E20" s="16">
        <v>96.42</v>
      </c>
      <c r="F20" s="16">
        <v>759</v>
      </c>
      <c r="G20" s="16">
        <v>84.91</v>
      </c>
      <c r="H20" s="29">
        <f t="shared" ref="H20:H36" si="7">D20/C20</f>
        <v>0.12999968240861309</v>
      </c>
      <c r="I20" s="16">
        <v>2455.5</v>
      </c>
      <c r="J20" s="16">
        <v>4199.3999999999996</v>
      </c>
      <c r="K20" s="16">
        <f t="shared" si="2"/>
        <v>28.918855258509012</v>
      </c>
      <c r="L20" s="16">
        <f t="shared" si="3"/>
        <v>49.457072194087857</v>
      </c>
      <c r="M20" s="16">
        <f t="shared" si="4"/>
        <v>88.718108276291233</v>
      </c>
      <c r="N20" s="16">
        <f t="shared" si="5"/>
        <v>27.677551378270323</v>
      </c>
      <c r="O20" s="16">
        <f t="shared" si="6"/>
        <v>47.334192326576414</v>
      </c>
    </row>
    <row r="21" spans="2:15" ht="14.4">
      <c r="B21" s="27" t="s">
        <v>64</v>
      </c>
      <c r="C21" s="16">
        <v>7491</v>
      </c>
      <c r="D21" s="16">
        <v>961.55</v>
      </c>
      <c r="E21" s="16">
        <v>96.42</v>
      </c>
      <c r="F21" s="16">
        <v>1177.54</v>
      </c>
      <c r="G21" s="16">
        <v>99.73</v>
      </c>
      <c r="H21" s="29">
        <f t="shared" si="7"/>
        <v>0.12836069950607396</v>
      </c>
      <c r="I21" s="16">
        <v>3160</v>
      </c>
      <c r="J21" s="16">
        <v>4549</v>
      </c>
      <c r="K21" s="16">
        <f t="shared" si="2"/>
        <v>31.685550987666698</v>
      </c>
      <c r="L21" s="16">
        <f t="shared" si="3"/>
        <v>45.613155519903735</v>
      </c>
      <c r="M21" s="16">
        <f t="shared" si="4"/>
        <v>132.12611491391829</v>
      </c>
      <c r="N21" s="16">
        <f t="shared" si="5"/>
        <v>23.916543690539733</v>
      </c>
      <c r="O21" s="16">
        <f t="shared" si="6"/>
        <v>34.42922697729913</v>
      </c>
    </row>
    <row r="22" spans="2:15" ht="14.4">
      <c r="B22" s="27" t="s">
        <v>65</v>
      </c>
      <c r="C22" s="16">
        <v>8334.5300000000007</v>
      </c>
      <c r="D22" s="16">
        <v>1067.93</v>
      </c>
      <c r="E22" s="16">
        <v>96.42</v>
      </c>
      <c r="F22" s="16">
        <v>1701.99</v>
      </c>
      <c r="G22" s="16">
        <v>110.76</v>
      </c>
      <c r="H22" s="29">
        <f t="shared" si="7"/>
        <v>0.12813320007246959</v>
      </c>
      <c r="I22" s="16">
        <v>3930</v>
      </c>
      <c r="J22" s="16">
        <v>5024.8500000000004</v>
      </c>
      <c r="K22" s="16">
        <f t="shared" si="2"/>
        <v>35.482123510292524</v>
      </c>
      <c r="L22" s="16">
        <f t="shared" si="3"/>
        <v>45.367009750812571</v>
      </c>
      <c r="M22" s="16">
        <f t="shared" si="4"/>
        <v>186.51835718730555</v>
      </c>
      <c r="N22" s="16">
        <f t="shared" si="5"/>
        <v>21.07031210902964</v>
      </c>
      <c r="O22" s="16">
        <f t="shared" si="6"/>
        <v>26.940243715281831</v>
      </c>
    </row>
    <row r="23" spans="2:15" ht="14.4">
      <c r="B23" s="27" t="s">
        <v>66</v>
      </c>
      <c r="C23" s="16">
        <v>9101.0499999999993</v>
      </c>
      <c r="D23" s="16">
        <v>1117.1300000000001</v>
      </c>
      <c r="E23" s="16">
        <v>96.42</v>
      </c>
      <c r="F23" s="16">
        <v>2272.33</v>
      </c>
      <c r="G23" s="16">
        <v>115.87</v>
      </c>
      <c r="H23" s="29">
        <f t="shared" si="7"/>
        <v>0.1227473753028497</v>
      </c>
      <c r="I23" s="16">
        <v>4410</v>
      </c>
      <c r="J23" s="16">
        <v>5864.85</v>
      </c>
      <c r="K23" s="16">
        <f t="shared" si="2"/>
        <v>38.059894709588328</v>
      </c>
      <c r="L23" s="16">
        <f t="shared" si="3"/>
        <v>50.615776301027012</v>
      </c>
      <c r="M23" s="16">
        <f t="shared" si="4"/>
        <v>245.66998548019083</v>
      </c>
      <c r="N23" s="16">
        <f t="shared" si="5"/>
        <v>17.950910817941953</v>
      </c>
      <c r="O23" s="16">
        <f t="shared" si="6"/>
        <v>23.872879662269131</v>
      </c>
    </row>
    <row r="24" spans="2:15" ht="14.4">
      <c r="B24" s="27" t="s">
        <v>67</v>
      </c>
      <c r="C24" s="16">
        <v>9854.84</v>
      </c>
      <c r="D24" s="16">
        <v>1184.69</v>
      </c>
      <c r="E24" s="16">
        <v>96.42</v>
      </c>
      <c r="F24" s="16">
        <v>2740.79</v>
      </c>
      <c r="G24" s="16">
        <v>122.87</v>
      </c>
      <c r="H24" s="29">
        <f t="shared" si="7"/>
        <v>0.12021402681322071</v>
      </c>
      <c r="I24" s="16">
        <v>4536</v>
      </c>
      <c r="J24" s="16">
        <v>6624.55</v>
      </c>
      <c r="K24" s="16">
        <f t="shared" si="2"/>
        <v>36.917066818588751</v>
      </c>
      <c r="L24" s="16">
        <f t="shared" si="3"/>
        <v>53.915113534630095</v>
      </c>
      <c r="M24" s="16">
        <f t="shared" si="4"/>
        <v>294.2553412155155</v>
      </c>
      <c r="N24" s="16">
        <f t="shared" si="5"/>
        <v>15.415183225774614</v>
      </c>
      <c r="O24" s="16">
        <f t="shared" si="6"/>
        <v>22.512930343541715</v>
      </c>
    </row>
    <row r="25" spans="2:15" ht="14.4">
      <c r="B25" s="27" t="s">
        <v>68</v>
      </c>
      <c r="C25" s="16">
        <v>8175.31</v>
      </c>
      <c r="D25" s="16">
        <v>563.27</v>
      </c>
      <c r="E25" s="16">
        <v>96.42</v>
      </c>
      <c r="F25" s="16">
        <v>2721.42</v>
      </c>
      <c r="G25" s="16">
        <v>58.42</v>
      </c>
      <c r="H25" s="29">
        <f t="shared" si="7"/>
        <v>6.8898916371366956E-2</v>
      </c>
      <c r="I25" s="16">
        <v>5499</v>
      </c>
      <c r="J25" s="16">
        <v>7499.95</v>
      </c>
      <c r="K25" s="16">
        <f t="shared" si="2"/>
        <v>94.12872304005478</v>
      </c>
      <c r="L25" s="16">
        <f t="shared" si="3"/>
        <v>128.37983567271482</v>
      </c>
      <c r="M25" s="16">
        <f t="shared" si="4"/>
        <v>292.24642190416927</v>
      </c>
      <c r="N25" s="16">
        <f t="shared" si="5"/>
        <v>18.816312494676772</v>
      </c>
      <c r="O25" s="16">
        <f t="shared" si="6"/>
        <v>25.663102908610849</v>
      </c>
    </row>
    <row r="26" spans="2:15" ht="14.4">
      <c r="B26" s="27" t="s">
        <v>69</v>
      </c>
      <c r="C26" s="16">
        <v>9625.4699999999993</v>
      </c>
      <c r="D26" s="16">
        <v>1001.36</v>
      </c>
      <c r="E26" s="16">
        <v>96.42</v>
      </c>
      <c r="F26" s="16">
        <v>3185.91</v>
      </c>
      <c r="G26" s="16">
        <v>103.86</v>
      </c>
      <c r="H26" s="29">
        <f t="shared" si="7"/>
        <v>0.10403232257749492</v>
      </c>
      <c r="I26" s="16">
        <v>4990</v>
      </c>
      <c r="J26" s="16">
        <v>7390</v>
      </c>
      <c r="K26" s="16">
        <f t="shared" si="2"/>
        <v>48.045445792412863</v>
      </c>
      <c r="L26" s="16">
        <f t="shared" si="3"/>
        <v>71.15347583285191</v>
      </c>
      <c r="M26" s="16">
        <f t="shared" si="4"/>
        <v>340.42003733665217</v>
      </c>
      <c r="N26" s="16">
        <f t="shared" si="5"/>
        <v>14.658361590699288</v>
      </c>
      <c r="O26" s="16">
        <f t="shared" si="6"/>
        <v>21.708475381817184</v>
      </c>
    </row>
    <row r="27" spans="2:15" ht="14.4">
      <c r="B27" s="27" t="s">
        <v>70</v>
      </c>
      <c r="C27" s="16">
        <v>10369.1</v>
      </c>
      <c r="D27" s="16">
        <v>1225.19</v>
      </c>
      <c r="E27" s="16">
        <v>96.42</v>
      </c>
      <c r="F27" s="16">
        <v>3324.17</v>
      </c>
      <c r="G27" s="16">
        <v>127.07</v>
      </c>
      <c r="H27" s="29">
        <f t="shared" si="7"/>
        <v>0.11815779575855186</v>
      </c>
      <c r="I27" s="16">
        <v>5800</v>
      </c>
      <c r="J27" s="16">
        <v>8001</v>
      </c>
      <c r="K27" s="16">
        <f t="shared" si="2"/>
        <v>45.644133154953963</v>
      </c>
      <c r="L27" s="16">
        <f t="shared" si="3"/>
        <v>62.965294719445978</v>
      </c>
      <c r="M27" s="16">
        <f t="shared" si="4"/>
        <v>354.75938601949804</v>
      </c>
      <c r="N27" s="16">
        <f t="shared" si="5"/>
        <v>16.349109364174016</v>
      </c>
      <c r="O27" s="16">
        <f t="shared" si="6"/>
        <v>22.553314486682122</v>
      </c>
    </row>
    <row r="28" spans="2:15" ht="14.4">
      <c r="B28" s="27" t="s">
        <v>71</v>
      </c>
      <c r="C28" s="16">
        <v>11551.19</v>
      </c>
      <c r="D28" s="16">
        <v>1606.93</v>
      </c>
      <c r="E28" s="16">
        <v>96.42</v>
      </c>
      <c r="F28" s="16">
        <v>3577.32</v>
      </c>
      <c r="G28" s="16">
        <v>166.67</v>
      </c>
      <c r="H28" s="29">
        <f t="shared" si="7"/>
        <v>0.13911380559059283</v>
      </c>
      <c r="I28" s="16">
        <v>6887.75</v>
      </c>
      <c r="J28" s="16">
        <v>11700.05</v>
      </c>
      <c r="K28" s="16">
        <f t="shared" si="2"/>
        <v>41.32567348653027</v>
      </c>
      <c r="L28" s="16">
        <f t="shared" si="3"/>
        <v>70.198896022079566</v>
      </c>
      <c r="M28" s="16">
        <f t="shared" si="4"/>
        <v>381.01431238332299</v>
      </c>
      <c r="N28" s="16">
        <f t="shared" si="5"/>
        <v>18.07740490617191</v>
      </c>
      <c r="O28" s="16">
        <f t="shared" si="6"/>
        <v>30.707639108918972</v>
      </c>
    </row>
    <row r="29" spans="2:15" ht="14.4">
      <c r="B29" s="27" t="s">
        <v>72</v>
      </c>
      <c r="C29" s="16">
        <v>12615.78</v>
      </c>
      <c r="D29" s="16">
        <v>1969.55</v>
      </c>
      <c r="E29" s="16">
        <v>96.42</v>
      </c>
      <c r="F29" s="16">
        <v>1835.84</v>
      </c>
      <c r="G29" s="16">
        <v>204.28</v>
      </c>
      <c r="H29" s="29">
        <f t="shared" si="7"/>
        <v>0.1561179728879229</v>
      </c>
      <c r="I29" s="16">
        <v>10028.1</v>
      </c>
      <c r="J29" s="16">
        <v>15150</v>
      </c>
      <c r="K29" s="16">
        <f t="shared" si="2"/>
        <v>49.08997454474251</v>
      </c>
      <c r="L29" s="16">
        <f t="shared" si="3"/>
        <v>74.162913647934204</v>
      </c>
      <c r="M29" s="16">
        <f t="shared" si="4"/>
        <v>200.40033188135243</v>
      </c>
      <c r="N29" s="16">
        <f t="shared" si="5"/>
        <v>50.040336290147287</v>
      </c>
      <c r="O29" s="16">
        <f t="shared" si="6"/>
        <v>75.598677196650556</v>
      </c>
    </row>
    <row r="30" spans="2:15" ht="14.4">
      <c r="B30" s="27" t="s">
        <v>73</v>
      </c>
      <c r="C30" s="16">
        <v>13350</v>
      </c>
      <c r="D30" s="16">
        <v>2082</v>
      </c>
      <c r="E30" s="16">
        <v>96</v>
      </c>
      <c r="F30" s="16">
        <v>1923</v>
      </c>
      <c r="G30" s="16">
        <v>216</v>
      </c>
      <c r="H30" s="29">
        <f t="shared" si="7"/>
        <v>0.15595505617977529</v>
      </c>
      <c r="I30" s="16">
        <v>12200</v>
      </c>
      <c r="J30" s="16">
        <v>18844</v>
      </c>
      <c r="K30" s="16">
        <f t="shared" si="2"/>
        <v>56.481481481481481</v>
      </c>
      <c r="L30" s="16">
        <f t="shared" si="3"/>
        <v>87.240740740740748</v>
      </c>
      <c r="M30" s="16">
        <f t="shared" si="4"/>
        <v>210.3125</v>
      </c>
      <c r="N30" s="16">
        <f t="shared" si="5"/>
        <v>58.008915304606241</v>
      </c>
      <c r="O30" s="16">
        <f t="shared" si="6"/>
        <v>89.6</v>
      </c>
    </row>
    <row r="31" spans="2:15" ht="14.4">
      <c r="B31" s="27" t="s">
        <v>74</v>
      </c>
      <c r="C31" s="16">
        <v>14709</v>
      </c>
      <c r="D31" s="16">
        <v>2145</v>
      </c>
      <c r="E31" s="16">
        <v>96</v>
      </c>
      <c r="F31" s="16">
        <v>1988</v>
      </c>
      <c r="G31" s="16">
        <v>222.46</v>
      </c>
      <c r="H31" s="29">
        <f t="shared" si="7"/>
        <v>0.14582908423414237</v>
      </c>
      <c r="I31" s="16">
        <v>15900</v>
      </c>
      <c r="J31" s="16">
        <v>20600</v>
      </c>
      <c r="K31" s="16">
        <f t="shared" si="2"/>
        <v>71.473523330036855</v>
      </c>
      <c r="L31" s="16">
        <f t="shared" si="3"/>
        <v>92.600917018789886</v>
      </c>
      <c r="M31" s="16">
        <f t="shared" si="4"/>
        <v>217.08333333333334</v>
      </c>
      <c r="N31" s="16">
        <f t="shared" si="5"/>
        <v>73.243761996161226</v>
      </c>
      <c r="O31" s="16">
        <f t="shared" si="6"/>
        <v>94.894433781190017</v>
      </c>
    </row>
    <row r="32" spans="2:15" ht="14.4">
      <c r="B32" s="27" t="s">
        <v>75</v>
      </c>
      <c r="C32" s="16">
        <v>16987</v>
      </c>
      <c r="D32" s="16">
        <v>2391</v>
      </c>
      <c r="E32" s="16">
        <v>96.4</v>
      </c>
      <c r="F32" s="16">
        <v>2503</v>
      </c>
      <c r="G32" s="16">
        <v>247.94</v>
      </c>
      <c r="H32" s="29">
        <f t="shared" si="7"/>
        <v>0.14075469476658622</v>
      </c>
      <c r="I32" s="16">
        <v>16000</v>
      </c>
      <c r="J32" s="16">
        <v>21050</v>
      </c>
      <c r="K32" s="16">
        <f t="shared" si="2"/>
        <v>64.531741550375088</v>
      </c>
      <c r="L32" s="16">
        <f t="shared" si="3"/>
        <v>84.899572477212232</v>
      </c>
      <c r="M32" s="16">
        <f t="shared" si="4"/>
        <v>269.6473029045643</v>
      </c>
      <c r="N32" s="16">
        <f t="shared" si="5"/>
        <v>59.336770023851663</v>
      </c>
      <c r="O32" s="16">
        <f t="shared" si="6"/>
        <v>78.064938062629849</v>
      </c>
    </row>
    <row r="33" spans="1:19" ht="14.4">
      <c r="B33" s="27" t="s">
        <v>76</v>
      </c>
      <c r="C33" s="16">
        <v>19126</v>
      </c>
      <c r="D33" s="16">
        <v>2999</v>
      </c>
      <c r="E33" s="16">
        <v>96.4</v>
      </c>
      <c r="F33" s="16">
        <v>2996</v>
      </c>
      <c r="G33" s="16">
        <v>311</v>
      </c>
      <c r="H33" s="29">
        <f t="shared" si="7"/>
        <v>0.15680225870542716</v>
      </c>
      <c r="I33" s="16">
        <v>17880</v>
      </c>
      <c r="J33" s="16">
        <v>26650</v>
      </c>
      <c r="K33" s="16">
        <f t="shared" si="2"/>
        <v>57.491961414791</v>
      </c>
      <c r="L33" s="16">
        <f t="shared" si="3"/>
        <v>85.691318327974273</v>
      </c>
      <c r="M33" s="16">
        <f t="shared" si="4"/>
        <v>320.78838174273858</v>
      </c>
      <c r="N33" s="16">
        <f t="shared" si="5"/>
        <v>55.737679472254563</v>
      </c>
      <c r="O33" s="16">
        <f t="shared" si="6"/>
        <v>83.076574828612081</v>
      </c>
    </row>
    <row r="34" spans="1:19" ht="14.4">
      <c r="A34" s="10" t="s">
        <v>77</v>
      </c>
      <c r="B34" s="27" t="s">
        <v>78</v>
      </c>
      <c r="C34" s="16">
        <v>19467</v>
      </c>
      <c r="D34" s="16">
        <v>3196</v>
      </c>
      <c r="E34" s="16">
        <v>96</v>
      </c>
      <c r="F34" s="16">
        <v>3245</v>
      </c>
      <c r="G34" s="30">
        <v>33.15</v>
      </c>
      <c r="H34" s="29">
        <f t="shared" si="7"/>
        <v>0.16417527097138748</v>
      </c>
      <c r="I34" s="16">
        <v>1937</v>
      </c>
      <c r="J34" s="16">
        <v>2769</v>
      </c>
      <c r="K34" s="16">
        <f t="shared" si="2"/>
        <v>58.431372549019613</v>
      </c>
      <c r="L34" s="16">
        <f t="shared" si="3"/>
        <v>83.529411764705884</v>
      </c>
      <c r="M34" s="16">
        <f t="shared" ref="M34:M36" si="8">(E34+F34)/(E34/1)</f>
        <v>34.802083333333336</v>
      </c>
      <c r="N34" s="16">
        <f t="shared" si="5"/>
        <v>55.657587548638126</v>
      </c>
      <c r="O34" s="16">
        <f t="shared" si="6"/>
        <v>79.564202334630352</v>
      </c>
    </row>
    <row r="35" spans="1:19" thickBot="1">
      <c r="B35" s="31" t="s">
        <v>79</v>
      </c>
      <c r="C35" s="32">
        <v>20078</v>
      </c>
      <c r="D35" s="32">
        <v>3208</v>
      </c>
      <c r="E35" s="32">
        <v>96.4</v>
      </c>
      <c r="F35" s="32">
        <v>3914</v>
      </c>
      <c r="G35" s="33">
        <v>33.270000000000003</v>
      </c>
      <c r="H35" s="34">
        <f t="shared" si="7"/>
        <v>0.15977687020619583</v>
      </c>
      <c r="I35" s="32">
        <v>2110</v>
      </c>
      <c r="J35" s="32">
        <v>2778</v>
      </c>
      <c r="K35" s="32">
        <f t="shared" si="2"/>
        <v>63.420498948001196</v>
      </c>
      <c r="L35" s="32">
        <f t="shared" si="3"/>
        <v>83.498647430117217</v>
      </c>
      <c r="M35" s="16">
        <f t="shared" si="8"/>
        <v>41.601659751037346</v>
      </c>
      <c r="N35" s="16">
        <f t="shared" si="5"/>
        <v>50.719130261320565</v>
      </c>
      <c r="O35" s="16">
        <f t="shared" si="6"/>
        <v>66.776181926989821</v>
      </c>
    </row>
    <row r="36" spans="1:19" ht="15.6" thickTop="1" thickBot="1">
      <c r="A36" s="10" t="s">
        <v>80</v>
      </c>
      <c r="B36" s="31" t="s">
        <v>81</v>
      </c>
      <c r="C36" s="32">
        <f>C35+C50-D50</f>
        <v>20359</v>
      </c>
      <c r="D36" s="32">
        <f>D35+C53-D53</f>
        <v>3107</v>
      </c>
      <c r="E36" s="32">
        <f>96.4+96.4</f>
        <v>192.8</v>
      </c>
      <c r="F36" s="32">
        <v>3914</v>
      </c>
      <c r="G36" s="33">
        <f>N45</f>
        <v>33.339999999999996</v>
      </c>
      <c r="H36" s="34">
        <f t="shared" si="7"/>
        <v>0.15261063902942187</v>
      </c>
      <c r="I36" s="32">
        <v>1074</v>
      </c>
      <c r="J36" s="32">
        <v>1257</v>
      </c>
      <c r="K36" s="32">
        <f>I36/G36*2</f>
        <v>64.427114577084595</v>
      </c>
      <c r="L36" s="32">
        <f>J36/G36*2</f>
        <v>75.404919016196772</v>
      </c>
      <c r="M36" s="16">
        <f t="shared" si="8"/>
        <v>21.300829875518673</v>
      </c>
      <c r="N36" s="16">
        <f t="shared" si="5"/>
        <v>50.420570760689586</v>
      </c>
      <c r="O36" s="16">
        <f t="shared" si="6"/>
        <v>59.011785331645072</v>
      </c>
    </row>
    <row r="38" spans="1:19" ht="14.4">
      <c r="B38" s="25" t="s">
        <v>42</v>
      </c>
      <c r="C38" s="26" t="s">
        <v>43</v>
      </c>
      <c r="D38" s="26" t="s">
        <v>44</v>
      </c>
      <c r="E38" s="26" t="s">
        <v>7</v>
      </c>
      <c r="F38" s="26" t="s">
        <v>45</v>
      </c>
      <c r="G38" s="26" t="s">
        <v>5</v>
      </c>
      <c r="H38" s="26" t="s">
        <v>46</v>
      </c>
      <c r="I38" s="26" t="s">
        <v>47</v>
      </c>
      <c r="J38" s="26" t="s">
        <v>48</v>
      </c>
      <c r="K38" s="26" t="s">
        <v>49</v>
      </c>
      <c r="L38" s="26" t="s">
        <v>50</v>
      </c>
      <c r="M38" s="26" t="s">
        <v>51</v>
      </c>
      <c r="N38" s="26" t="s">
        <v>52</v>
      </c>
      <c r="O38" s="26" t="s">
        <v>53</v>
      </c>
    </row>
    <row r="39" spans="1:19" ht="14.4">
      <c r="B39" s="27" t="s">
        <v>82</v>
      </c>
      <c r="C39" s="35">
        <f t="shared" ref="C39:F39" si="9">(C35/C15)^(1/20)-1</f>
        <v>0.10977123496519825</v>
      </c>
      <c r="D39" s="35">
        <f t="shared" si="9"/>
        <v>0.12401931620492546</v>
      </c>
      <c r="E39" s="35">
        <f t="shared" si="9"/>
        <v>-1.0372314255935322E-5</v>
      </c>
      <c r="F39" s="35">
        <f t="shared" si="9"/>
        <v>0.14570940325046267</v>
      </c>
      <c r="G39" s="35">
        <f>((10*G35)/G15)^(1/20)-1</f>
        <v>0.12401116393214928</v>
      </c>
      <c r="H39" s="35">
        <f>MEDIAN(H15:H35)</f>
        <v>0.12824694978927176</v>
      </c>
      <c r="I39" s="35">
        <f t="shared" ref="I39:J39" si="10">((10*I35)/I15)^(1/20)-1</f>
        <v>0.2028066477192223</v>
      </c>
      <c r="J39" s="35">
        <f t="shared" si="10"/>
        <v>0.18035755865142811</v>
      </c>
      <c r="K39" s="36">
        <f t="shared" ref="K39:L39" si="11">MEDIAN(K15:K35)</f>
        <v>41.32567348653027</v>
      </c>
      <c r="L39" s="36">
        <f t="shared" si="11"/>
        <v>62.965294719445978</v>
      </c>
      <c r="M39" s="35">
        <f>((10*M35)/M15)^(1/20)-1</f>
        <v>0.12903070541284456</v>
      </c>
      <c r="N39" s="36">
        <f t="shared" ref="N39:O39" si="12">MEDIAN(N15:N35)</f>
        <v>22.842645459863057</v>
      </c>
      <c r="O39" s="36">
        <f t="shared" si="12"/>
        <v>38.295045949086294</v>
      </c>
    </row>
    <row r="40" spans="1:19" ht="14.4">
      <c r="B40" s="27" t="s">
        <v>83</v>
      </c>
      <c r="C40" s="35">
        <f t="shared" ref="C40:F40" si="13">(C35/C25)^(1/10)-1</f>
        <v>9.4010831935550598E-2</v>
      </c>
      <c r="D40" s="35">
        <f t="shared" si="13"/>
        <v>0.19001318656525767</v>
      </c>
      <c r="E40" s="35">
        <f t="shared" si="13"/>
        <v>-2.074452092704071E-5</v>
      </c>
      <c r="F40" s="35">
        <f t="shared" si="13"/>
        <v>3.7008998460723141E-2</v>
      </c>
      <c r="G40" s="35">
        <f>((10*G35)/G25)^(1/10)-1</f>
        <v>0.19000592797958937</v>
      </c>
      <c r="H40" s="35">
        <f>MEDIAN(H25:H35)</f>
        <v>0.14582908423414237</v>
      </c>
      <c r="I40" s="35">
        <f t="shared" ref="I40:J40" si="14">((10*I35)/I25)^(1/10)-1</f>
        <v>0.1439311165006234</v>
      </c>
      <c r="J40" s="35">
        <f t="shared" si="14"/>
        <v>0.13990166321412723</v>
      </c>
      <c r="K40" s="36">
        <f t="shared" ref="K40:L40" si="15">MEDIAN(K25:K35)</f>
        <v>57.491961414791</v>
      </c>
      <c r="L40" s="36">
        <f t="shared" si="15"/>
        <v>83.529411764705884</v>
      </c>
      <c r="M40" s="35">
        <f>((10*M35)/M25)^(1/10)-1</f>
        <v>3.5943680628620855E-2</v>
      </c>
      <c r="N40" s="36">
        <f t="shared" ref="N40:O40" si="16">MEDIAN(N25:N35)</f>
        <v>50.719130261320565</v>
      </c>
      <c r="O40" s="36">
        <f t="shared" si="16"/>
        <v>75.598677196650556</v>
      </c>
    </row>
    <row r="41" spans="1:19" ht="14.4">
      <c r="B41" s="27" t="s">
        <v>84</v>
      </c>
      <c r="C41" s="35">
        <f t="shared" ref="C41:F41" si="17">(C35/C30)^(1/5)-1</f>
        <v>8.504521689819966E-2</v>
      </c>
      <c r="D41" s="35">
        <f t="shared" si="17"/>
        <v>9.0311836614108243E-2</v>
      </c>
      <c r="E41" s="35">
        <f t="shared" si="17"/>
        <v>8.3194790657126205E-4</v>
      </c>
      <c r="F41" s="35">
        <f t="shared" si="17"/>
        <v>0.15273188855938069</v>
      </c>
      <c r="G41" s="35">
        <f>((10*G35)/G30)^(1/5)-1</f>
        <v>9.023422128278491E-2</v>
      </c>
      <c r="H41" s="35">
        <f>MEDIAN(H30:H35)</f>
        <v>0.15637865744260121</v>
      </c>
      <c r="I41" s="35">
        <f t="shared" ref="I41:J41" si="18">((10*I35)/I30)^(1/5)-1</f>
        <v>0.11579529280597178</v>
      </c>
      <c r="J41" s="35">
        <f t="shared" si="18"/>
        <v>8.0716616939283448E-2</v>
      </c>
      <c r="K41" s="36">
        <f t="shared" ref="K41:L41" si="19">MEDIAN(K30:K35)</f>
        <v>60.925935748510405</v>
      </c>
      <c r="L41" s="36">
        <f t="shared" si="19"/>
        <v>85.295445402593259</v>
      </c>
      <c r="M41" s="35">
        <f>((10*M35)/M30)^(1/5)-1</f>
        <v>0.1461702041870736</v>
      </c>
      <c r="N41" s="36">
        <f t="shared" ref="N41:O41" si="20">MEDIAN(N30:N35)</f>
        <v>56.873297388430402</v>
      </c>
      <c r="O41" s="36">
        <f t="shared" si="20"/>
        <v>81.320388581621216</v>
      </c>
    </row>
    <row r="42" spans="1:19" thickBot="1">
      <c r="B42" s="31" t="s">
        <v>85</v>
      </c>
      <c r="C42" s="37">
        <f t="shared" ref="C42:G42" si="21">(C35/C34)-1</f>
        <v>3.1386448862177119E-2</v>
      </c>
      <c r="D42" s="37">
        <f t="shared" si="21"/>
        <v>3.754693366708306E-3</v>
      </c>
      <c r="E42" s="37">
        <f t="shared" si="21"/>
        <v>4.1666666666666519E-3</v>
      </c>
      <c r="F42" s="37">
        <f t="shared" si="21"/>
        <v>0.2061633281972266</v>
      </c>
      <c r="G42" s="37">
        <f t="shared" si="21"/>
        <v>3.6199095022626526E-3</v>
      </c>
      <c r="H42" s="37">
        <f>H35</f>
        <v>0.15977687020619583</v>
      </c>
      <c r="I42" s="37">
        <f t="shared" ref="I42:J42" si="22">(I35/I34)-1</f>
        <v>8.9313371192565771E-2</v>
      </c>
      <c r="J42" s="37">
        <f t="shared" si="22"/>
        <v>3.250270855904569E-3</v>
      </c>
      <c r="K42" s="38">
        <f t="shared" ref="K42:L42" si="23">K35</f>
        <v>63.420498948001196</v>
      </c>
      <c r="L42" s="38">
        <f t="shared" si="23"/>
        <v>83.498647430117217</v>
      </c>
      <c r="M42" s="37">
        <f>(M35/M34)-1</f>
        <v>0.1953784304398638</v>
      </c>
      <c r="N42" s="38">
        <f t="shared" ref="N42:O42" si="24">N35</f>
        <v>50.719130261320565</v>
      </c>
      <c r="O42" s="38">
        <f t="shared" si="24"/>
        <v>66.776181926989821</v>
      </c>
    </row>
    <row r="44" spans="1:19" ht="18">
      <c r="B44" s="39" t="s">
        <v>86</v>
      </c>
      <c r="C44" s="40" t="s">
        <v>87</v>
      </c>
      <c r="D44" s="40" t="s">
        <v>88</v>
      </c>
      <c r="E44" s="40" t="s">
        <v>89</v>
      </c>
      <c r="F44" s="40" t="s">
        <v>90</v>
      </c>
      <c r="G44" s="40" t="s">
        <v>91</v>
      </c>
      <c r="I44" s="40" t="s">
        <v>92</v>
      </c>
      <c r="J44" s="40" t="s">
        <v>93</v>
      </c>
      <c r="K44" s="40" t="s">
        <v>94</v>
      </c>
      <c r="L44" s="40" t="s">
        <v>95</v>
      </c>
      <c r="M44" s="40" t="s">
        <v>90</v>
      </c>
      <c r="N44" s="40" t="s">
        <v>96</v>
      </c>
      <c r="O44" s="29"/>
      <c r="P44" s="41" t="s">
        <v>97</v>
      </c>
      <c r="Q44" s="42" t="s">
        <v>98</v>
      </c>
      <c r="R44" s="42" t="s">
        <v>99</v>
      </c>
      <c r="S44" s="42" t="s">
        <v>100</v>
      </c>
    </row>
    <row r="45" spans="1:19" thickBot="1">
      <c r="B45" s="43" t="s">
        <v>3</v>
      </c>
      <c r="C45" s="44">
        <v>2.3E-2</v>
      </c>
      <c r="D45" s="44">
        <v>2.9000000000000001E-2</v>
      </c>
      <c r="E45" s="44">
        <v>3.1E-2</v>
      </c>
      <c r="F45" s="44">
        <v>5.8999999999999997E-2</v>
      </c>
      <c r="G45" s="44">
        <v>0.08</v>
      </c>
      <c r="I45" s="45" t="s">
        <v>5</v>
      </c>
      <c r="J45" s="46">
        <v>10.23</v>
      </c>
      <c r="K45" s="46">
        <v>7.22</v>
      </c>
      <c r="L45" s="46">
        <v>9.18</v>
      </c>
      <c r="M45" s="46">
        <v>6.71</v>
      </c>
      <c r="N45" s="47">
        <f>SUM(J45:M45)</f>
        <v>33.339999999999996</v>
      </c>
      <c r="O45" s="29"/>
      <c r="P45" s="48">
        <v>33.15</v>
      </c>
      <c r="Q45" s="49">
        <f>N45</f>
        <v>33.339999999999996</v>
      </c>
      <c r="R45" s="50">
        <v>35</v>
      </c>
      <c r="S45" s="51">
        <f ca="1">R47/4.8</f>
        <v>6.988095238095239</v>
      </c>
    </row>
    <row r="46" spans="1:19" ht="18.600000000000001" thickTop="1">
      <c r="B46" s="52" t="s">
        <v>4</v>
      </c>
      <c r="C46" s="44">
        <v>2.5000000000000001E-2</v>
      </c>
      <c r="D46" s="44">
        <v>3.2000000000000001E-2</v>
      </c>
      <c r="E46" s="44">
        <v>4.0000000000000001E-3</v>
      </c>
      <c r="F46" s="44">
        <v>-0.13500000000000001</v>
      </c>
      <c r="G46" s="44">
        <v>-6.0000000000000001E-3</v>
      </c>
      <c r="P46" s="53" t="s">
        <v>36</v>
      </c>
      <c r="Q46" s="54" t="s">
        <v>101</v>
      </c>
      <c r="R46" s="54" t="s">
        <v>102</v>
      </c>
      <c r="S46" s="55"/>
    </row>
    <row r="47" spans="1:19" thickBot="1">
      <c r="B47" s="56" t="s">
        <v>103</v>
      </c>
      <c r="C47" s="34">
        <v>0.17499999999999999</v>
      </c>
      <c r="D47" s="34">
        <v>0.16600000000000001</v>
      </c>
      <c r="E47" s="34">
        <v>0.16</v>
      </c>
      <c r="F47" s="34">
        <v>0.127</v>
      </c>
      <c r="G47" s="34">
        <v>0.14699999999999999</v>
      </c>
      <c r="P47" s="57">
        <f>2596/P45</f>
        <v>78.310708898944199</v>
      </c>
      <c r="Q47" s="58">
        <f ca="1">C3/Q45</f>
        <v>35.212957408518299</v>
      </c>
      <c r="R47" s="59">
        <f ca="1">C3/R45</f>
        <v>33.542857142857144</v>
      </c>
      <c r="S47" s="55"/>
    </row>
    <row r="48" spans="1:19" thickTop="1">
      <c r="C48" s="16"/>
      <c r="D48" s="16"/>
      <c r="E48" s="29"/>
    </row>
    <row r="49" spans="2:24" ht="18">
      <c r="B49" s="60" t="s">
        <v>104</v>
      </c>
      <c r="C49" s="61" t="s">
        <v>90</v>
      </c>
      <c r="D49" s="61" t="s">
        <v>105</v>
      </c>
      <c r="E49" s="61" t="s">
        <v>106</v>
      </c>
      <c r="G49" s="60" t="s">
        <v>104</v>
      </c>
      <c r="H49" s="61" t="s">
        <v>95</v>
      </c>
      <c r="I49" s="61" t="s">
        <v>107</v>
      </c>
      <c r="J49" s="61" t="s">
        <v>106</v>
      </c>
      <c r="L49" s="24" t="s">
        <v>104</v>
      </c>
      <c r="M49" s="26" t="s">
        <v>89</v>
      </c>
      <c r="N49" s="26" t="s">
        <v>108</v>
      </c>
      <c r="O49" s="26" t="s">
        <v>106</v>
      </c>
      <c r="Q49" s="62" t="s">
        <v>109</v>
      </c>
      <c r="R49" s="61" t="s">
        <v>110</v>
      </c>
      <c r="T49" s="40" t="s">
        <v>111</v>
      </c>
      <c r="U49" s="61" t="s">
        <v>90</v>
      </c>
      <c r="V49" s="61" t="s">
        <v>105</v>
      </c>
      <c r="W49" s="61" t="s">
        <v>112</v>
      </c>
      <c r="X49" s="61" t="s">
        <v>106</v>
      </c>
    </row>
    <row r="50" spans="2:24" ht="14.4">
      <c r="B50" s="63" t="s">
        <v>113</v>
      </c>
      <c r="C50" s="64">
        <v>5074</v>
      </c>
      <c r="D50" s="64">
        <v>4793</v>
      </c>
      <c r="E50" s="65">
        <f t="shared" ref="E50:E54" si="25">(C50/D50)^(1/1)-1</f>
        <v>5.8627164615063565E-2</v>
      </c>
      <c r="F50" s="66"/>
      <c r="G50" s="63" t="s">
        <v>113</v>
      </c>
      <c r="H50" s="64">
        <v>5448</v>
      </c>
      <c r="I50" s="64">
        <v>5254</v>
      </c>
      <c r="J50" s="65">
        <f t="shared" ref="J50:J54" si="26">(H50/I50)^(1/1)-1</f>
        <v>3.6924248191853914E-2</v>
      </c>
      <c r="K50" s="66"/>
      <c r="L50" s="67" t="s">
        <v>113</v>
      </c>
      <c r="M50" s="10">
        <v>20078</v>
      </c>
      <c r="N50" s="10">
        <v>19467</v>
      </c>
      <c r="O50" s="68">
        <f t="shared" ref="O50:O54" si="27">(M50/N50)^(1/1)-1</f>
        <v>3.1386448862177119E-2</v>
      </c>
      <c r="Q50" s="10" t="s">
        <v>114</v>
      </c>
      <c r="R50" s="23">
        <v>0.40799999999999997</v>
      </c>
      <c r="T50" s="69" t="s">
        <v>115</v>
      </c>
      <c r="U50" s="69">
        <v>2153</v>
      </c>
      <c r="V50" s="69">
        <v>1943</v>
      </c>
      <c r="W50" s="65">
        <f t="shared" ref="W50:W57" si="28">U50/$U$59</f>
        <v>0.51274112884020007</v>
      </c>
      <c r="X50" s="70">
        <f t="shared" ref="X50:X57" si="29">(U50/V50)^(1/1)-1</f>
        <v>0.10808028821410187</v>
      </c>
    </row>
    <row r="51" spans="2:24" ht="14.4">
      <c r="B51" s="63" t="s">
        <v>116</v>
      </c>
      <c r="C51" s="64">
        <v>46</v>
      </c>
      <c r="D51" s="64">
        <v>32</v>
      </c>
      <c r="E51" s="65">
        <f t="shared" si="25"/>
        <v>0.4375</v>
      </c>
      <c r="G51" s="63" t="s">
        <v>116</v>
      </c>
      <c r="H51" s="64">
        <v>38</v>
      </c>
      <c r="I51" s="64">
        <v>26</v>
      </c>
      <c r="J51" s="65">
        <f t="shared" si="26"/>
        <v>0.46153846153846145</v>
      </c>
      <c r="L51" s="67" t="s">
        <v>116</v>
      </c>
      <c r="M51" s="10">
        <v>136</v>
      </c>
      <c r="N51" s="10">
        <v>109</v>
      </c>
      <c r="O51" s="68">
        <f t="shared" si="27"/>
        <v>0.24770642201834869</v>
      </c>
      <c r="Q51" s="10" t="s">
        <v>117</v>
      </c>
      <c r="R51" s="23">
        <v>0.30499999999999999</v>
      </c>
      <c r="T51" s="69" t="s">
        <v>118</v>
      </c>
      <c r="U51" s="71">
        <v>1177</v>
      </c>
      <c r="V51" s="71">
        <v>1137</v>
      </c>
      <c r="W51" s="65">
        <f t="shared" si="28"/>
        <v>0.28030483448440102</v>
      </c>
      <c r="X51" s="70">
        <f t="shared" si="29"/>
        <v>3.5180299032541829E-2</v>
      </c>
    </row>
    <row r="52" spans="2:24" ht="14.4">
      <c r="B52" s="63" t="s">
        <v>119</v>
      </c>
      <c r="C52" s="64">
        <v>4200</v>
      </c>
      <c r="D52" s="64">
        <v>3844</v>
      </c>
      <c r="E52" s="65">
        <f t="shared" si="25"/>
        <v>9.2611862643080078E-2</v>
      </c>
      <c r="G52" s="63" t="s">
        <v>119</v>
      </c>
      <c r="H52" s="64">
        <v>4308</v>
      </c>
      <c r="I52" s="64">
        <v>4054</v>
      </c>
      <c r="J52" s="65">
        <f t="shared" si="26"/>
        <v>6.2654168722249715E-2</v>
      </c>
      <c r="L52" s="67" t="s">
        <v>119</v>
      </c>
      <c r="M52" s="10">
        <v>16104</v>
      </c>
      <c r="N52" s="10">
        <v>15384</v>
      </c>
      <c r="O52" s="68">
        <f t="shared" si="27"/>
        <v>4.6801872074883066E-2</v>
      </c>
      <c r="Q52" s="10" t="s">
        <v>120</v>
      </c>
      <c r="R52" s="23">
        <v>0.16300000000000001</v>
      </c>
      <c r="T52" s="69" t="s">
        <v>121</v>
      </c>
      <c r="U52" s="69">
        <v>516</v>
      </c>
      <c r="V52" s="69">
        <v>505</v>
      </c>
      <c r="W52" s="65">
        <f t="shared" si="28"/>
        <v>0.12288640152417242</v>
      </c>
      <c r="X52" s="70">
        <f t="shared" si="29"/>
        <v>2.1782178217821802E-2</v>
      </c>
    </row>
    <row r="53" spans="2:24" thickBot="1">
      <c r="B53" s="63" t="s">
        <v>122</v>
      </c>
      <c r="C53" s="64">
        <v>646</v>
      </c>
      <c r="D53" s="64">
        <v>747</v>
      </c>
      <c r="E53" s="65">
        <f t="shared" si="25"/>
        <v>-0.1352074966532798</v>
      </c>
      <c r="G53" s="63" t="s">
        <v>122</v>
      </c>
      <c r="H53" s="64">
        <v>885</v>
      </c>
      <c r="I53" s="64">
        <v>934</v>
      </c>
      <c r="J53" s="65">
        <f t="shared" si="26"/>
        <v>-5.2462526766595241E-2</v>
      </c>
      <c r="L53" s="67" t="s">
        <v>122</v>
      </c>
      <c r="M53" s="10">
        <v>3208</v>
      </c>
      <c r="N53" s="10">
        <v>3196</v>
      </c>
      <c r="O53" s="68">
        <f t="shared" si="27"/>
        <v>3.754693366708306E-3</v>
      </c>
      <c r="Q53" s="7" t="s">
        <v>123</v>
      </c>
      <c r="R53" s="72">
        <v>0.124</v>
      </c>
      <c r="T53" s="69" t="s">
        <v>124</v>
      </c>
      <c r="U53" s="69">
        <v>157</v>
      </c>
      <c r="V53" s="69">
        <v>113</v>
      </c>
      <c r="W53" s="65">
        <f t="shared" si="28"/>
        <v>3.7389854727316027E-2</v>
      </c>
      <c r="X53" s="70">
        <f t="shared" si="29"/>
        <v>0.38938053097345127</v>
      </c>
    </row>
    <row r="54" spans="2:24" ht="15.6" thickTop="1" thickBot="1">
      <c r="B54" s="63" t="s">
        <v>5</v>
      </c>
      <c r="C54" s="64">
        <v>6.71</v>
      </c>
      <c r="D54" s="64">
        <v>7.74</v>
      </c>
      <c r="E54" s="65">
        <f t="shared" si="25"/>
        <v>-0.13307493540051685</v>
      </c>
      <c r="F54" s="66"/>
      <c r="G54" s="63" t="s">
        <v>5</v>
      </c>
      <c r="H54" s="64">
        <v>9.18</v>
      </c>
      <c r="I54" s="64">
        <v>9.69</v>
      </c>
      <c r="J54" s="65">
        <f t="shared" si="26"/>
        <v>-5.2631578947368363E-2</v>
      </c>
      <c r="K54" s="66"/>
      <c r="L54" s="67" t="s">
        <v>5</v>
      </c>
      <c r="M54" s="10">
        <v>33.270000000000003</v>
      </c>
      <c r="N54" s="10">
        <v>33.15</v>
      </c>
      <c r="O54" s="68">
        <f t="shared" si="27"/>
        <v>3.6199095022626526E-3</v>
      </c>
      <c r="R54" s="23"/>
      <c r="T54" s="69" t="s">
        <v>125</v>
      </c>
      <c r="U54" s="69">
        <v>179</v>
      </c>
      <c r="V54" s="69">
        <v>107</v>
      </c>
      <c r="W54" s="65">
        <f t="shared" si="28"/>
        <v>4.2629197427959037E-2</v>
      </c>
      <c r="X54" s="70">
        <f t="shared" si="29"/>
        <v>0.67289719626168232</v>
      </c>
    </row>
    <row r="55" spans="2:24" thickTop="1">
      <c r="B55" s="63" t="s">
        <v>126</v>
      </c>
      <c r="C55" s="73">
        <f t="shared" ref="C55:D55" si="30">C53/C50</f>
        <v>0.12731572723689397</v>
      </c>
      <c r="D55" s="73">
        <f t="shared" si="30"/>
        <v>0.15585228458168163</v>
      </c>
      <c r="E55" s="65">
        <f t="shared" ref="E55:E56" si="31">C55-D55</f>
        <v>-2.8536557344787661E-2</v>
      </c>
      <c r="F55" s="66"/>
      <c r="G55" s="63" t="s">
        <v>126</v>
      </c>
      <c r="H55" s="73">
        <f t="shared" ref="H55:I55" si="32">H53/H50</f>
        <v>0.16244493392070486</v>
      </c>
      <c r="I55" s="73">
        <f t="shared" si="32"/>
        <v>0.17776931861438905</v>
      </c>
      <c r="J55" s="65">
        <f t="shared" ref="J55:J56" si="33">H55-I55</f>
        <v>-1.532438469368419E-2</v>
      </c>
      <c r="L55" s="67" t="s">
        <v>126</v>
      </c>
      <c r="M55" s="29">
        <f t="shared" ref="M55:N55" si="34">M53/M50</f>
        <v>0.15977687020619583</v>
      </c>
      <c r="N55" s="29">
        <f t="shared" si="34"/>
        <v>0.16417527097138748</v>
      </c>
      <c r="O55" s="68">
        <f t="shared" ref="O55:O56" si="35">M55-N55</f>
        <v>-4.3984007651916568E-3</v>
      </c>
      <c r="P55" s="74"/>
      <c r="Q55" s="75" t="s">
        <v>127</v>
      </c>
      <c r="R55" s="76">
        <f>SUM(R50:R53)</f>
        <v>1</v>
      </c>
      <c r="S55" s="77"/>
      <c r="T55" s="69" t="s">
        <v>128</v>
      </c>
      <c r="U55" s="69">
        <v>46</v>
      </c>
      <c r="V55" s="69">
        <v>32</v>
      </c>
      <c r="W55" s="65">
        <f t="shared" si="28"/>
        <v>1.0954989283162658E-2</v>
      </c>
      <c r="X55" s="70">
        <f t="shared" si="29"/>
        <v>0.4375</v>
      </c>
    </row>
    <row r="56" spans="2:24" thickBot="1">
      <c r="B56" s="63" t="s">
        <v>32</v>
      </c>
      <c r="C56" s="78">
        <f t="shared" ref="C56:D56" si="36">(C50-C52+C51)/C51</f>
        <v>20</v>
      </c>
      <c r="D56" s="78">
        <f t="shared" si="36"/>
        <v>30.65625</v>
      </c>
      <c r="E56" s="79">
        <f t="shared" si="31"/>
        <v>-10.65625</v>
      </c>
      <c r="G56" s="63" t="s">
        <v>32</v>
      </c>
      <c r="H56" s="78">
        <f t="shared" ref="H56:I56" si="37">(H50-H52+H51)/H51</f>
        <v>31</v>
      </c>
      <c r="I56" s="78">
        <f t="shared" si="37"/>
        <v>47.153846153846153</v>
      </c>
      <c r="J56" s="79">
        <f t="shared" si="33"/>
        <v>-16.153846153846153</v>
      </c>
      <c r="L56" s="80" t="s">
        <v>32</v>
      </c>
      <c r="M56" s="32">
        <f t="shared" ref="M56:N56" si="38">(M50-M52+M51)/M51</f>
        <v>30.220588235294116</v>
      </c>
      <c r="N56" s="32">
        <f t="shared" si="38"/>
        <v>38.458715596330272</v>
      </c>
      <c r="O56" s="81">
        <f t="shared" si="35"/>
        <v>-8.2381273610361561</v>
      </c>
      <c r="Q56" s="35"/>
      <c r="S56" s="67"/>
      <c r="T56" s="69" t="s">
        <v>129</v>
      </c>
      <c r="U56" s="69">
        <v>18</v>
      </c>
      <c r="V56" s="64">
        <v>19</v>
      </c>
      <c r="W56" s="65">
        <f t="shared" si="28"/>
        <v>4.2867349368897354E-3</v>
      </c>
      <c r="X56" s="70">
        <f t="shared" si="29"/>
        <v>-5.2631578947368474E-2</v>
      </c>
    </row>
    <row r="57" spans="2:24" thickTop="1">
      <c r="T57" s="64" t="s">
        <v>130</v>
      </c>
      <c r="U57" s="64">
        <v>-47</v>
      </c>
      <c r="V57" s="64">
        <v>-11</v>
      </c>
      <c r="W57" s="65">
        <f t="shared" si="28"/>
        <v>-1.1193141224100976E-2</v>
      </c>
      <c r="X57" s="70">
        <f t="shared" si="29"/>
        <v>3.2727272727272725</v>
      </c>
    </row>
    <row r="58" spans="2:24" ht="18.600000000000001" thickBot="1">
      <c r="B58" s="24" t="s">
        <v>131</v>
      </c>
      <c r="C58" s="26" t="s">
        <v>43</v>
      </c>
      <c r="D58" s="26" t="s">
        <v>44</v>
      </c>
      <c r="E58" s="26" t="s">
        <v>5</v>
      </c>
      <c r="F58" s="26" t="s">
        <v>103</v>
      </c>
      <c r="T58" s="64"/>
      <c r="U58" s="64"/>
      <c r="V58" s="64"/>
      <c r="W58" s="65"/>
      <c r="X58" s="70"/>
    </row>
    <row r="59" spans="2:24" thickTop="1">
      <c r="B59" s="27" t="s">
        <v>132</v>
      </c>
      <c r="C59" s="82">
        <v>0.12</v>
      </c>
      <c r="D59" s="82">
        <v>0.12</v>
      </c>
      <c r="E59" s="82">
        <v>0.12</v>
      </c>
      <c r="F59" s="82">
        <f>AVERAGE(H39:H42)</f>
        <v>0.14755789041805278</v>
      </c>
      <c r="T59" s="83" t="s">
        <v>127</v>
      </c>
      <c r="U59" s="83">
        <f t="shared" ref="U59:V59" si="39">SUM(U50:U58)</f>
        <v>4199</v>
      </c>
      <c r="V59" s="83">
        <f t="shared" si="39"/>
        <v>3845</v>
      </c>
      <c r="W59" s="84">
        <f>U59/$U$59</f>
        <v>1</v>
      </c>
      <c r="X59" s="85">
        <f>(U59/V59)^(1/1)-1</f>
        <v>9.2067620286085727E-2</v>
      </c>
    </row>
    <row r="60" spans="2:24" thickBot="1">
      <c r="B60" s="31" t="s">
        <v>133</v>
      </c>
      <c r="C60" s="86">
        <v>0.08</v>
      </c>
      <c r="D60" s="86">
        <f>(D63/D35)-1</f>
        <v>-6.3643142144639286E-3</v>
      </c>
      <c r="E60" s="86">
        <v>-6.0000000000000001E-3</v>
      </c>
      <c r="F60" s="86">
        <f>G47</f>
        <v>0.14699999999999999</v>
      </c>
    </row>
    <row r="61" spans="2:24" ht="18.600000000000001" thickTop="1">
      <c r="B61" s="67"/>
      <c r="D61" s="29"/>
      <c r="F61" s="87"/>
      <c r="G61" s="88" t="s">
        <v>134</v>
      </c>
      <c r="H61" s="55"/>
      <c r="I61" s="55"/>
      <c r="J61" s="88" t="s">
        <v>135</v>
      </c>
      <c r="K61" s="55"/>
      <c r="L61" s="55"/>
      <c r="M61" s="89" t="s">
        <v>136</v>
      </c>
      <c r="O61" s="40" t="s">
        <v>137</v>
      </c>
    </row>
    <row r="62" spans="2:24" ht="18">
      <c r="B62" s="24" t="s">
        <v>138</v>
      </c>
      <c r="C62" s="26" t="s">
        <v>43</v>
      </c>
      <c r="D62" s="26" t="s">
        <v>44</v>
      </c>
      <c r="E62" s="26" t="s">
        <v>5</v>
      </c>
      <c r="F62" s="26" t="s">
        <v>139</v>
      </c>
      <c r="G62" s="26" t="s">
        <v>140</v>
      </c>
      <c r="H62" s="26" t="s">
        <v>141</v>
      </c>
      <c r="I62" s="26" t="s">
        <v>142</v>
      </c>
      <c r="J62" s="26" t="s">
        <v>140</v>
      </c>
      <c r="K62" s="26" t="s">
        <v>143</v>
      </c>
      <c r="L62" s="26" t="s">
        <v>142</v>
      </c>
      <c r="M62" s="26" t="s">
        <v>144</v>
      </c>
      <c r="O62" s="90" t="s">
        <v>145</v>
      </c>
      <c r="P62" s="61">
        <v>2025</v>
      </c>
      <c r="Q62" s="61">
        <v>2016</v>
      </c>
      <c r="R62" s="61" t="s">
        <v>106</v>
      </c>
    </row>
    <row r="63" spans="2:24" ht="14.4">
      <c r="B63" s="27" t="s">
        <v>133</v>
      </c>
      <c r="C63" s="91">
        <f>FV(C60,1,0,-C35,0)</f>
        <v>21684.240000000002</v>
      </c>
      <c r="D63" s="91">
        <f>C63*F60</f>
        <v>3187.5832799999998</v>
      </c>
      <c r="E63" s="92">
        <f>FV(E60,1,0,-G35,0)/2</f>
        <v>16.53519</v>
      </c>
      <c r="F63" s="93">
        <f>((E63*20%)+M35)/2</f>
        <v>22.454348875518672</v>
      </c>
      <c r="G63" s="94">
        <f t="shared" ref="G63:G65" si="40">E63*55</f>
        <v>909.43544999999995</v>
      </c>
      <c r="H63" s="95">
        <f t="shared" ref="H63:H65" si="41">AVERAGE(G63,I63)</f>
        <v>1116.125325</v>
      </c>
      <c r="I63" s="94">
        <f t="shared" ref="I63:I65" si="42">E63*80</f>
        <v>1322.8152</v>
      </c>
      <c r="J63" s="94">
        <f t="shared" ref="J63:J65" si="43">F63*45</f>
        <v>1010.4456993983403</v>
      </c>
      <c r="K63" s="95">
        <f t="shared" ref="K63:K65" si="44">AVERAGE(J63,L63)</f>
        <v>1234.989188153527</v>
      </c>
      <c r="L63" s="94">
        <f t="shared" ref="L63:L65" si="45">F63*65</f>
        <v>1459.5326769087137</v>
      </c>
      <c r="M63" s="94">
        <f t="shared" ref="M63:M65" si="46">0.6*H63+0.4*K63</f>
        <v>1163.6708702614108</v>
      </c>
      <c r="O63" s="64" t="s">
        <v>146</v>
      </c>
      <c r="P63" s="96">
        <v>62.76</v>
      </c>
      <c r="Q63" s="64">
        <v>62.76</v>
      </c>
      <c r="R63" s="70">
        <f t="shared" ref="R63:R66" si="47">(P63/Q63)^(1/1)-1</f>
        <v>0</v>
      </c>
    </row>
    <row r="64" spans="2:24" ht="14.4">
      <c r="B64" s="27" t="s">
        <v>147</v>
      </c>
      <c r="C64" s="91">
        <f>FV(C59,4,0,-C63,0)</f>
        <v>34120.57144688641</v>
      </c>
      <c r="D64" s="91">
        <f>C64*F59</f>
        <v>5034.7595425610052</v>
      </c>
      <c r="E64" s="92">
        <f>(D64*E63)/D63</f>
        <v>26.117186070997118</v>
      </c>
      <c r="F64" s="97">
        <f>FV(4%,4,0,-F63,0)</f>
        <v>26.268412241251898</v>
      </c>
      <c r="G64" s="94">
        <f t="shared" si="40"/>
        <v>1436.4452339048414</v>
      </c>
      <c r="H64" s="95">
        <f t="shared" si="41"/>
        <v>1762.9100597923052</v>
      </c>
      <c r="I64" s="94">
        <f t="shared" si="42"/>
        <v>2089.3748856797692</v>
      </c>
      <c r="J64" s="94">
        <f t="shared" si="43"/>
        <v>1182.0785508563354</v>
      </c>
      <c r="K64" s="95">
        <f t="shared" si="44"/>
        <v>1444.7626732688545</v>
      </c>
      <c r="L64" s="94">
        <f t="shared" si="45"/>
        <v>1707.4467956813735</v>
      </c>
      <c r="M64" s="94">
        <f t="shared" si="46"/>
        <v>1635.6511051829248</v>
      </c>
      <c r="O64" s="64" t="s">
        <v>148</v>
      </c>
      <c r="P64" s="96">
        <v>11.31</v>
      </c>
      <c r="Q64" s="78">
        <f>0.87+0.11+4.69+2.17</f>
        <v>7.84</v>
      </c>
      <c r="R64" s="70">
        <f t="shared" si="47"/>
        <v>0.4426020408163267</v>
      </c>
    </row>
    <row r="65" spans="2:18" thickBot="1">
      <c r="B65" s="31" t="s">
        <v>149</v>
      </c>
      <c r="C65" s="98">
        <f t="shared" ref="C65:E65" si="48">FV(C59,5,0,-C64,0)</f>
        <v>60132.10531545167</v>
      </c>
      <c r="D65" s="98">
        <f t="shared" si="48"/>
        <v>8872.9666067442267</v>
      </c>
      <c r="E65" s="99">
        <f t="shared" si="48"/>
        <v>46.027405660808668</v>
      </c>
      <c r="F65" s="97">
        <f>FV(4%,5,0,-F64,0)</f>
        <v>31.959539994758821</v>
      </c>
      <c r="G65" s="94">
        <f t="shared" si="40"/>
        <v>2531.5073113444769</v>
      </c>
      <c r="H65" s="95">
        <f t="shared" si="41"/>
        <v>3106.849882104585</v>
      </c>
      <c r="I65" s="94">
        <f t="shared" si="42"/>
        <v>3682.1924528646932</v>
      </c>
      <c r="J65" s="94">
        <f t="shared" si="43"/>
        <v>1438.1792997641469</v>
      </c>
      <c r="K65" s="95">
        <f t="shared" si="44"/>
        <v>1757.7746997117351</v>
      </c>
      <c r="L65" s="94">
        <f t="shared" si="45"/>
        <v>2077.3700996593234</v>
      </c>
      <c r="M65" s="94">
        <f t="shared" si="46"/>
        <v>2567.2198091474452</v>
      </c>
      <c r="O65" s="64" t="s">
        <v>150</v>
      </c>
      <c r="P65" s="96">
        <v>10.01</v>
      </c>
      <c r="Q65" s="64">
        <f>14.37+0.67</f>
        <v>15.04</v>
      </c>
      <c r="R65" s="70">
        <f t="shared" si="47"/>
        <v>-0.33444148936170215</v>
      </c>
    </row>
    <row r="66" spans="2:18" thickTop="1">
      <c r="O66" s="64" t="s">
        <v>151</v>
      </c>
      <c r="P66" s="96">
        <v>15.91</v>
      </c>
      <c r="Q66" s="64">
        <f>10.35+3.93</f>
        <v>14.28</v>
      </c>
      <c r="R66" s="70">
        <f t="shared" si="47"/>
        <v>0.11414565826330536</v>
      </c>
    </row>
    <row r="67" spans="2:18" ht="24">
      <c r="B67" s="100" t="s">
        <v>0</v>
      </c>
      <c r="C67" s="101" t="s">
        <v>1</v>
      </c>
      <c r="D67" s="100" t="s">
        <v>152</v>
      </c>
      <c r="E67" s="100" t="s">
        <v>153</v>
      </c>
      <c r="F67" s="100" t="s">
        <v>154</v>
      </c>
    </row>
    <row r="68" spans="2:18" thickBot="1">
      <c r="B68" s="3" t="s">
        <v>20</v>
      </c>
      <c r="C68" s="102">
        <f ca="1">IFERROR(__xludf.DUMMYFUNCTION("googlefinance(""nse:""&amp;B68,""price"")"),1174)</f>
        <v>1174</v>
      </c>
      <c r="D68" s="103">
        <v>1.0999999999999999E-2</v>
      </c>
      <c r="E68" s="104">
        <f ca="1">IFERROR(MAX(0.25, MIN(1,1.25 - 0.5*(C68/M63))),"")</f>
        <v>0.74556183367541506</v>
      </c>
      <c r="F68" s="105">
        <f ca="1">D68*E68</f>
        <v>8.2011801704295652E-3</v>
      </c>
    </row>
    <row r="69" spans="2:18" thickTop="1">
      <c r="Q69" s="106"/>
      <c r="R69" s="106"/>
    </row>
    <row r="70" spans="2:18" ht="14.4">
      <c r="B70" s="67"/>
    </row>
    <row r="71" spans="2:18" ht="14.4">
      <c r="B71" s="67"/>
      <c r="O71" s="10"/>
    </row>
    <row r="72" spans="2:18" ht="14.4">
      <c r="B72" s="67"/>
    </row>
    <row r="73" spans="2:18" ht="14.4">
      <c r="B73" s="67"/>
      <c r="O73" s="10"/>
    </row>
    <row r="74" spans="2:18" ht="14.4">
      <c r="B74" s="67"/>
    </row>
    <row r="75" spans="2:18" ht="14.4">
      <c r="B75" s="67"/>
    </row>
    <row r="76" spans="2:18" ht="14.4">
      <c r="B76" s="67"/>
    </row>
    <row r="77" spans="2:18" ht="14.4">
      <c r="B77" s="67"/>
    </row>
    <row r="78" spans="2:18" ht="14.4">
      <c r="B78" s="67"/>
    </row>
    <row r="79" spans="2:18" ht="14.4">
      <c r="B79" s="67"/>
    </row>
    <row r="80" spans="2:18" ht="14.4">
      <c r="B80" s="67"/>
    </row>
    <row r="81" spans="2:2" ht="14.4">
      <c r="B81" s="67"/>
    </row>
    <row r="82" spans="2:2" ht="14.4">
      <c r="B82" s="67"/>
    </row>
    <row r="83" spans="2:2" ht="14.4">
      <c r="B83" s="67"/>
    </row>
    <row r="84" spans="2:2" ht="14.4">
      <c r="B84" s="67"/>
    </row>
    <row r="85" spans="2:2" ht="14.4">
      <c r="B85" s="67"/>
    </row>
    <row r="86" spans="2:2" ht="14.4">
      <c r="B86" s="67"/>
    </row>
    <row r="87" spans="2:2" ht="14.4">
      <c r="B87" s="67"/>
    </row>
    <row r="88" spans="2:2" ht="14.4">
      <c r="B88" s="67"/>
    </row>
    <row r="89" spans="2:2" ht="14.4">
      <c r="B89" s="67"/>
    </row>
    <row r="90" spans="2:2" ht="14.4">
      <c r="B90" s="67"/>
    </row>
    <row r="91" spans="2:2" ht="14.4">
      <c r="B91" s="67"/>
    </row>
    <row r="92" spans="2:2" ht="14.4">
      <c r="B92" s="67"/>
    </row>
    <row r="93" spans="2:2" ht="14.4">
      <c r="B93" s="67"/>
    </row>
    <row r="94" spans="2:2" ht="14.4">
      <c r="B94" s="67"/>
    </row>
    <row r="95" spans="2:2" ht="14.4">
      <c r="B95" s="67"/>
    </row>
    <row r="96" spans="2:2" ht="14.4">
      <c r="B96" s="67"/>
    </row>
    <row r="97" spans="2:2" ht="14.4">
      <c r="B97" s="67"/>
    </row>
    <row r="98" spans="2:2" ht="14.4">
      <c r="B98" s="67"/>
    </row>
    <row r="99" spans="2:2" ht="14.4">
      <c r="B99" s="67"/>
    </row>
    <row r="100" spans="2:2" ht="14.4">
      <c r="B100" s="67"/>
    </row>
    <row r="101" spans="2:2" ht="14.4">
      <c r="B101" s="67"/>
    </row>
    <row r="102" spans="2:2" ht="14.4">
      <c r="B102" s="67"/>
    </row>
    <row r="103" spans="2:2" ht="14.4">
      <c r="B103" s="67"/>
    </row>
    <row r="104" spans="2:2" ht="14.4">
      <c r="B104" s="67"/>
    </row>
    <row r="105" spans="2:2" ht="14.4">
      <c r="B105" s="67"/>
    </row>
    <row r="106" spans="2:2" ht="14.4">
      <c r="B106" s="67"/>
    </row>
    <row r="107" spans="2:2" ht="14.4">
      <c r="B107" s="67"/>
    </row>
    <row r="108" spans="2:2" ht="14.4">
      <c r="B108" s="67"/>
    </row>
    <row r="109" spans="2:2" ht="14.4">
      <c r="B109" s="67"/>
    </row>
    <row r="110" spans="2:2" ht="14.4">
      <c r="B110" s="67"/>
    </row>
    <row r="111" spans="2:2" ht="14.4">
      <c r="B111" s="67"/>
    </row>
    <row r="112" spans="2:2" ht="14.4">
      <c r="B112" s="67"/>
    </row>
    <row r="113" spans="2:2" ht="14.4">
      <c r="B113" s="67"/>
    </row>
    <row r="114" spans="2:2" ht="14.4">
      <c r="B114" s="67"/>
    </row>
    <row r="115" spans="2:2" ht="14.4">
      <c r="B115" s="67"/>
    </row>
    <row r="116" spans="2:2" ht="14.4">
      <c r="B116" s="67"/>
    </row>
    <row r="117" spans="2:2" ht="14.4">
      <c r="B117" s="67"/>
    </row>
    <row r="118" spans="2:2" ht="14.4">
      <c r="B118" s="67"/>
    </row>
    <row r="119" spans="2:2" ht="14.4">
      <c r="B119" s="67"/>
    </row>
    <row r="120" spans="2:2" ht="14.4">
      <c r="B120" s="67"/>
    </row>
    <row r="121" spans="2:2" ht="14.4">
      <c r="B121" s="67"/>
    </row>
    <row r="122" spans="2:2" ht="14.4">
      <c r="B122" s="67"/>
    </row>
    <row r="123" spans="2:2" ht="14.4">
      <c r="B123" s="67"/>
    </row>
    <row r="124" spans="2:2" ht="14.4">
      <c r="B124" s="67"/>
    </row>
    <row r="125" spans="2:2" ht="14.4">
      <c r="B125" s="67"/>
    </row>
    <row r="126" spans="2:2" ht="14.4">
      <c r="B126" s="67"/>
    </row>
    <row r="127" spans="2:2" ht="14.4">
      <c r="B127" s="67"/>
    </row>
    <row r="128" spans="2:2" ht="14.4">
      <c r="B128" s="67"/>
    </row>
    <row r="129" spans="2:2" ht="14.4">
      <c r="B129" s="67"/>
    </row>
    <row r="130" spans="2:2" ht="14.4">
      <c r="B130" s="67"/>
    </row>
    <row r="131" spans="2:2" ht="14.4">
      <c r="B131" s="67"/>
    </row>
    <row r="132" spans="2:2" ht="14.4">
      <c r="B132" s="67"/>
    </row>
    <row r="133" spans="2:2" ht="14.4">
      <c r="B133" s="67"/>
    </row>
    <row r="134" spans="2:2" ht="14.4">
      <c r="B134" s="67"/>
    </row>
    <row r="135" spans="2:2" ht="14.4">
      <c r="B135" s="67"/>
    </row>
    <row r="136" spans="2:2" ht="14.4">
      <c r="B136" s="67"/>
    </row>
    <row r="137" spans="2:2" ht="14.4">
      <c r="B137" s="67"/>
    </row>
    <row r="138" spans="2:2" ht="14.4">
      <c r="B138" s="67"/>
    </row>
    <row r="139" spans="2:2" ht="14.4">
      <c r="B139" s="67"/>
    </row>
    <row r="140" spans="2:2" ht="14.4">
      <c r="B140" s="67"/>
    </row>
    <row r="141" spans="2:2" ht="14.4">
      <c r="B141" s="67"/>
    </row>
    <row r="142" spans="2:2" ht="14.4">
      <c r="B142" s="67"/>
    </row>
    <row r="143" spans="2:2" ht="14.4">
      <c r="B143" s="67"/>
    </row>
    <row r="144" spans="2:2" ht="14.4">
      <c r="B144" s="67"/>
    </row>
    <row r="145" spans="2:2" ht="14.4">
      <c r="B145" s="67"/>
    </row>
    <row r="146" spans="2:2" ht="14.4">
      <c r="B146" s="67"/>
    </row>
    <row r="147" spans="2:2" ht="14.4">
      <c r="B147" s="67"/>
    </row>
    <row r="148" spans="2:2" ht="14.4">
      <c r="B148" s="67"/>
    </row>
    <row r="149" spans="2:2" ht="14.4">
      <c r="B149" s="67"/>
    </row>
    <row r="150" spans="2:2" ht="14.4">
      <c r="B150" s="67"/>
    </row>
    <row r="151" spans="2:2" ht="14.4">
      <c r="B151" s="67"/>
    </row>
    <row r="152" spans="2:2" ht="14.4">
      <c r="B152" s="67"/>
    </row>
    <row r="153" spans="2:2" ht="14.4">
      <c r="B153" s="67"/>
    </row>
    <row r="154" spans="2:2" ht="14.4">
      <c r="B154" s="67"/>
    </row>
    <row r="155" spans="2:2" ht="14.4">
      <c r="B155" s="67"/>
    </row>
    <row r="156" spans="2:2" ht="14.4">
      <c r="B156" s="67"/>
    </row>
    <row r="157" spans="2:2" ht="14.4">
      <c r="B157" s="67"/>
    </row>
    <row r="158" spans="2:2" ht="14.4">
      <c r="B158" s="67"/>
    </row>
    <row r="159" spans="2:2" ht="14.4">
      <c r="B159" s="67"/>
    </row>
    <row r="160" spans="2:2" ht="14.4">
      <c r="B160" s="67"/>
    </row>
    <row r="161" spans="2:2" ht="14.4">
      <c r="B161" s="67"/>
    </row>
    <row r="162" spans="2:2" ht="14.4">
      <c r="B162" s="67"/>
    </row>
    <row r="163" spans="2:2" ht="14.4">
      <c r="B163" s="67"/>
    </row>
    <row r="164" spans="2:2" ht="14.4">
      <c r="B164" s="67"/>
    </row>
    <row r="165" spans="2:2" ht="14.4">
      <c r="B165" s="67"/>
    </row>
    <row r="166" spans="2:2" ht="14.4">
      <c r="B166" s="67"/>
    </row>
    <row r="167" spans="2:2" ht="14.4">
      <c r="B167" s="67"/>
    </row>
    <row r="168" spans="2:2" ht="14.4">
      <c r="B168" s="67"/>
    </row>
    <row r="169" spans="2:2" ht="14.4">
      <c r="B169" s="67"/>
    </row>
    <row r="170" spans="2:2" ht="14.4">
      <c r="B170" s="67"/>
    </row>
    <row r="171" spans="2:2" ht="14.4">
      <c r="B171" s="67"/>
    </row>
    <row r="172" spans="2:2" ht="14.4">
      <c r="B172" s="67"/>
    </row>
    <row r="173" spans="2:2" ht="14.4">
      <c r="B173" s="67"/>
    </row>
    <row r="174" spans="2:2" ht="14.4">
      <c r="B174" s="67"/>
    </row>
    <row r="175" spans="2:2" ht="14.4">
      <c r="B175" s="67"/>
    </row>
    <row r="176" spans="2:2" ht="14.4">
      <c r="B176" s="67"/>
    </row>
    <row r="177" spans="2:2" ht="14.4">
      <c r="B177" s="67"/>
    </row>
    <row r="178" spans="2:2" ht="14.4">
      <c r="B178" s="67"/>
    </row>
    <row r="179" spans="2:2" ht="14.4">
      <c r="B179" s="67"/>
    </row>
    <row r="180" spans="2:2" ht="14.4">
      <c r="B180" s="67"/>
    </row>
    <row r="181" spans="2:2" ht="14.4">
      <c r="B181" s="67"/>
    </row>
    <row r="182" spans="2:2" ht="14.4">
      <c r="B182" s="67"/>
    </row>
    <row r="183" spans="2:2" ht="14.4">
      <c r="B183" s="67"/>
    </row>
    <row r="184" spans="2:2" ht="14.4">
      <c r="B184" s="67"/>
    </row>
    <row r="185" spans="2:2" ht="14.4">
      <c r="B185" s="67"/>
    </row>
    <row r="186" spans="2:2" ht="14.4">
      <c r="B186" s="67"/>
    </row>
    <row r="187" spans="2:2" ht="14.4">
      <c r="B187" s="67"/>
    </row>
    <row r="188" spans="2:2" ht="14.4">
      <c r="B188" s="67"/>
    </row>
    <row r="189" spans="2:2" ht="14.4">
      <c r="B189" s="67"/>
    </row>
    <row r="190" spans="2:2" ht="14.4">
      <c r="B190" s="67"/>
    </row>
    <row r="191" spans="2:2" ht="14.4">
      <c r="B191" s="67"/>
    </row>
    <row r="192" spans="2:2" ht="14.4">
      <c r="B192" s="67"/>
    </row>
    <row r="193" spans="2:2" ht="14.4">
      <c r="B193" s="67"/>
    </row>
    <row r="194" spans="2:2" ht="14.4">
      <c r="B194" s="67"/>
    </row>
    <row r="195" spans="2:2" ht="14.4">
      <c r="B195" s="67"/>
    </row>
    <row r="196" spans="2:2" ht="14.4">
      <c r="B196" s="67"/>
    </row>
    <row r="197" spans="2:2" ht="14.4">
      <c r="B197" s="67"/>
    </row>
    <row r="198" spans="2:2" ht="14.4">
      <c r="B198" s="67"/>
    </row>
    <row r="199" spans="2:2" ht="14.4">
      <c r="B199" s="67"/>
    </row>
    <row r="200" spans="2:2" ht="14.4">
      <c r="B200" s="67"/>
    </row>
    <row r="201" spans="2:2" ht="14.4">
      <c r="B201" s="67"/>
    </row>
    <row r="202" spans="2:2" ht="14.4">
      <c r="B202" s="67"/>
    </row>
    <row r="203" spans="2:2" ht="14.4">
      <c r="B203" s="67"/>
    </row>
    <row r="204" spans="2:2" ht="14.4">
      <c r="B204" s="67"/>
    </row>
    <row r="205" spans="2:2" ht="14.4">
      <c r="B205" s="67"/>
    </row>
    <row r="206" spans="2:2" ht="14.4">
      <c r="B206" s="67"/>
    </row>
    <row r="207" spans="2:2" ht="14.4">
      <c r="B207" s="67"/>
    </row>
    <row r="208" spans="2:2" ht="14.4">
      <c r="B208" s="67"/>
    </row>
    <row r="209" spans="2:2" ht="14.4">
      <c r="B209" s="67"/>
    </row>
    <row r="210" spans="2:2" ht="14.4">
      <c r="B210" s="67"/>
    </row>
    <row r="211" spans="2:2" ht="14.4">
      <c r="B211" s="67"/>
    </row>
    <row r="212" spans="2:2" ht="14.4">
      <c r="B212" s="67"/>
    </row>
    <row r="213" spans="2:2" ht="14.4">
      <c r="B213" s="67"/>
    </row>
    <row r="214" spans="2:2" ht="14.4">
      <c r="B214" s="67"/>
    </row>
    <row r="215" spans="2:2" ht="14.4">
      <c r="B215" s="67"/>
    </row>
    <row r="216" spans="2:2" ht="14.4">
      <c r="B216" s="67"/>
    </row>
    <row r="217" spans="2:2" ht="14.4">
      <c r="B217" s="67"/>
    </row>
    <row r="218" spans="2:2" ht="14.4">
      <c r="B218" s="67"/>
    </row>
    <row r="219" spans="2:2" ht="14.4">
      <c r="B219" s="67"/>
    </row>
    <row r="220" spans="2:2" ht="14.4">
      <c r="B220" s="67"/>
    </row>
    <row r="221" spans="2:2" ht="14.4">
      <c r="B221" s="67"/>
    </row>
    <row r="222" spans="2:2" ht="14.4">
      <c r="B222" s="67"/>
    </row>
    <row r="223" spans="2:2" ht="14.4">
      <c r="B223" s="67"/>
    </row>
    <row r="224" spans="2:2" ht="14.4">
      <c r="B224" s="67"/>
    </row>
    <row r="225" spans="2:2" ht="14.4">
      <c r="B225" s="67"/>
    </row>
    <row r="226" spans="2:2" ht="14.4">
      <c r="B226" s="67"/>
    </row>
    <row r="227" spans="2:2" ht="14.4">
      <c r="B227" s="67"/>
    </row>
    <row r="228" spans="2:2" ht="14.4">
      <c r="B228" s="67"/>
    </row>
    <row r="229" spans="2:2" ht="14.4">
      <c r="B229" s="67"/>
    </row>
    <row r="230" spans="2:2" ht="14.4">
      <c r="B230" s="67"/>
    </row>
    <row r="231" spans="2:2" ht="14.4">
      <c r="B231" s="67"/>
    </row>
    <row r="232" spans="2:2" ht="14.4">
      <c r="B232" s="67"/>
    </row>
    <row r="233" spans="2:2" ht="14.4">
      <c r="B233" s="67"/>
    </row>
    <row r="234" spans="2:2" ht="14.4">
      <c r="B234" s="67"/>
    </row>
    <row r="235" spans="2:2" ht="14.4">
      <c r="B235" s="67"/>
    </row>
    <row r="236" spans="2:2" ht="14.4">
      <c r="B236" s="67"/>
    </row>
    <row r="237" spans="2:2" ht="14.4">
      <c r="B237" s="67"/>
    </row>
    <row r="238" spans="2:2" ht="14.4">
      <c r="B238" s="67"/>
    </row>
    <row r="239" spans="2:2" ht="14.4">
      <c r="B239" s="67"/>
    </row>
    <row r="240" spans="2:2" ht="14.4">
      <c r="B240" s="67"/>
    </row>
    <row r="241" spans="2:2" ht="14.4">
      <c r="B241" s="67"/>
    </row>
    <row r="242" spans="2:2" ht="14.4">
      <c r="B242" s="67"/>
    </row>
    <row r="243" spans="2:2" ht="14.4">
      <c r="B243" s="67"/>
    </row>
    <row r="244" spans="2:2" ht="14.4">
      <c r="B244" s="67"/>
    </row>
    <row r="245" spans="2:2" ht="14.4">
      <c r="B245" s="67"/>
    </row>
    <row r="246" spans="2:2" ht="14.4">
      <c r="B246" s="67"/>
    </row>
    <row r="247" spans="2:2" ht="14.4">
      <c r="B247" s="67"/>
    </row>
    <row r="248" spans="2:2" ht="14.4">
      <c r="B248" s="67"/>
    </row>
    <row r="249" spans="2:2" ht="14.4">
      <c r="B249" s="67"/>
    </row>
    <row r="250" spans="2:2" ht="14.4">
      <c r="B250" s="67"/>
    </row>
    <row r="251" spans="2:2" ht="14.4">
      <c r="B251" s="67"/>
    </row>
    <row r="252" spans="2:2" ht="14.4">
      <c r="B252" s="67"/>
    </row>
    <row r="253" spans="2:2" ht="14.4">
      <c r="B253" s="67"/>
    </row>
    <row r="254" spans="2:2" ht="14.4">
      <c r="B254" s="67"/>
    </row>
    <row r="255" spans="2:2" ht="14.4">
      <c r="B255" s="67"/>
    </row>
    <row r="256" spans="2:2" ht="14.4">
      <c r="B256" s="67"/>
    </row>
    <row r="257" spans="2:2" ht="14.4">
      <c r="B257" s="67"/>
    </row>
    <row r="258" spans="2:2" ht="14.4">
      <c r="B258" s="67"/>
    </row>
    <row r="259" spans="2:2" ht="14.4">
      <c r="B259" s="67"/>
    </row>
    <row r="260" spans="2:2" ht="14.4">
      <c r="B260" s="67"/>
    </row>
    <row r="261" spans="2:2" ht="14.4">
      <c r="B261" s="67"/>
    </row>
    <row r="262" spans="2:2" ht="14.4">
      <c r="B262" s="67"/>
    </row>
    <row r="263" spans="2:2" ht="14.4">
      <c r="B263" s="67"/>
    </row>
    <row r="264" spans="2:2" ht="14.4">
      <c r="B264" s="67"/>
    </row>
    <row r="265" spans="2:2" ht="14.4">
      <c r="B265" s="67"/>
    </row>
    <row r="266" spans="2:2" ht="14.4">
      <c r="B266" s="67"/>
    </row>
    <row r="267" spans="2:2" ht="14.4">
      <c r="B267" s="67"/>
    </row>
    <row r="268" spans="2:2" ht="14.4">
      <c r="B268" s="67"/>
    </row>
    <row r="269" spans="2:2" ht="14.4">
      <c r="B269" s="67"/>
    </row>
    <row r="270" spans="2:2" ht="14.4">
      <c r="B270" s="67"/>
    </row>
    <row r="271" spans="2:2" ht="14.4">
      <c r="B271" s="67"/>
    </row>
    <row r="272" spans="2:2" ht="14.4">
      <c r="B272" s="67"/>
    </row>
    <row r="273" spans="2:2" ht="14.4">
      <c r="B273" s="67"/>
    </row>
    <row r="274" spans="2:2" ht="14.4">
      <c r="B274" s="67"/>
    </row>
    <row r="275" spans="2:2" ht="14.4">
      <c r="B275" s="67"/>
    </row>
    <row r="276" spans="2:2" ht="14.4">
      <c r="B276" s="67"/>
    </row>
    <row r="277" spans="2:2" ht="14.4">
      <c r="B277" s="67"/>
    </row>
    <row r="278" spans="2:2" ht="14.4">
      <c r="B278" s="67"/>
    </row>
    <row r="279" spans="2:2" ht="14.4">
      <c r="B279" s="67"/>
    </row>
    <row r="280" spans="2:2" ht="14.4">
      <c r="B280" s="67"/>
    </row>
    <row r="281" spans="2:2" ht="14.4">
      <c r="B281" s="67"/>
    </row>
    <row r="282" spans="2:2" ht="14.4">
      <c r="B282" s="67"/>
    </row>
    <row r="283" spans="2:2" ht="14.4">
      <c r="B283" s="67"/>
    </row>
    <row r="284" spans="2:2" ht="14.4">
      <c r="B284" s="67"/>
    </row>
    <row r="285" spans="2:2" ht="14.4">
      <c r="B285" s="67"/>
    </row>
    <row r="286" spans="2:2" ht="14.4">
      <c r="B286" s="67"/>
    </row>
    <row r="287" spans="2:2" ht="14.4">
      <c r="B287" s="67"/>
    </row>
    <row r="288" spans="2:2" ht="14.4">
      <c r="B288" s="67"/>
    </row>
    <row r="289" spans="2:2" ht="14.4">
      <c r="B289" s="67"/>
    </row>
    <row r="290" spans="2:2" ht="14.4">
      <c r="B290" s="67"/>
    </row>
    <row r="291" spans="2:2" ht="14.4">
      <c r="B291" s="67"/>
    </row>
    <row r="292" spans="2:2" ht="14.4">
      <c r="B292" s="67"/>
    </row>
    <row r="293" spans="2:2" ht="14.4">
      <c r="B293" s="67"/>
    </row>
    <row r="294" spans="2:2" ht="14.4">
      <c r="B294" s="67"/>
    </row>
    <row r="295" spans="2:2" ht="14.4">
      <c r="B295" s="67"/>
    </row>
    <row r="296" spans="2:2" ht="14.4">
      <c r="B296" s="67"/>
    </row>
    <row r="297" spans="2:2" ht="14.4">
      <c r="B297" s="67"/>
    </row>
    <row r="298" spans="2:2" ht="14.4">
      <c r="B298" s="67"/>
    </row>
    <row r="299" spans="2:2" ht="14.4">
      <c r="B299" s="67"/>
    </row>
    <row r="300" spans="2:2" ht="14.4">
      <c r="B300" s="67"/>
    </row>
    <row r="301" spans="2:2" ht="14.4">
      <c r="B301" s="67"/>
    </row>
    <row r="302" spans="2:2" ht="14.4">
      <c r="B302" s="67"/>
    </row>
    <row r="303" spans="2:2" ht="14.4">
      <c r="B303" s="67"/>
    </row>
    <row r="304" spans="2:2" ht="14.4">
      <c r="B304" s="67"/>
    </row>
    <row r="305" spans="2:2" ht="14.4">
      <c r="B305" s="67"/>
    </row>
    <row r="306" spans="2:2" ht="14.4">
      <c r="B306" s="67"/>
    </row>
    <row r="307" spans="2:2" ht="14.4">
      <c r="B307" s="67"/>
    </row>
    <row r="308" spans="2:2" ht="14.4">
      <c r="B308" s="67"/>
    </row>
    <row r="309" spans="2:2" ht="14.4">
      <c r="B309" s="67"/>
    </row>
    <row r="310" spans="2:2" ht="14.4">
      <c r="B310" s="67"/>
    </row>
    <row r="311" spans="2:2" ht="14.4">
      <c r="B311" s="67"/>
    </row>
    <row r="312" spans="2:2" ht="14.4">
      <c r="B312" s="67"/>
    </row>
    <row r="313" spans="2:2" ht="14.4">
      <c r="B313" s="67"/>
    </row>
    <row r="314" spans="2:2" ht="14.4">
      <c r="B314" s="67"/>
    </row>
    <row r="315" spans="2:2" ht="14.4">
      <c r="B315" s="67"/>
    </row>
    <row r="316" spans="2:2" ht="14.4">
      <c r="B316" s="67"/>
    </row>
    <row r="317" spans="2:2" ht="14.4">
      <c r="B317" s="67"/>
    </row>
    <row r="318" spans="2:2" ht="14.4">
      <c r="B318" s="67"/>
    </row>
    <row r="319" spans="2:2" ht="14.4">
      <c r="B319" s="67"/>
    </row>
    <row r="320" spans="2:2" ht="14.4">
      <c r="B320" s="67"/>
    </row>
    <row r="321" spans="2:2" ht="14.4">
      <c r="B321" s="67"/>
    </row>
    <row r="322" spans="2:2" ht="14.4">
      <c r="B322" s="67"/>
    </row>
    <row r="323" spans="2:2" ht="14.4">
      <c r="B323" s="67"/>
    </row>
    <row r="324" spans="2:2" ht="14.4">
      <c r="B324" s="67"/>
    </row>
    <row r="325" spans="2:2" ht="14.4">
      <c r="B325" s="67"/>
    </row>
    <row r="326" spans="2:2" ht="14.4">
      <c r="B326" s="67"/>
    </row>
    <row r="327" spans="2:2" ht="14.4">
      <c r="B327" s="67"/>
    </row>
    <row r="328" spans="2:2" ht="14.4">
      <c r="B328" s="67"/>
    </row>
    <row r="329" spans="2:2" ht="14.4">
      <c r="B329" s="67"/>
    </row>
    <row r="330" spans="2:2" ht="14.4">
      <c r="B330" s="67"/>
    </row>
    <row r="331" spans="2:2" ht="14.4">
      <c r="B331" s="67"/>
    </row>
    <row r="332" spans="2:2" ht="14.4">
      <c r="B332" s="67"/>
    </row>
    <row r="333" spans="2:2" ht="14.4">
      <c r="B333" s="67"/>
    </row>
    <row r="334" spans="2:2" ht="14.4">
      <c r="B334" s="67"/>
    </row>
    <row r="335" spans="2:2" ht="14.4">
      <c r="B335" s="67"/>
    </row>
    <row r="336" spans="2:2" ht="14.4">
      <c r="B336" s="67"/>
    </row>
    <row r="337" spans="2:2" ht="14.4">
      <c r="B337" s="67"/>
    </row>
    <row r="338" spans="2:2" ht="14.4">
      <c r="B338" s="67"/>
    </row>
    <row r="339" spans="2:2" ht="14.4">
      <c r="B339" s="67"/>
    </row>
    <row r="340" spans="2:2" ht="14.4">
      <c r="B340" s="67"/>
    </row>
    <row r="341" spans="2:2" ht="14.4">
      <c r="B341" s="67"/>
    </row>
    <row r="342" spans="2:2" ht="14.4">
      <c r="B342" s="67"/>
    </row>
    <row r="343" spans="2:2" ht="14.4">
      <c r="B343" s="67"/>
    </row>
    <row r="344" spans="2:2" ht="14.4">
      <c r="B344" s="67"/>
    </row>
    <row r="345" spans="2:2" ht="14.4">
      <c r="B345" s="67"/>
    </row>
    <row r="346" spans="2:2" ht="14.4">
      <c r="B346" s="67"/>
    </row>
    <row r="347" spans="2:2" ht="14.4">
      <c r="B347" s="67"/>
    </row>
    <row r="348" spans="2:2" ht="14.4">
      <c r="B348" s="67"/>
    </row>
    <row r="349" spans="2:2" ht="14.4">
      <c r="B349" s="67"/>
    </row>
    <row r="350" spans="2:2" ht="14.4">
      <c r="B350" s="67"/>
    </row>
    <row r="351" spans="2:2" ht="14.4">
      <c r="B351" s="67"/>
    </row>
    <row r="352" spans="2:2" ht="14.4">
      <c r="B352" s="67"/>
    </row>
    <row r="353" spans="2:2" ht="14.4">
      <c r="B353" s="67"/>
    </row>
    <row r="354" spans="2:2" ht="14.4">
      <c r="B354" s="67"/>
    </row>
    <row r="355" spans="2:2" ht="14.4">
      <c r="B355" s="67"/>
    </row>
    <row r="356" spans="2:2" ht="14.4">
      <c r="B356" s="67"/>
    </row>
    <row r="357" spans="2:2" ht="14.4">
      <c r="B357" s="67"/>
    </row>
    <row r="358" spans="2:2" ht="14.4">
      <c r="B358" s="67"/>
    </row>
    <row r="359" spans="2:2" ht="14.4">
      <c r="B359" s="67"/>
    </row>
    <row r="360" spans="2:2" ht="14.4">
      <c r="B360" s="67"/>
    </row>
    <row r="361" spans="2:2" ht="14.4">
      <c r="B361" s="67"/>
    </row>
    <row r="362" spans="2:2" ht="14.4">
      <c r="B362" s="67"/>
    </row>
    <row r="363" spans="2:2" ht="14.4">
      <c r="B363" s="67"/>
    </row>
    <row r="364" spans="2:2" ht="14.4">
      <c r="B364" s="67"/>
    </row>
    <row r="365" spans="2:2" ht="14.4">
      <c r="B365" s="67"/>
    </row>
    <row r="366" spans="2:2" ht="14.4">
      <c r="B366" s="67"/>
    </row>
    <row r="367" spans="2:2" ht="14.4">
      <c r="B367" s="67"/>
    </row>
    <row r="368" spans="2:2" ht="14.4">
      <c r="B368" s="67"/>
    </row>
    <row r="369" spans="2:2" ht="14.4">
      <c r="B369" s="67"/>
    </row>
    <row r="370" spans="2:2" ht="14.4">
      <c r="B370" s="67"/>
    </row>
    <row r="371" spans="2:2" ht="14.4">
      <c r="B371" s="67"/>
    </row>
    <row r="372" spans="2:2" ht="14.4">
      <c r="B372" s="67"/>
    </row>
    <row r="373" spans="2:2" ht="14.4">
      <c r="B373" s="67"/>
    </row>
    <row r="374" spans="2:2" ht="14.4">
      <c r="B374" s="67"/>
    </row>
    <row r="375" spans="2:2" ht="14.4">
      <c r="B375" s="67"/>
    </row>
    <row r="376" spans="2:2" ht="14.4">
      <c r="B376" s="67"/>
    </row>
    <row r="377" spans="2:2" ht="14.4">
      <c r="B377" s="67"/>
    </row>
    <row r="378" spans="2:2" ht="14.4">
      <c r="B378" s="67"/>
    </row>
    <row r="379" spans="2:2" ht="14.4">
      <c r="B379" s="67"/>
    </row>
    <row r="380" spans="2:2" ht="14.4">
      <c r="B380" s="67"/>
    </row>
    <row r="381" spans="2:2" ht="14.4">
      <c r="B381" s="67"/>
    </row>
    <row r="382" spans="2:2" ht="14.4">
      <c r="B382" s="67"/>
    </row>
    <row r="383" spans="2:2" ht="14.4">
      <c r="B383" s="67"/>
    </row>
    <row r="384" spans="2:2" ht="14.4">
      <c r="B384" s="67"/>
    </row>
    <row r="385" spans="2:2" ht="14.4">
      <c r="B385" s="67"/>
    </row>
    <row r="386" spans="2:2" ht="14.4">
      <c r="B386" s="67"/>
    </row>
    <row r="387" spans="2:2" ht="14.4">
      <c r="B387" s="67"/>
    </row>
    <row r="388" spans="2:2" ht="14.4">
      <c r="B388" s="67"/>
    </row>
    <row r="389" spans="2:2" ht="14.4">
      <c r="B389" s="67"/>
    </row>
    <row r="390" spans="2:2" ht="14.4">
      <c r="B390" s="67"/>
    </row>
    <row r="391" spans="2:2" ht="14.4">
      <c r="B391" s="67"/>
    </row>
    <row r="392" spans="2:2" ht="14.4">
      <c r="B392" s="67"/>
    </row>
    <row r="393" spans="2:2" ht="14.4">
      <c r="B393" s="67"/>
    </row>
    <row r="394" spans="2:2" ht="14.4">
      <c r="B394" s="67"/>
    </row>
    <row r="395" spans="2:2" ht="14.4">
      <c r="B395" s="67"/>
    </row>
    <row r="396" spans="2:2" ht="14.4">
      <c r="B396" s="67"/>
    </row>
    <row r="397" spans="2:2" ht="14.4">
      <c r="B397" s="67"/>
    </row>
    <row r="398" spans="2:2" ht="14.4">
      <c r="B398" s="67"/>
    </row>
    <row r="399" spans="2:2" ht="14.4">
      <c r="B399" s="67"/>
    </row>
    <row r="400" spans="2:2" ht="14.4">
      <c r="B400" s="67"/>
    </row>
    <row r="401" spans="2:2" ht="14.4">
      <c r="B401" s="67"/>
    </row>
    <row r="402" spans="2:2" ht="14.4">
      <c r="B402" s="67"/>
    </row>
    <row r="403" spans="2:2" ht="14.4">
      <c r="B403" s="67"/>
    </row>
    <row r="404" spans="2:2" ht="14.4">
      <c r="B404" s="67"/>
    </row>
    <row r="405" spans="2:2" ht="14.4">
      <c r="B405" s="67"/>
    </row>
    <row r="406" spans="2:2" ht="14.4">
      <c r="B406" s="67"/>
    </row>
    <row r="407" spans="2:2" ht="14.4">
      <c r="B407" s="67"/>
    </row>
    <row r="408" spans="2:2" ht="14.4">
      <c r="B408" s="67"/>
    </row>
    <row r="409" spans="2:2" ht="14.4">
      <c r="B409" s="67"/>
    </row>
    <row r="410" spans="2:2" ht="14.4">
      <c r="B410" s="67"/>
    </row>
    <row r="411" spans="2:2" ht="14.4">
      <c r="B411" s="67"/>
    </row>
    <row r="412" spans="2:2" ht="14.4">
      <c r="B412" s="67"/>
    </row>
    <row r="413" spans="2:2" ht="14.4">
      <c r="B413" s="67"/>
    </row>
    <row r="414" spans="2:2" ht="14.4">
      <c r="B414" s="67"/>
    </row>
    <row r="415" spans="2:2" ht="14.4">
      <c r="B415" s="67"/>
    </row>
    <row r="416" spans="2:2" ht="14.4">
      <c r="B416" s="67"/>
    </row>
    <row r="417" spans="2:2" ht="14.4">
      <c r="B417" s="67"/>
    </row>
    <row r="418" spans="2:2" ht="14.4">
      <c r="B418" s="67"/>
    </row>
    <row r="419" spans="2:2" ht="14.4">
      <c r="B419" s="67"/>
    </row>
    <row r="420" spans="2:2" ht="14.4">
      <c r="B420" s="67"/>
    </row>
    <row r="421" spans="2:2" ht="14.4">
      <c r="B421" s="67"/>
    </row>
    <row r="422" spans="2:2" ht="14.4">
      <c r="B422" s="67"/>
    </row>
    <row r="423" spans="2:2" ht="14.4">
      <c r="B423" s="67"/>
    </row>
    <row r="424" spans="2:2" ht="14.4">
      <c r="B424" s="67"/>
    </row>
    <row r="425" spans="2:2" ht="14.4">
      <c r="B425" s="67"/>
    </row>
    <row r="426" spans="2:2" ht="14.4">
      <c r="B426" s="67"/>
    </row>
    <row r="427" spans="2:2" ht="14.4">
      <c r="B427" s="67"/>
    </row>
    <row r="428" spans="2:2" ht="14.4">
      <c r="B428" s="67"/>
    </row>
    <row r="429" spans="2:2" ht="14.4">
      <c r="B429" s="67"/>
    </row>
    <row r="430" spans="2:2" ht="14.4">
      <c r="B430" s="67"/>
    </row>
    <row r="431" spans="2:2" ht="14.4">
      <c r="B431" s="67"/>
    </row>
    <row r="432" spans="2:2" ht="14.4">
      <c r="B432" s="67"/>
    </row>
    <row r="433" spans="2:2" ht="14.4">
      <c r="B433" s="67"/>
    </row>
    <row r="434" spans="2:2" ht="14.4">
      <c r="B434" s="67"/>
    </row>
    <row r="435" spans="2:2" ht="14.4">
      <c r="B435" s="67"/>
    </row>
    <row r="436" spans="2:2" ht="14.4">
      <c r="B436" s="67"/>
    </row>
    <row r="437" spans="2:2" ht="14.4">
      <c r="B437" s="67"/>
    </row>
    <row r="438" spans="2:2" ht="14.4">
      <c r="B438" s="67"/>
    </row>
    <row r="439" spans="2:2" ht="14.4">
      <c r="B439" s="67"/>
    </row>
    <row r="440" spans="2:2" ht="14.4">
      <c r="B440" s="67"/>
    </row>
    <row r="441" spans="2:2" ht="14.4">
      <c r="B441" s="67"/>
    </row>
    <row r="442" spans="2:2" ht="14.4">
      <c r="B442" s="67"/>
    </row>
    <row r="443" spans="2:2" ht="14.4">
      <c r="B443" s="67"/>
    </row>
    <row r="444" spans="2:2" ht="14.4">
      <c r="B444" s="67"/>
    </row>
    <row r="445" spans="2:2" ht="14.4">
      <c r="B445" s="67"/>
    </row>
    <row r="446" spans="2:2" ht="14.4">
      <c r="B446" s="67"/>
    </row>
    <row r="447" spans="2:2" ht="14.4">
      <c r="B447" s="67"/>
    </row>
    <row r="448" spans="2:2" ht="14.4">
      <c r="B448" s="67"/>
    </row>
    <row r="449" spans="2:2" ht="14.4">
      <c r="B449" s="67"/>
    </row>
    <row r="450" spans="2:2" ht="14.4">
      <c r="B450" s="67"/>
    </row>
    <row r="451" spans="2:2" ht="14.4">
      <c r="B451" s="67"/>
    </row>
    <row r="452" spans="2:2" ht="14.4">
      <c r="B452" s="67"/>
    </row>
    <row r="453" spans="2:2" ht="14.4">
      <c r="B453" s="67"/>
    </row>
    <row r="454" spans="2:2" ht="14.4">
      <c r="B454" s="67"/>
    </row>
    <row r="455" spans="2:2" ht="14.4">
      <c r="B455" s="67"/>
    </row>
    <row r="456" spans="2:2" ht="14.4">
      <c r="B456" s="67"/>
    </row>
    <row r="457" spans="2:2" ht="14.4">
      <c r="B457" s="67"/>
    </row>
    <row r="458" spans="2:2" ht="14.4">
      <c r="B458" s="67"/>
    </row>
    <row r="459" spans="2:2" ht="14.4">
      <c r="B459" s="67"/>
    </row>
    <row r="460" spans="2:2" ht="14.4">
      <c r="B460" s="67"/>
    </row>
    <row r="461" spans="2:2" ht="14.4">
      <c r="B461" s="67"/>
    </row>
    <row r="462" spans="2:2" ht="14.4">
      <c r="B462" s="67"/>
    </row>
    <row r="463" spans="2:2" ht="14.4">
      <c r="B463" s="67"/>
    </row>
    <row r="464" spans="2:2" ht="14.4">
      <c r="B464" s="67"/>
    </row>
    <row r="465" spans="2:2" ht="14.4">
      <c r="B465" s="67"/>
    </row>
    <row r="466" spans="2:2" ht="14.4">
      <c r="B466" s="67"/>
    </row>
    <row r="467" spans="2:2" ht="14.4">
      <c r="B467" s="67"/>
    </row>
    <row r="468" spans="2:2" ht="14.4">
      <c r="B468" s="67"/>
    </row>
    <row r="469" spans="2:2" ht="14.4">
      <c r="B469" s="67"/>
    </row>
    <row r="470" spans="2:2" ht="14.4">
      <c r="B470" s="67"/>
    </row>
    <row r="471" spans="2:2" ht="14.4">
      <c r="B471" s="67"/>
    </row>
    <row r="472" spans="2:2" ht="14.4">
      <c r="B472" s="67"/>
    </row>
    <row r="473" spans="2:2" ht="14.4">
      <c r="B473" s="67"/>
    </row>
    <row r="474" spans="2:2" ht="14.4">
      <c r="B474" s="67"/>
    </row>
    <row r="475" spans="2:2" ht="14.4">
      <c r="B475" s="67"/>
    </row>
    <row r="476" spans="2:2" ht="14.4">
      <c r="B476" s="67"/>
    </row>
    <row r="477" spans="2:2" ht="14.4">
      <c r="B477" s="67"/>
    </row>
    <row r="478" spans="2:2" ht="14.4">
      <c r="B478" s="67"/>
    </row>
    <row r="479" spans="2:2" ht="14.4">
      <c r="B479" s="67"/>
    </row>
    <row r="480" spans="2:2" ht="14.4">
      <c r="B480" s="67"/>
    </row>
    <row r="481" spans="2:2" ht="14.4">
      <c r="B481" s="67"/>
    </row>
    <row r="482" spans="2:2" ht="14.4">
      <c r="B482" s="67"/>
    </row>
    <row r="483" spans="2:2" ht="14.4">
      <c r="B483" s="67"/>
    </row>
    <row r="484" spans="2:2" ht="14.4">
      <c r="B484" s="67"/>
    </row>
    <row r="485" spans="2:2" ht="14.4">
      <c r="B485" s="67"/>
    </row>
    <row r="486" spans="2:2" ht="14.4">
      <c r="B486" s="67"/>
    </row>
    <row r="487" spans="2:2" ht="14.4">
      <c r="B487" s="67"/>
    </row>
    <row r="488" spans="2:2" ht="14.4">
      <c r="B488" s="67"/>
    </row>
    <row r="489" spans="2:2" ht="14.4">
      <c r="B489" s="67"/>
    </row>
    <row r="490" spans="2:2" ht="14.4">
      <c r="B490" s="67"/>
    </row>
    <row r="491" spans="2:2" ht="14.4">
      <c r="B491" s="67"/>
    </row>
    <row r="492" spans="2:2" ht="14.4">
      <c r="B492" s="67"/>
    </row>
    <row r="493" spans="2:2" ht="14.4">
      <c r="B493" s="67"/>
    </row>
    <row r="494" spans="2:2" ht="14.4">
      <c r="B494" s="67"/>
    </row>
    <row r="495" spans="2:2" ht="14.4">
      <c r="B495" s="67"/>
    </row>
    <row r="496" spans="2:2" ht="14.4">
      <c r="B496" s="67"/>
    </row>
    <row r="497" spans="2:2" ht="14.4">
      <c r="B497" s="67"/>
    </row>
    <row r="498" spans="2:2" ht="14.4">
      <c r="B498" s="67"/>
    </row>
    <row r="499" spans="2:2" ht="14.4">
      <c r="B499" s="67"/>
    </row>
    <row r="500" spans="2:2" ht="14.4">
      <c r="B500" s="67"/>
    </row>
    <row r="501" spans="2:2" ht="14.4">
      <c r="B501" s="67"/>
    </row>
    <row r="502" spans="2:2" ht="14.4">
      <c r="B502" s="67"/>
    </row>
    <row r="503" spans="2:2" ht="14.4">
      <c r="B503" s="67"/>
    </row>
    <row r="504" spans="2:2" ht="14.4">
      <c r="B504" s="67"/>
    </row>
    <row r="505" spans="2:2" ht="14.4">
      <c r="B505" s="67"/>
    </row>
    <row r="506" spans="2:2" ht="14.4">
      <c r="B506" s="67"/>
    </row>
    <row r="507" spans="2:2" ht="14.4">
      <c r="B507" s="67"/>
    </row>
    <row r="508" spans="2:2" ht="14.4">
      <c r="B508" s="67"/>
    </row>
    <row r="509" spans="2:2" ht="14.4">
      <c r="B509" s="67"/>
    </row>
    <row r="510" spans="2:2" ht="14.4">
      <c r="B510" s="67"/>
    </row>
    <row r="511" spans="2:2" ht="14.4">
      <c r="B511" s="67"/>
    </row>
    <row r="512" spans="2:2" ht="14.4">
      <c r="B512" s="67"/>
    </row>
    <row r="513" spans="2:2" ht="14.4">
      <c r="B513" s="67"/>
    </row>
    <row r="514" spans="2:2" ht="14.4">
      <c r="B514" s="67"/>
    </row>
    <row r="515" spans="2:2" ht="14.4">
      <c r="B515" s="67"/>
    </row>
    <row r="516" spans="2:2" ht="14.4">
      <c r="B516" s="67"/>
    </row>
    <row r="517" spans="2:2" ht="14.4">
      <c r="B517" s="67"/>
    </row>
    <row r="518" spans="2:2" ht="14.4">
      <c r="B518" s="67"/>
    </row>
    <row r="519" spans="2:2" ht="14.4">
      <c r="B519" s="67"/>
    </row>
    <row r="520" spans="2:2" ht="14.4">
      <c r="B520" s="67"/>
    </row>
    <row r="521" spans="2:2" ht="14.4">
      <c r="B521" s="67"/>
    </row>
    <row r="522" spans="2:2" ht="14.4">
      <c r="B522" s="67"/>
    </row>
    <row r="523" spans="2:2" ht="14.4">
      <c r="B523" s="67"/>
    </row>
    <row r="524" spans="2:2" ht="14.4">
      <c r="B524" s="67"/>
    </row>
    <row r="525" spans="2:2" ht="14.4">
      <c r="B525" s="67"/>
    </row>
    <row r="526" spans="2:2" ht="14.4">
      <c r="B526" s="67"/>
    </row>
    <row r="527" spans="2:2" ht="14.4">
      <c r="B527" s="67"/>
    </row>
    <row r="528" spans="2:2" ht="14.4">
      <c r="B528" s="67"/>
    </row>
    <row r="529" spans="2:2" ht="14.4">
      <c r="B529" s="67"/>
    </row>
    <row r="530" spans="2:2" ht="14.4">
      <c r="B530" s="67"/>
    </row>
    <row r="531" spans="2:2" ht="14.4">
      <c r="B531" s="67"/>
    </row>
    <row r="532" spans="2:2" ht="14.4">
      <c r="B532" s="67"/>
    </row>
    <row r="533" spans="2:2" ht="14.4">
      <c r="B533" s="67"/>
    </row>
    <row r="534" spans="2:2" ht="14.4">
      <c r="B534" s="67"/>
    </row>
    <row r="535" spans="2:2" ht="14.4">
      <c r="B535" s="67"/>
    </row>
    <row r="536" spans="2:2" ht="14.4">
      <c r="B536" s="67"/>
    </row>
    <row r="537" spans="2:2" ht="14.4">
      <c r="B537" s="67"/>
    </row>
    <row r="538" spans="2:2" ht="14.4">
      <c r="B538" s="67"/>
    </row>
    <row r="539" spans="2:2" ht="14.4">
      <c r="B539" s="67"/>
    </row>
    <row r="540" spans="2:2" ht="14.4">
      <c r="B540" s="67"/>
    </row>
    <row r="541" spans="2:2" ht="14.4">
      <c r="B541" s="67"/>
    </row>
    <row r="542" spans="2:2" ht="14.4">
      <c r="B542" s="67"/>
    </row>
    <row r="543" spans="2:2" ht="14.4">
      <c r="B543" s="67"/>
    </row>
    <row r="544" spans="2:2" ht="14.4">
      <c r="B544" s="67"/>
    </row>
    <row r="545" spans="2:2" ht="14.4">
      <c r="B545" s="67"/>
    </row>
    <row r="546" spans="2:2" ht="14.4">
      <c r="B546" s="67"/>
    </row>
    <row r="547" spans="2:2" ht="14.4">
      <c r="B547" s="67"/>
    </row>
    <row r="548" spans="2:2" ht="14.4">
      <c r="B548" s="67"/>
    </row>
    <row r="549" spans="2:2" ht="14.4">
      <c r="B549" s="67"/>
    </row>
    <row r="550" spans="2:2" ht="14.4">
      <c r="B550" s="67"/>
    </row>
    <row r="551" spans="2:2" ht="14.4">
      <c r="B551" s="67"/>
    </row>
    <row r="552" spans="2:2" ht="14.4">
      <c r="B552" s="67"/>
    </row>
    <row r="553" spans="2:2" ht="14.4">
      <c r="B553" s="67"/>
    </row>
    <row r="554" spans="2:2" ht="14.4">
      <c r="B554" s="67"/>
    </row>
    <row r="555" spans="2:2" ht="14.4">
      <c r="B555" s="67"/>
    </row>
    <row r="556" spans="2:2" ht="14.4">
      <c r="B556" s="67"/>
    </row>
    <row r="557" spans="2:2" ht="14.4">
      <c r="B557" s="67"/>
    </row>
    <row r="558" spans="2:2" ht="14.4">
      <c r="B558" s="67"/>
    </row>
    <row r="559" spans="2:2" ht="14.4">
      <c r="B559" s="67"/>
    </row>
    <row r="560" spans="2:2" ht="14.4">
      <c r="B560" s="67"/>
    </row>
    <row r="561" spans="2:2" ht="14.4">
      <c r="B561" s="67"/>
    </row>
    <row r="562" spans="2:2" ht="14.4">
      <c r="B562" s="67"/>
    </row>
    <row r="563" spans="2:2" ht="14.4">
      <c r="B563" s="67"/>
    </row>
    <row r="564" spans="2:2" ht="14.4">
      <c r="B564" s="67"/>
    </row>
    <row r="565" spans="2:2" ht="14.4">
      <c r="B565" s="67"/>
    </row>
    <row r="566" spans="2:2" ht="14.4">
      <c r="B566" s="67"/>
    </row>
    <row r="567" spans="2:2" ht="14.4">
      <c r="B567" s="67"/>
    </row>
    <row r="568" spans="2:2" ht="14.4">
      <c r="B568" s="67"/>
    </row>
    <row r="569" spans="2:2" ht="14.4">
      <c r="B569" s="67"/>
    </row>
    <row r="570" spans="2:2" ht="14.4">
      <c r="B570" s="67"/>
    </row>
    <row r="571" spans="2:2" ht="14.4">
      <c r="B571" s="67"/>
    </row>
    <row r="572" spans="2:2" ht="14.4">
      <c r="B572" s="67"/>
    </row>
    <row r="573" spans="2:2" ht="14.4">
      <c r="B573" s="67"/>
    </row>
    <row r="574" spans="2:2" ht="14.4">
      <c r="B574" s="67"/>
    </row>
    <row r="575" spans="2:2" ht="14.4">
      <c r="B575" s="67"/>
    </row>
    <row r="576" spans="2:2" ht="14.4">
      <c r="B576" s="67"/>
    </row>
    <row r="577" spans="2:2" ht="14.4">
      <c r="B577" s="67"/>
    </row>
    <row r="578" spans="2:2" ht="14.4">
      <c r="B578" s="67"/>
    </row>
    <row r="579" spans="2:2" ht="14.4">
      <c r="B579" s="67"/>
    </row>
    <row r="580" spans="2:2" ht="14.4">
      <c r="B580" s="67"/>
    </row>
    <row r="581" spans="2:2" ht="14.4">
      <c r="B581" s="67"/>
    </row>
    <row r="582" spans="2:2" ht="14.4">
      <c r="B582" s="67"/>
    </row>
    <row r="583" spans="2:2" ht="14.4">
      <c r="B583" s="67"/>
    </row>
    <row r="584" spans="2:2" ht="14.4">
      <c r="B584" s="67"/>
    </row>
    <row r="585" spans="2:2" ht="14.4">
      <c r="B585" s="67"/>
    </row>
    <row r="586" spans="2:2" ht="14.4">
      <c r="B586" s="67"/>
    </row>
    <row r="587" spans="2:2" ht="14.4">
      <c r="B587" s="67"/>
    </row>
    <row r="588" spans="2:2" ht="14.4">
      <c r="B588" s="67"/>
    </row>
    <row r="589" spans="2:2" ht="14.4">
      <c r="B589" s="67"/>
    </row>
    <row r="590" spans="2:2" ht="14.4">
      <c r="B590" s="67"/>
    </row>
    <row r="591" spans="2:2" ht="14.4">
      <c r="B591" s="67"/>
    </row>
    <row r="592" spans="2:2" ht="14.4">
      <c r="B592" s="67"/>
    </row>
    <row r="593" spans="2:2" ht="14.4">
      <c r="B593" s="67"/>
    </row>
    <row r="594" spans="2:2" ht="14.4">
      <c r="B594" s="67"/>
    </row>
    <row r="595" spans="2:2" ht="14.4">
      <c r="B595" s="67"/>
    </row>
    <row r="596" spans="2:2" ht="14.4">
      <c r="B596" s="67"/>
    </row>
    <row r="597" spans="2:2" ht="14.4">
      <c r="B597" s="67"/>
    </row>
    <row r="598" spans="2:2" ht="14.4">
      <c r="B598" s="67"/>
    </row>
    <row r="599" spans="2:2" ht="14.4">
      <c r="B599" s="67"/>
    </row>
    <row r="600" spans="2:2" ht="14.4">
      <c r="B600" s="67"/>
    </row>
    <row r="601" spans="2:2" ht="14.4">
      <c r="B601" s="67"/>
    </row>
    <row r="602" spans="2:2" ht="14.4">
      <c r="B602" s="67"/>
    </row>
    <row r="603" spans="2:2" ht="14.4">
      <c r="B603" s="67"/>
    </row>
    <row r="604" spans="2:2" ht="14.4">
      <c r="B604" s="67"/>
    </row>
    <row r="605" spans="2:2" ht="14.4">
      <c r="B605" s="67"/>
    </row>
    <row r="606" spans="2:2" ht="14.4">
      <c r="B606" s="67"/>
    </row>
    <row r="607" spans="2:2" ht="14.4">
      <c r="B607" s="67"/>
    </row>
    <row r="608" spans="2:2" ht="14.4">
      <c r="B608" s="67"/>
    </row>
    <row r="609" spans="2:2" ht="14.4">
      <c r="B609" s="67"/>
    </row>
    <row r="610" spans="2:2" ht="14.4">
      <c r="B610" s="67"/>
    </row>
    <row r="611" spans="2:2" ht="14.4">
      <c r="B611" s="67"/>
    </row>
    <row r="612" spans="2:2" ht="14.4">
      <c r="B612" s="67"/>
    </row>
    <row r="613" spans="2:2" ht="14.4">
      <c r="B613" s="67"/>
    </row>
    <row r="614" spans="2:2" ht="14.4">
      <c r="B614" s="67"/>
    </row>
    <row r="615" spans="2:2" ht="14.4">
      <c r="B615" s="67"/>
    </row>
    <row r="616" spans="2:2" ht="14.4">
      <c r="B616" s="67"/>
    </row>
    <row r="617" spans="2:2" ht="14.4">
      <c r="B617" s="67"/>
    </row>
    <row r="618" spans="2:2" ht="14.4">
      <c r="B618" s="67"/>
    </row>
    <row r="619" spans="2:2" ht="14.4">
      <c r="B619" s="67"/>
    </row>
    <row r="620" spans="2:2" ht="14.4">
      <c r="B620" s="67"/>
    </row>
    <row r="621" spans="2:2" ht="14.4">
      <c r="B621" s="67"/>
    </row>
    <row r="622" spans="2:2" ht="14.4">
      <c r="B622" s="67"/>
    </row>
    <row r="623" spans="2:2" ht="14.4">
      <c r="B623" s="67"/>
    </row>
    <row r="624" spans="2:2" ht="14.4">
      <c r="B624" s="67"/>
    </row>
    <row r="625" spans="2:2" ht="14.4">
      <c r="B625" s="67"/>
    </row>
    <row r="626" spans="2:2" ht="14.4">
      <c r="B626" s="67"/>
    </row>
    <row r="627" spans="2:2" ht="14.4">
      <c r="B627" s="67"/>
    </row>
    <row r="628" spans="2:2" ht="14.4">
      <c r="B628" s="67"/>
    </row>
    <row r="629" spans="2:2" ht="14.4">
      <c r="B629" s="67"/>
    </row>
    <row r="630" spans="2:2" ht="14.4">
      <c r="B630" s="67"/>
    </row>
    <row r="631" spans="2:2" ht="14.4">
      <c r="B631" s="67"/>
    </row>
    <row r="632" spans="2:2" ht="14.4">
      <c r="B632" s="67"/>
    </row>
    <row r="633" spans="2:2" ht="14.4">
      <c r="B633" s="67"/>
    </row>
    <row r="634" spans="2:2" ht="14.4">
      <c r="B634" s="67"/>
    </row>
    <row r="635" spans="2:2" ht="14.4">
      <c r="B635" s="67"/>
    </row>
    <row r="636" spans="2:2" ht="14.4">
      <c r="B636" s="67"/>
    </row>
    <row r="637" spans="2:2" ht="14.4">
      <c r="B637" s="67"/>
    </row>
    <row r="638" spans="2:2" ht="14.4">
      <c r="B638" s="67"/>
    </row>
    <row r="639" spans="2:2" ht="14.4">
      <c r="B639" s="67"/>
    </row>
    <row r="640" spans="2:2" ht="14.4">
      <c r="B640" s="67"/>
    </row>
    <row r="641" spans="2:2" ht="14.4">
      <c r="B641" s="67"/>
    </row>
    <row r="642" spans="2:2" ht="14.4">
      <c r="B642" s="67"/>
    </row>
    <row r="643" spans="2:2" ht="14.4">
      <c r="B643" s="67"/>
    </row>
    <row r="644" spans="2:2" ht="14.4">
      <c r="B644" s="67"/>
    </row>
    <row r="645" spans="2:2" ht="14.4">
      <c r="B645" s="67"/>
    </row>
    <row r="646" spans="2:2" ht="14.4">
      <c r="B646" s="67"/>
    </row>
    <row r="647" spans="2:2" ht="14.4">
      <c r="B647" s="67"/>
    </row>
    <row r="648" spans="2:2" ht="14.4">
      <c r="B648" s="67"/>
    </row>
    <row r="649" spans="2:2" ht="14.4">
      <c r="B649" s="67"/>
    </row>
    <row r="650" spans="2:2" ht="14.4">
      <c r="B650" s="67"/>
    </row>
    <row r="651" spans="2:2" ht="14.4">
      <c r="B651" s="67"/>
    </row>
    <row r="652" spans="2:2" ht="14.4">
      <c r="B652" s="67"/>
    </row>
    <row r="653" spans="2:2" ht="14.4">
      <c r="B653" s="67"/>
    </row>
    <row r="654" spans="2:2" ht="14.4">
      <c r="B654" s="67"/>
    </row>
    <row r="655" spans="2:2" ht="14.4">
      <c r="B655" s="67"/>
    </row>
    <row r="656" spans="2:2" ht="14.4">
      <c r="B656" s="67"/>
    </row>
    <row r="657" spans="2:2" ht="14.4">
      <c r="B657" s="67"/>
    </row>
    <row r="658" spans="2:2" ht="14.4">
      <c r="B658" s="67"/>
    </row>
    <row r="659" spans="2:2" ht="14.4">
      <c r="B659" s="67"/>
    </row>
    <row r="660" spans="2:2" ht="14.4">
      <c r="B660" s="67"/>
    </row>
    <row r="661" spans="2:2" ht="14.4">
      <c r="B661" s="67"/>
    </row>
    <row r="662" spans="2:2" ht="14.4">
      <c r="B662" s="67"/>
    </row>
    <row r="663" spans="2:2" ht="14.4">
      <c r="B663" s="67"/>
    </row>
    <row r="664" spans="2:2" ht="14.4">
      <c r="B664" s="67"/>
    </row>
    <row r="665" spans="2:2" ht="14.4">
      <c r="B665" s="67"/>
    </row>
    <row r="666" spans="2:2" ht="14.4">
      <c r="B666" s="67"/>
    </row>
    <row r="667" spans="2:2" ht="14.4">
      <c r="B667" s="67"/>
    </row>
    <row r="668" spans="2:2" ht="14.4">
      <c r="B668" s="67"/>
    </row>
    <row r="669" spans="2:2" ht="14.4">
      <c r="B669" s="67"/>
    </row>
    <row r="670" spans="2:2" ht="14.4">
      <c r="B670" s="67"/>
    </row>
    <row r="671" spans="2:2" ht="14.4">
      <c r="B671" s="67"/>
    </row>
    <row r="672" spans="2:2" ht="14.4">
      <c r="B672" s="67"/>
    </row>
    <row r="673" spans="2:2" ht="14.4">
      <c r="B673" s="67"/>
    </row>
    <row r="674" spans="2:2" ht="14.4">
      <c r="B674" s="67"/>
    </row>
    <row r="675" spans="2:2" ht="14.4">
      <c r="B675" s="67"/>
    </row>
    <row r="676" spans="2:2" ht="14.4">
      <c r="B676" s="67"/>
    </row>
    <row r="677" spans="2:2" ht="14.4">
      <c r="B677" s="67"/>
    </row>
    <row r="678" spans="2:2" ht="14.4">
      <c r="B678" s="67"/>
    </row>
    <row r="679" spans="2:2" ht="14.4">
      <c r="B679" s="67"/>
    </row>
    <row r="680" spans="2:2" ht="14.4">
      <c r="B680" s="67"/>
    </row>
    <row r="681" spans="2:2" ht="14.4">
      <c r="B681" s="67"/>
    </row>
    <row r="682" spans="2:2" ht="14.4">
      <c r="B682" s="67"/>
    </row>
    <row r="683" spans="2:2" ht="14.4">
      <c r="B683" s="67"/>
    </row>
    <row r="684" spans="2:2" ht="14.4">
      <c r="B684" s="67"/>
    </row>
    <row r="685" spans="2:2" ht="14.4">
      <c r="B685" s="67"/>
    </row>
    <row r="686" spans="2:2" ht="14.4">
      <c r="B686" s="67"/>
    </row>
    <row r="687" spans="2:2" ht="14.4">
      <c r="B687" s="67"/>
    </row>
    <row r="688" spans="2:2" ht="14.4">
      <c r="B688" s="67"/>
    </row>
    <row r="689" spans="2:2" ht="14.4">
      <c r="B689" s="67"/>
    </row>
    <row r="690" spans="2:2" ht="14.4">
      <c r="B690" s="67"/>
    </row>
    <row r="691" spans="2:2" ht="14.4">
      <c r="B691" s="67"/>
    </row>
    <row r="692" spans="2:2" ht="14.4">
      <c r="B692" s="67"/>
    </row>
    <row r="693" spans="2:2" ht="14.4">
      <c r="B693" s="67"/>
    </row>
    <row r="694" spans="2:2" ht="14.4">
      <c r="B694" s="67"/>
    </row>
    <row r="695" spans="2:2" ht="14.4">
      <c r="B695" s="67"/>
    </row>
    <row r="696" spans="2:2" ht="14.4">
      <c r="B696" s="67"/>
    </row>
    <row r="697" spans="2:2" ht="14.4">
      <c r="B697" s="67"/>
    </row>
    <row r="698" spans="2:2" ht="14.4">
      <c r="B698" s="67"/>
    </row>
    <row r="699" spans="2:2" ht="14.4">
      <c r="B699" s="67"/>
    </row>
    <row r="700" spans="2:2" ht="14.4">
      <c r="B700" s="67"/>
    </row>
    <row r="701" spans="2:2" ht="14.4">
      <c r="B701" s="67"/>
    </row>
    <row r="702" spans="2:2" ht="14.4">
      <c r="B702" s="67"/>
    </row>
    <row r="703" spans="2:2" ht="14.4">
      <c r="B703" s="67"/>
    </row>
    <row r="704" spans="2:2" ht="14.4">
      <c r="B704" s="67"/>
    </row>
    <row r="705" spans="2:2" ht="14.4">
      <c r="B705" s="67"/>
    </row>
    <row r="706" spans="2:2" ht="14.4">
      <c r="B706" s="67"/>
    </row>
    <row r="707" spans="2:2" ht="14.4">
      <c r="B707" s="67"/>
    </row>
    <row r="708" spans="2:2" ht="14.4">
      <c r="B708" s="67"/>
    </row>
    <row r="709" spans="2:2" ht="14.4">
      <c r="B709" s="67"/>
    </row>
    <row r="710" spans="2:2" ht="14.4">
      <c r="B710" s="67"/>
    </row>
    <row r="711" spans="2:2" ht="14.4">
      <c r="B711" s="67"/>
    </row>
    <row r="712" spans="2:2" ht="14.4">
      <c r="B712" s="67"/>
    </row>
    <row r="713" spans="2:2" ht="14.4">
      <c r="B713" s="67"/>
    </row>
    <row r="714" spans="2:2" ht="14.4">
      <c r="B714" s="67"/>
    </row>
    <row r="715" spans="2:2" ht="14.4">
      <c r="B715" s="67"/>
    </row>
    <row r="716" spans="2:2" ht="14.4">
      <c r="B716" s="67"/>
    </row>
    <row r="717" spans="2:2" ht="14.4">
      <c r="B717" s="67"/>
    </row>
    <row r="718" spans="2:2" ht="14.4">
      <c r="B718" s="67"/>
    </row>
    <row r="719" spans="2:2" ht="14.4">
      <c r="B719" s="67"/>
    </row>
    <row r="720" spans="2:2" ht="14.4">
      <c r="B720" s="67"/>
    </row>
    <row r="721" spans="2:2" ht="14.4">
      <c r="B721" s="67"/>
    </row>
    <row r="722" spans="2:2" ht="14.4">
      <c r="B722" s="67"/>
    </row>
    <row r="723" spans="2:2" ht="14.4">
      <c r="B723" s="67"/>
    </row>
    <row r="724" spans="2:2" ht="14.4">
      <c r="B724" s="67"/>
    </row>
    <row r="725" spans="2:2" ht="14.4">
      <c r="B725" s="67"/>
    </row>
    <row r="726" spans="2:2" ht="14.4">
      <c r="B726" s="67"/>
    </row>
    <row r="727" spans="2:2" ht="14.4">
      <c r="B727" s="67"/>
    </row>
    <row r="728" spans="2:2" ht="14.4">
      <c r="B728" s="67"/>
    </row>
    <row r="729" spans="2:2" ht="14.4">
      <c r="B729" s="67"/>
    </row>
    <row r="730" spans="2:2" ht="14.4">
      <c r="B730" s="67"/>
    </row>
    <row r="731" spans="2:2" ht="14.4">
      <c r="B731" s="67"/>
    </row>
    <row r="732" spans="2:2" ht="14.4">
      <c r="B732" s="67"/>
    </row>
    <row r="733" spans="2:2" ht="14.4">
      <c r="B733" s="67"/>
    </row>
    <row r="734" spans="2:2" ht="14.4">
      <c r="B734" s="67"/>
    </row>
    <row r="735" spans="2:2" ht="14.4">
      <c r="B735" s="67"/>
    </row>
    <row r="736" spans="2:2" ht="14.4">
      <c r="B736" s="67"/>
    </row>
    <row r="737" spans="2:2" ht="14.4">
      <c r="B737" s="67"/>
    </row>
    <row r="738" spans="2:2" ht="14.4">
      <c r="B738" s="67"/>
    </row>
    <row r="739" spans="2:2" ht="14.4">
      <c r="B739" s="67"/>
    </row>
    <row r="740" spans="2:2" ht="14.4">
      <c r="B740" s="67"/>
    </row>
    <row r="741" spans="2:2" ht="14.4">
      <c r="B741" s="67"/>
    </row>
    <row r="742" spans="2:2" ht="14.4">
      <c r="B742" s="67"/>
    </row>
    <row r="743" spans="2:2" ht="14.4">
      <c r="B743" s="67"/>
    </row>
    <row r="744" spans="2:2" ht="14.4">
      <c r="B744" s="67"/>
    </row>
    <row r="745" spans="2:2" ht="14.4">
      <c r="B745" s="67"/>
    </row>
    <row r="746" spans="2:2" ht="14.4">
      <c r="B746" s="67"/>
    </row>
    <row r="747" spans="2:2" ht="14.4">
      <c r="B747" s="67"/>
    </row>
    <row r="748" spans="2:2" ht="14.4">
      <c r="B748" s="67"/>
    </row>
    <row r="749" spans="2:2" ht="14.4">
      <c r="B749" s="67"/>
    </row>
    <row r="750" spans="2:2" ht="14.4">
      <c r="B750" s="67"/>
    </row>
    <row r="751" spans="2:2" ht="14.4">
      <c r="B751" s="67"/>
    </row>
    <row r="752" spans="2:2" ht="14.4">
      <c r="B752" s="67"/>
    </row>
    <row r="753" spans="2:2" ht="14.4">
      <c r="B753" s="67"/>
    </row>
    <row r="754" spans="2:2" ht="14.4">
      <c r="B754" s="67"/>
    </row>
    <row r="755" spans="2:2" ht="14.4">
      <c r="B755" s="67"/>
    </row>
    <row r="756" spans="2:2" ht="14.4">
      <c r="B756" s="67"/>
    </row>
    <row r="757" spans="2:2" ht="14.4">
      <c r="B757" s="67"/>
    </row>
    <row r="758" spans="2:2" ht="14.4">
      <c r="B758" s="67"/>
    </row>
    <row r="759" spans="2:2" ht="14.4">
      <c r="B759" s="67"/>
    </row>
    <row r="760" spans="2:2" ht="14.4">
      <c r="B760" s="67"/>
    </row>
    <row r="761" spans="2:2" ht="14.4">
      <c r="B761" s="67"/>
    </row>
    <row r="762" spans="2:2" ht="14.4">
      <c r="B762" s="67"/>
    </row>
    <row r="763" spans="2:2" ht="14.4">
      <c r="B763" s="67"/>
    </row>
    <row r="764" spans="2:2" ht="14.4">
      <c r="B764" s="67"/>
    </row>
    <row r="765" spans="2:2" ht="14.4">
      <c r="B765" s="67"/>
    </row>
    <row r="766" spans="2:2" ht="14.4">
      <c r="B766" s="67"/>
    </row>
    <row r="767" spans="2:2" ht="14.4">
      <c r="B767" s="67"/>
    </row>
    <row r="768" spans="2:2" ht="14.4">
      <c r="B768" s="67"/>
    </row>
    <row r="769" spans="2:2" ht="14.4">
      <c r="B769" s="67"/>
    </row>
    <row r="770" spans="2:2" ht="14.4">
      <c r="B770" s="67"/>
    </row>
    <row r="771" spans="2:2" ht="14.4">
      <c r="B771" s="67"/>
    </row>
    <row r="772" spans="2:2" ht="14.4">
      <c r="B772" s="67"/>
    </row>
    <row r="773" spans="2:2" ht="14.4">
      <c r="B773" s="67"/>
    </row>
    <row r="774" spans="2:2" ht="14.4">
      <c r="B774" s="67"/>
    </row>
    <row r="775" spans="2:2" ht="14.4">
      <c r="B775" s="67"/>
    </row>
    <row r="776" spans="2:2" ht="14.4">
      <c r="B776" s="67"/>
    </row>
    <row r="777" spans="2:2" ht="14.4">
      <c r="B777" s="67"/>
    </row>
    <row r="778" spans="2:2" ht="14.4">
      <c r="B778" s="67"/>
    </row>
    <row r="779" spans="2:2" ht="14.4">
      <c r="B779" s="67"/>
    </row>
    <row r="780" spans="2:2" ht="14.4">
      <c r="B780" s="67"/>
    </row>
    <row r="781" spans="2:2" ht="14.4">
      <c r="B781" s="67"/>
    </row>
    <row r="782" spans="2:2" ht="14.4">
      <c r="B782" s="67"/>
    </row>
    <row r="783" spans="2:2" ht="14.4">
      <c r="B783" s="67"/>
    </row>
    <row r="784" spans="2:2" ht="14.4">
      <c r="B784" s="67"/>
    </row>
    <row r="785" spans="2:2" ht="14.4">
      <c r="B785" s="67"/>
    </row>
    <row r="786" spans="2:2" ht="14.4">
      <c r="B786" s="67"/>
    </row>
    <row r="787" spans="2:2" ht="14.4">
      <c r="B787" s="67"/>
    </row>
    <row r="788" spans="2:2" ht="14.4">
      <c r="B788" s="67"/>
    </row>
    <row r="789" spans="2:2" ht="14.4">
      <c r="B789" s="67"/>
    </row>
    <row r="790" spans="2:2" ht="14.4">
      <c r="B790" s="67"/>
    </row>
    <row r="791" spans="2:2" ht="14.4">
      <c r="B791" s="67"/>
    </row>
    <row r="792" spans="2:2" ht="14.4">
      <c r="B792" s="67"/>
    </row>
    <row r="793" spans="2:2" ht="14.4">
      <c r="B793" s="67"/>
    </row>
    <row r="794" spans="2:2" ht="14.4">
      <c r="B794" s="67"/>
    </row>
    <row r="795" spans="2:2" ht="14.4">
      <c r="B795" s="67"/>
    </row>
    <row r="796" spans="2:2" ht="14.4">
      <c r="B796" s="67"/>
    </row>
    <row r="797" spans="2:2" ht="14.4">
      <c r="B797" s="67"/>
    </row>
    <row r="798" spans="2:2" ht="14.4">
      <c r="B798" s="67"/>
    </row>
    <row r="799" spans="2:2" ht="14.4">
      <c r="B799" s="67"/>
    </row>
    <row r="800" spans="2:2" ht="14.4">
      <c r="B800" s="67"/>
    </row>
    <row r="801" spans="2:2" ht="14.4">
      <c r="B801" s="67"/>
    </row>
    <row r="802" spans="2:2" ht="14.4">
      <c r="B802" s="67"/>
    </row>
    <row r="803" spans="2:2" ht="14.4">
      <c r="B803" s="67"/>
    </row>
    <row r="804" spans="2:2" ht="14.4">
      <c r="B804" s="67"/>
    </row>
    <row r="805" spans="2:2" ht="14.4">
      <c r="B805" s="67"/>
    </row>
    <row r="806" spans="2:2" ht="14.4">
      <c r="B806" s="67"/>
    </row>
    <row r="807" spans="2:2" ht="14.4">
      <c r="B807" s="67"/>
    </row>
    <row r="808" spans="2:2" ht="14.4">
      <c r="B808" s="67"/>
    </row>
    <row r="809" spans="2:2" ht="14.4">
      <c r="B809" s="67"/>
    </row>
    <row r="810" spans="2:2" ht="14.4">
      <c r="B810" s="67"/>
    </row>
    <row r="811" spans="2:2" ht="14.4">
      <c r="B811" s="67"/>
    </row>
    <row r="812" spans="2:2" ht="14.4">
      <c r="B812" s="67"/>
    </row>
    <row r="813" spans="2:2" ht="14.4">
      <c r="B813" s="67"/>
    </row>
    <row r="814" spans="2:2" ht="14.4">
      <c r="B814" s="67"/>
    </row>
    <row r="815" spans="2:2" ht="14.4">
      <c r="B815" s="67"/>
    </row>
    <row r="816" spans="2:2" ht="14.4">
      <c r="B816" s="67"/>
    </row>
    <row r="817" spans="2:2" ht="14.4">
      <c r="B817" s="67"/>
    </row>
    <row r="818" spans="2:2" ht="14.4">
      <c r="B818" s="67"/>
    </row>
    <row r="819" spans="2:2" ht="14.4">
      <c r="B819" s="67"/>
    </row>
    <row r="820" spans="2:2" ht="14.4">
      <c r="B820" s="67"/>
    </row>
    <row r="821" spans="2:2" ht="14.4">
      <c r="B821" s="67"/>
    </row>
    <row r="822" spans="2:2" ht="14.4">
      <c r="B822" s="67"/>
    </row>
    <row r="823" spans="2:2" ht="14.4">
      <c r="B823" s="67"/>
    </row>
    <row r="824" spans="2:2" ht="14.4">
      <c r="B824" s="67"/>
    </row>
    <row r="825" spans="2:2" ht="14.4">
      <c r="B825" s="67"/>
    </row>
    <row r="826" spans="2:2" ht="14.4">
      <c r="B826" s="67"/>
    </row>
    <row r="827" spans="2:2" ht="14.4">
      <c r="B827" s="67"/>
    </row>
    <row r="828" spans="2:2" ht="14.4">
      <c r="B828" s="67"/>
    </row>
    <row r="829" spans="2:2" ht="14.4">
      <c r="B829" s="67"/>
    </row>
    <row r="830" spans="2:2" ht="14.4">
      <c r="B830" s="67"/>
    </row>
    <row r="831" spans="2:2" ht="14.4">
      <c r="B831" s="67"/>
    </row>
    <row r="832" spans="2:2" ht="14.4">
      <c r="B832" s="67"/>
    </row>
    <row r="833" spans="2:2" ht="14.4">
      <c r="B833" s="67"/>
    </row>
    <row r="834" spans="2:2" ht="14.4">
      <c r="B834" s="67"/>
    </row>
    <row r="835" spans="2:2" ht="14.4">
      <c r="B835" s="67"/>
    </row>
    <row r="836" spans="2:2" ht="14.4">
      <c r="B836" s="67"/>
    </row>
    <row r="837" spans="2:2" ht="14.4">
      <c r="B837" s="67"/>
    </row>
    <row r="838" spans="2:2" ht="14.4">
      <c r="B838" s="67"/>
    </row>
    <row r="839" spans="2:2" ht="14.4">
      <c r="B839" s="67"/>
    </row>
    <row r="840" spans="2:2" ht="14.4">
      <c r="B840" s="67"/>
    </row>
    <row r="841" spans="2:2" ht="14.4">
      <c r="B841" s="67"/>
    </row>
    <row r="842" spans="2:2" ht="14.4">
      <c r="B842" s="67"/>
    </row>
    <row r="843" spans="2:2" ht="14.4">
      <c r="B843" s="67"/>
    </row>
    <row r="844" spans="2:2" ht="14.4">
      <c r="B844" s="67"/>
    </row>
    <row r="845" spans="2:2" ht="14.4">
      <c r="B845" s="67"/>
    </row>
    <row r="846" spans="2:2" ht="14.4">
      <c r="B846" s="67"/>
    </row>
    <row r="847" spans="2:2" ht="14.4">
      <c r="B847" s="67"/>
    </row>
    <row r="848" spans="2:2" ht="14.4">
      <c r="B848" s="67"/>
    </row>
    <row r="849" spans="2:2" ht="14.4">
      <c r="B849" s="67"/>
    </row>
    <row r="850" spans="2:2" ht="14.4">
      <c r="B850" s="67"/>
    </row>
    <row r="851" spans="2:2" ht="14.4">
      <c r="B851" s="67"/>
    </row>
    <row r="852" spans="2:2" ht="14.4">
      <c r="B852" s="67"/>
    </row>
    <row r="853" spans="2:2" ht="14.4">
      <c r="B853" s="67"/>
    </row>
    <row r="854" spans="2:2" ht="14.4">
      <c r="B854" s="67"/>
    </row>
    <row r="855" spans="2:2" ht="14.4">
      <c r="B855" s="67"/>
    </row>
    <row r="856" spans="2:2" ht="14.4">
      <c r="B856" s="67"/>
    </row>
    <row r="857" spans="2:2" ht="14.4">
      <c r="B857" s="67"/>
    </row>
    <row r="858" spans="2:2" ht="14.4">
      <c r="B858" s="67"/>
    </row>
    <row r="859" spans="2:2" ht="14.4">
      <c r="B859" s="67"/>
    </row>
    <row r="860" spans="2:2" ht="14.4">
      <c r="B860" s="67"/>
    </row>
    <row r="861" spans="2:2" ht="14.4">
      <c r="B861" s="67"/>
    </row>
    <row r="862" spans="2:2" ht="14.4">
      <c r="B862" s="67"/>
    </row>
    <row r="863" spans="2:2" ht="14.4">
      <c r="B863" s="67"/>
    </row>
    <row r="864" spans="2:2" ht="14.4">
      <c r="B864" s="67"/>
    </row>
    <row r="865" spans="2:2" ht="14.4">
      <c r="B865" s="67"/>
    </row>
    <row r="866" spans="2:2" ht="14.4">
      <c r="B866" s="67"/>
    </row>
    <row r="867" spans="2:2" ht="14.4">
      <c r="B867" s="67"/>
    </row>
    <row r="868" spans="2:2" ht="14.4">
      <c r="B868" s="67"/>
    </row>
    <row r="869" spans="2:2" ht="14.4">
      <c r="B869" s="67"/>
    </row>
    <row r="870" spans="2:2" ht="14.4">
      <c r="B870" s="67"/>
    </row>
    <row r="871" spans="2:2" ht="14.4">
      <c r="B871" s="67"/>
    </row>
    <row r="872" spans="2:2" ht="14.4">
      <c r="B872" s="67"/>
    </row>
    <row r="873" spans="2:2" ht="14.4">
      <c r="B873" s="67"/>
    </row>
    <row r="874" spans="2:2" ht="14.4">
      <c r="B874" s="67"/>
    </row>
    <row r="875" spans="2:2" ht="14.4">
      <c r="B875" s="67"/>
    </row>
    <row r="876" spans="2:2" ht="14.4">
      <c r="B876" s="67"/>
    </row>
    <row r="877" spans="2:2" ht="14.4">
      <c r="B877" s="67"/>
    </row>
    <row r="878" spans="2:2" ht="14.4">
      <c r="B878" s="67"/>
    </row>
    <row r="879" spans="2:2" ht="14.4">
      <c r="B879" s="67"/>
    </row>
    <row r="880" spans="2:2" ht="14.4">
      <c r="B880" s="67"/>
    </row>
    <row r="881" spans="2:2" ht="14.4">
      <c r="B881" s="67"/>
    </row>
    <row r="882" spans="2:2" ht="14.4">
      <c r="B882" s="67"/>
    </row>
    <row r="883" spans="2:2" ht="14.4">
      <c r="B883" s="67"/>
    </row>
    <row r="884" spans="2:2" ht="14.4">
      <c r="B884" s="67"/>
    </row>
    <row r="885" spans="2:2" ht="14.4">
      <c r="B885" s="67"/>
    </row>
    <row r="886" spans="2:2" ht="14.4">
      <c r="B886" s="67"/>
    </row>
    <row r="887" spans="2:2" ht="14.4">
      <c r="B887" s="67"/>
    </row>
    <row r="888" spans="2:2" ht="14.4">
      <c r="B888" s="67"/>
    </row>
    <row r="889" spans="2:2" ht="14.4">
      <c r="B889" s="67"/>
    </row>
    <row r="890" spans="2:2" ht="14.4">
      <c r="B890" s="67"/>
    </row>
    <row r="891" spans="2:2" ht="14.4">
      <c r="B891" s="67"/>
    </row>
    <row r="892" spans="2:2" ht="14.4">
      <c r="B892" s="67"/>
    </row>
    <row r="893" spans="2:2" ht="14.4">
      <c r="B893" s="67"/>
    </row>
    <row r="894" spans="2:2" ht="14.4">
      <c r="B894" s="67"/>
    </row>
    <row r="895" spans="2:2" ht="14.4">
      <c r="B895" s="67"/>
    </row>
    <row r="896" spans="2:2" ht="14.4">
      <c r="B896" s="67"/>
    </row>
    <row r="897" spans="2:2" ht="14.4">
      <c r="B897" s="67"/>
    </row>
    <row r="898" spans="2:2" ht="14.4">
      <c r="B898" s="67"/>
    </row>
    <row r="899" spans="2:2" ht="14.4">
      <c r="B899" s="67"/>
    </row>
    <row r="900" spans="2:2" ht="14.4">
      <c r="B900" s="67"/>
    </row>
    <row r="901" spans="2:2" ht="14.4">
      <c r="B901" s="67"/>
    </row>
    <row r="902" spans="2:2" ht="14.4">
      <c r="B902" s="67"/>
    </row>
    <row r="903" spans="2:2" ht="14.4">
      <c r="B903" s="67"/>
    </row>
    <row r="904" spans="2:2" ht="14.4">
      <c r="B904" s="67"/>
    </row>
    <row r="905" spans="2:2" ht="14.4">
      <c r="B905" s="67"/>
    </row>
    <row r="906" spans="2:2" ht="14.4">
      <c r="B906" s="67"/>
    </row>
    <row r="907" spans="2:2" ht="14.4">
      <c r="B907" s="67"/>
    </row>
    <row r="908" spans="2:2" ht="14.4">
      <c r="B908" s="67"/>
    </row>
    <row r="909" spans="2:2" ht="14.4">
      <c r="B909" s="67"/>
    </row>
    <row r="910" spans="2:2" ht="14.4">
      <c r="B910" s="67"/>
    </row>
    <row r="911" spans="2:2" ht="14.4">
      <c r="B911" s="67"/>
    </row>
    <row r="912" spans="2:2" ht="14.4">
      <c r="B912" s="67"/>
    </row>
    <row r="913" spans="2:2" ht="14.4">
      <c r="B913" s="67"/>
    </row>
    <row r="914" spans="2:2" ht="14.4">
      <c r="B914" s="67"/>
    </row>
    <row r="915" spans="2:2" ht="14.4">
      <c r="B915" s="67"/>
    </row>
    <row r="916" spans="2:2" ht="14.4">
      <c r="B916" s="67"/>
    </row>
    <row r="917" spans="2:2" ht="14.4">
      <c r="B917" s="67"/>
    </row>
    <row r="918" spans="2:2" ht="14.4">
      <c r="B918" s="67"/>
    </row>
    <row r="919" spans="2:2" ht="14.4">
      <c r="B919" s="67"/>
    </row>
    <row r="920" spans="2:2" ht="14.4">
      <c r="B920" s="67"/>
    </row>
    <row r="921" spans="2:2" ht="14.4">
      <c r="B921" s="67"/>
    </row>
    <row r="922" spans="2:2" ht="14.4">
      <c r="B922" s="67"/>
    </row>
    <row r="923" spans="2:2" ht="14.4">
      <c r="B923" s="67"/>
    </row>
    <row r="924" spans="2:2" ht="14.4">
      <c r="B924" s="67"/>
    </row>
    <row r="925" spans="2:2" ht="14.4">
      <c r="B925" s="67"/>
    </row>
    <row r="926" spans="2:2" ht="14.4">
      <c r="B926" s="67"/>
    </row>
    <row r="927" spans="2:2" ht="14.4">
      <c r="B927" s="67"/>
    </row>
    <row r="928" spans="2:2" ht="14.4">
      <c r="B928" s="67"/>
    </row>
    <row r="929" spans="2:2" ht="14.4">
      <c r="B929" s="67"/>
    </row>
    <row r="930" spans="2:2" ht="14.4">
      <c r="B930" s="67"/>
    </row>
    <row r="931" spans="2:2" ht="14.4">
      <c r="B931" s="67"/>
    </row>
    <row r="932" spans="2:2" ht="14.4">
      <c r="B932" s="67"/>
    </row>
    <row r="933" spans="2:2" ht="14.4">
      <c r="B933" s="67"/>
    </row>
    <row r="934" spans="2:2" ht="14.4">
      <c r="B934" s="67"/>
    </row>
    <row r="935" spans="2:2" ht="14.4">
      <c r="B935" s="67"/>
    </row>
    <row r="936" spans="2:2" ht="14.4">
      <c r="B936" s="67"/>
    </row>
    <row r="937" spans="2:2" ht="14.4">
      <c r="B937" s="67"/>
    </row>
    <row r="938" spans="2:2" ht="14.4">
      <c r="B938" s="67"/>
    </row>
    <row r="939" spans="2:2" ht="14.4">
      <c r="B939" s="67"/>
    </row>
    <row r="940" spans="2:2" ht="14.4">
      <c r="B940" s="67"/>
    </row>
    <row r="941" spans="2:2" ht="14.4">
      <c r="B941" s="67"/>
    </row>
    <row r="942" spans="2:2" ht="14.4">
      <c r="B942" s="67"/>
    </row>
    <row r="943" spans="2:2" ht="14.4">
      <c r="B943" s="67"/>
    </row>
    <row r="944" spans="2:2" ht="14.4">
      <c r="B944" s="67"/>
    </row>
    <row r="945" spans="2:2" ht="14.4">
      <c r="B945" s="67"/>
    </row>
    <row r="946" spans="2:2" ht="14.4">
      <c r="B946" s="67"/>
    </row>
    <row r="947" spans="2:2" ht="14.4">
      <c r="B947" s="67"/>
    </row>
    <row r="948" spans="2:2" ht="14.4">
      <c r="B948" s="67"/>
    </row>
    <row r="949" spans="2:2" ht="14.4">
      <c r="B949" s="67"/>
    </row>
    <row r="950" spans="2:2" ht="14.4">
      <c r="B950" s="67"/>
    </row>
    <row r="951" spans="2:2" ht="14.4">
      <c r="B951" s="67"/>
    </row>
    <row r="952" spans="2:2" ht="14.4">
      <c r="B952" s="67"/>
    </row>
    <row r="953" spans="2:2" ht="14.4">
      <c r="B953" s="67"/>
    </row>
    <row r="954" spans="2:2" ht="14.4">
      <c r="B954" s="67"/>
    </row>
    <row r="955" spans="2:2" ht="14.4">
      <c r="B955" s="67"/>
    </row>
    <row r="956" spans="2:2" ht="14.4">
      <c r="B956" s="67"/>
    </row>
    <row r="957" spans="2:2" ht="14.4">
      <c r="B957" s="67"/>
    </row>
    <row r="958" spans="2:2" ht="14.4">
      <c r="B958" s="67"/>
    </row>
    <row r="959" spans="2:2" ht="14.4">
      <c r="B959" s="67"/>
    </row>
    <row r="960" spans="2:2" ht="14.4">
      <c r="B960" s="67"/>
    </row>
    <row r="961" spans="2:2" ht="14.4">
      <c r="B961" s="67"/>
    </row>
    <row r="962" spans="2:2" ht="14.4">
      <c r="B962" s="67"/>
    </row>
    <row r="963" spans="2:2" ht="14.4">
      <c r="B963" s="67"/>
    </row>
    <row r="964" spans="2:2" ht="14.4">
      <c r="B964" s="67"/>
    </row>
    <row r="965" spans="2:2" ht="14.4">
      <c r="B965" s="67"/>
    </row>
    <row r="966" spans="2:2" ht="14.4">
      <c r="B966" s="67"/>
    </row>
    <row r="967" spans="2:2" ht="14.4">
      <c r="B967" s="67"/>
    </row>
    <row r="968" spans="2:2" ht="14.4">
      <c r="B968" s="67"/>
    </row>
    <row r="969" spans="2:2" ht="14.4">
      <c r="B969" s="67"/>
    </row>
    <row r="970" spans="2:2" ht="14.4">
      <c r="B970" s="67"/>
    </row>
    <row r="971" spans="2:2" ht="14.4">
      <c r="B971" s="67"/>
    </row>
    <row r="972" spans="2:2" ht="14.4">
      <c r="B972" s="67"/>
    </row>
    <row r="973" spans="2:2" ht="14.4">
      <c r="B973" s="67"/>
    </row>
    <row r="974" spans="2:2" ht="14.4">
      <c r="B974" s="67"/>
    </row>
    <row r="975" spans="2:2" ht="14.4">
      <c r="B975" s="67"/>
    </row>
    <row r="976" spans="2:2" ht="14.4">
      <c r="B976" s="67"/>
    </row>
    <row r="977" spans="2:2" ht="14.4">
      <c r="B977" s="67"/>
    </row>
    <row r="978" spans="2:2" ht="14.4">
      <c r="B978" s="67"/>
    </row>
    <row r="979" spans="2:2" ht="14.4">
      <c r="B979" s="67"/>
    </row>
    <row r="980" spans="2:2" ht="14.4">
      <c r="B980" s="67"/>
    </row>
    <row r="981" spans="2:2" ht="14.4">
      <c r="B981" s="67"/>
    </row>
    <row r="982" spans="2:2" ht="14.4">
      <c r="B982" s="67"/>
    </row>
    <row r="983" spans="2:2" ht="14.4">
      <c r="B983" s="67"/>
    </row>
    <row r="984" spans="2:2" ht="14.4">
      <c r="B984" s="67"/>
    </row>
    <row r="985" spans="2:2" ht="14.4">
      <c r="B985" s="67"/>
    </row>
    <row r="986" spans="2:2" ht="14.4">
      <c r="B986" s="67"/>
    </row>
    <row r="987" spans="2:2" ht="14.4">
      <c r="B987" s="67"/>
    </row>
    <row r="988" spans="2:2" ht="14.4">
      <c r="B988" s="67"/>
    </row>
    <row r="989" spans="2:2" ht="14.4">
      <c r="B989" s="67"/>
    </row>
    <row r="990" spans="2:2" ht="14.4">
      <c r="B990" s="67"/>
    </row>
    <row r="991" spans="2:2" ht="14.4">
      <c r="B991" s="67"/>
    </row>
    <row r="992" spans="2:2" ht="14.4">
      <c r="B992" s="67"/>
    </row>
    <row r="993" spans="2:2" ht="14.4">
      <c r="B993" s="67"/>
    </row>
    <row r="994" spans="2:2" ht="14.4">
      <c r="B994" s="67"/>
    </row>
    <row r="995" spans="2:2" ht="14.4">
      <c r="B995" s="67"/>
    </row>
    <row r="996" spans="2:2" ht="14.4">
      <c r="B996" s="67"/>
    </row>
    <row r="997" spans="2:2" ht="14.4">
      <c r="B997" s="67"/>
    </row>
    <row r="998" spans="2:2" ht="14.4">
      <c r="B998" s="67"/>
    </row>
    <row r="999" spans="2:2" ht="14.4">
      <c r="B999" s="67"/>
    </row>
    <row r="1000" spans="2:2" ht="14.4">
      <c r="B1000" s="67"/>
    </row>
    <row r="1001" spans="2:2" ht="14.4">
      <c r="B1001" s="67"/>
    </row>
    <row r="1002" spans="2:2" ht="14.4">
      <c r="B1002" s="67"/>
    </row>
    <row r="1003" spans="2:2" ht="14.4">
      <c r="B1003" s="67"/>
    </row>
    <row r="1004" spans="2:2" ht="14.4">
      <c r="B1004" s="67"/>
    </row>
    <row r="1005" spans="2:2" ht="14.4">
      <c r="B1005" s="67"/>
    </row>
    <row r="1006" spans="2:2" ht="14.4">
      <c r="B1006" s="67"/>
    </row>
    <row r="1007" spans="2:2" ht="14.4">
      <c r="B1007" s="67"/>
    </row>
    <row r="1008" spans="2:2" ht="14.4">
      <c r="B1008" s="67"/>
    </row>
  </sheetData>
  <autoFilter ref="T49:X59" xr:uid="{00000000-0009-0000-0000-000003000000}">
    <sortState xmlns:xlrd2="http://schemas.microsoft.com/office/spreadsheetml/2017/richdata2" ref="T49:X59">
      <sortCondition descending="1" ref="W49:W59"/>
    </sortState>
  </autoFilter>
  <mergeCells count="3">
    <mergeCell ref="S45:S47"/>
    <mergeCell ref="G61:I61"/>
    <mergeCell ref="J61:L61"/>
  </mergeCells>
  <conditionalFormatting sqref="C11:C36">
    <cfRule type="colorScale" priority="8">
      <colorScale>
        <cfvo type="min"/>
        <cfvo type="max"/>
        <color rgb="FFFFFFFF"/>
        <color rgb="FF57BB8A"/>
      </colorScale>
    </cfRule>
  </conditionalFormatting>
  <conditionalFormatting sqref="C59:E60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5:F46 G45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7:F47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G42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1:D36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1:F36">
    <cfRule type="colorScale" priority="10">
      <colorScale>
        <cfvo type="min"/>
        <cfvo type="max"/>
        <color rgb="FFFFFFFF"/>
        <color rgb="FF57BB8A"/>
      </colorScale>
    </cfRule>
  </conditionalFormatting>
  <conditionalFormatting sqref="F59:F60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1:G3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1:H36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9:H44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1:J3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9:J42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5:M45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1:L36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9:L42">
    <cfRule type="colorScale" priority="2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M11:M36">
    <cfRule type="colorScale" priority="21">
      <colorScale>
        <cfvo type="min"/>
        <cfvo type="max"/>
        <color rgb="FFFFFFFF"/>
        <color rgb="FF57BB8A"/>
      </colorScale>
    </cfRule>
  </conditionalFormatting>
  <conditionalFormatting sqref="M39:M43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11:N36">
    <cfRule type="colorScale" priority="23">
      <colorScale>
        <cfvo type="min"/>
        <cfvo type="max"/>
        <color rgb="FFFFFFFF"/>
        <color rgb="FF57BB8A"/>
      </colorScale>
    </cfRule>
  </conditionalFormatting>
  <conditionalFormatting sqref="N39:O42">
    <cfRule type="colorScale" priority="2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11:O36">
    <cfRule type="colorScale" priority="22">
      <colorScale>
        <cfvo type="min"/>
        <cfvo type="max"/>
        <color rgb="FFFFFFFF"/>
        <color rgb="FF57BB8A"/>
      </colorScale>
    </cfRule>
  </conditionalFormatting>
  <conditionalFormatting sqref="P47:R47">
    <cfRule type="colorScale" priority="2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R49:R53 Q47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61:R66 L70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29:S36 V45:V46 L46 E49:E56 J49:J56 O49:O5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W49:W59 Q56:Q57 Q70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49:X58 R56:R57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NESTLE 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2025-08-20T06:45:11Z</dcterms:created>
  <dcterms:modified xsi:type="dcterms:W3CDTF">2025-08-20T06:45:33Z</dcterms:modified>
</cp:coreProperties>
</file>