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FY_24\"/>
    </mc:Choice>
  </mc:AlternateContent>
  <xr:revisionPtr revIDLastSave="0" documentId="8_{CE547070-6FAE-4DD4-B2E9-E8162A6ECCFE}" xr6:coauthVersionLast="47" xr6:coauthVersionMax="47" xr10:uidLastSave="{00000000-0000-0000-0000-000000000000}"/>
  <bookViews>
    <workbookView xWindow="-108" yWindow="-108" windowWidth="23256" windowHeight="12456" xr2:uid="{70103A04-5D1E-4F19-9EE7-65593DDA6D24}"/>
  </bookViews>
  <sheets>
    <sheet name="NestleInt" sheetId="1" r:id="rId1"/>
    <sheet name="PACKAGED FOODS" sheetId="2" r:id="rId2"/>
  </sheets>
  <externalReferences>
    <externalReference r:id="rId3"/>
  </externalReferences>
  <definedNames>
    <definedName name="_xlnm._FilterDatabase" localSheetId="0" hidden="1">NestleInt!$N$54:$R$64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28" i="2" l="1"/>
  <c r="AF228" i="2"/>
  <c r="V228" i="2"/>
  <c r="U228" i="2"/>
  <c r="T228" i="2"/>
  <c r="S228" i="2"/>
  <c r="Z228" i="2" s="1"/>
  <c r="R228" i="2"/>
  <c r="Q228" i="2"/>
  <c r="Y228" i="2" s="1"/>
  <c r="P228" i="2"/>
  <c r="O228" i="2"/>
  <c r="M228" i="2"/>
  <c r="L228" i="2"/>
  <c r="K228" i="2"/>
  <c r="AD228" i="2" s="1"/>
  <c r="J228" i="2"/>
  <c r="I228" i="2"/>
  <c r="AG228" i="2" s="1"/>
  <c r="H228" i="2"/>
  <c r="AE228" i="2" s="1"/>
  <c r="G228" i="2"/>
  <c r="F228" i="2"/>
  <c r="E228" i="2"/>
  <c r="AB228" i="2" s="1"/>
  <c r="D228" i="2"/>
  <c r="AL204" i="2"/>
  <c r="AK204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N204" i="2"/>
  <c r="AJ204" i="2" s="1"/>
  <c r="AK203" i="2"/>
  <c r="AL203" i="2" s="1"/>
  <c r="AJ203" i="2"/>
  <c r="AI203" i="2"/>
  <c r="AH203" i="2"/>
  <c r="AG203" i="2"/>
  <c r="AF203" i="2"/>
  <c r="AE203" i="2"/>
  <c r="AD203" i="2"/>
  <c r="AC203" i="2"/>
  <c r="AB203" i="2"/>
  <c r="AA203" i="2"/>
  <c r="Z203" i="2"/>
  <c r="Y203" i="2"/>
  <c r="X203" i="2"/>
  <c r="W203" i="2"/>
  <c r="N203" i="2"/>
  <c r="AK202" i="2"/>
  <c r="AL202" i="2" s="1"/>
  <c r="AI202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N202" i="2"/>
  <c r="AJ202" i="2" s="1"/>
  <c r="AL201" i="2"/>
  <c r="AK201" i="2"/>
  <c r="AI201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N201" i="2"/>
  <c r="AJ201" i="2" s="1"/>
  <c r="AL200" i="2"/>
  <c r="AK200" i="2"/>
  <c r="AJ200" i="2"/>
  <c r="AI200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N200" i="2"/>
  <c r="AK199" i="2"/>
  <c r="AL199" i="2" s="1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N199" i="2"/>
  <c r="AJ199" i="2" s="1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N198" i="2"/>
  <c r="AK197" i="2"/>
  <c r="AL197" i="2" s="1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N197" i="2"/>
  <c r="AL196" i="2"/>
  <c r="AK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N196" i="2"/>
  <c r="AJ196" i="2" s="1"/>
  <c r="AK195" i="2"/>
  <c r="AL195" i="2" s="1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N195" i="2"/>
  <c r="AK194" i="2"/>
  <c r="AL194" i="2" s="1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N194" i="2"/>
  <c r="AJ194" i="2" s="1"/>
  <c r="K172" i="2"/>
  <c r="G172" i="2"/>
  <c r="C172" i="2"/>
  <c r="K21" i="2"/>
  <c r="G21" i="2"/>
  <c r="C21" i="2"/>
  <c r="K72" i="1"/>
  <c r="J72" i="1"/>
  <c r="L72" i="1" s="1"/>
  <c r="K71" i="1"/>
  <c r="J71" i="1"/>
  <c r="L71" i="1" s="1"/>
  <c r="K70" i="1"/>
  <c r="J70" i="1"/>
  <c r="L70" i="1" s="1"/>
  <c r="L69" i="1"/>
  <c r="R66" i="1"/>
  <c r="P66" i="1"/>
  <c r="O66" i="1"/>
  <c r="Q64" i="1" s="1"/>
  <c r="J65" i="1"/>
  <c r="R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I57" i="1"/>
  <c r="R56" i="1"/>
  <c r="Q56" i="1"/>
  <c r="R55" i="1"/>
  <c r="G55" i="1"/>
  <c r="F55" i="1"/>
  <c r="E55" i="1"/>
  <c r="C55" i="1"/>
  <c r="E3" i="1" s="1"/>
  <c r="E7" i="1" s="1"/>
  <c r="F52" i="1"/>
  <c r="U50" i="1"/>
  <c r="V50" i="1" s="1"/>
  <c r="T50" i="1"/>
  <c r="P50" i="1"/>
  <c r="O50" i="1"/>
  <c r="Q50" i="1" s="1"/>
  <c r="K50" i="1"/>
  <c r="J50" i="1"/>
  <c r="L50" i="1" s="1"/>
  <c r="V49" i="1"/>
  <c r="U49" i="1"/>
  <c r="T49" i="1"/>
  <c r="Q49" i="1"/>
  <c r="P49" i="1"/>
  <c r="O49" i="1"/>
  <c r="K49" i="1"/>
  <c r="J49" i="1"/>
  <c r="L49" i="1" s="1"/>
  <c r="V48" i="1"/>
  <c r="Q48" i="1"/>
  <c r="L48" i="1"/>
  <c r="C48" i="1"/>
  <c r="V47" i="1"/>
  <c r="Q47" i="1"/>
  <c r="L47" i="1"/>
  <c r="C47" i="1"/>
  <c r="V46" i="1"/>
  <c r="Q46" i="1"/>
  <c r="L46" i="1"/>
  <c r="C46" i="1"/>
  <c r="V45" i="1"/>
  <c r="Q45" i="1"/>
  <c r="L45" i="1"/>
  <c r="V44" i="1"/>
  <c r="Q44" i="1"/>
  <c r="L44" i="1"/>
  <c r="B7" i="1" s="1"/>
  <c r="G43" i="1"/>
  <c r="N40" i="1"/>
  <c r="M40" i="1"/>
  <c r="J40" i="1"/>
  <c r="I40" i="1"/>
  <c r="G40" i="1"/>
  <c r="F40" i="1"/>
  <c r="E40" i="1"/>
  <c r="D40" i="1"/>
  <c r="C40" i="1"/>
  <c r="J39" i="1"/>
  <c r="I39" i="1"/>
  <c r="G39" i="1"/>
  <c r="F39" i="1"/>
  <c r="E39" i="1"/>
  <c r="D39" i="1"/>
  <c r="C39" i="1"/>
  <c r="J38" i="1"/>
  <c r="I38" i="1"/>
  <c r="G38" i="1"/>
  <c r="F38" i="1"/>
  <c r="E38" i="1"/>
  <c r="D38" i="1"/>
  <c r="C38" i="1"/>
  <c r="J37" i="1"/>
  <c r="I37" i="1"/>
  <c r="G37" i="1"/>
  <c r="F37" i="1"/>
  <c r="E37" i="1"/>
  <c r="D37" i="1"/>
  <c r="C37" i="1"/>
  <c r="H34" i="1"/>
  <c r="N33" i="1"/>
  <c r="L33" i="1"/>
  <c r="L40" i="1" s="1"/>
  <c r="K33" i="1"/>
  <c r="K40" i="1" s="1"/>
  <c r="H33" i="1"/>
  <c r="H40" i="1" s="1"/>
  <c r="N32" i="1"/>
  <c r="L32" i="1"/>
  <c r="K32" i="1"/>
  <c r="H32" i="1"/>
  <c r="N31" i="1"/>
  <c r="L31" i="1"/>
  <c r="K31" i="1"/>
  <c r="H31" i="1"/>
  <c r="M30" i="1"/>
  <c r="M39" i="1" s="1"/>
  <c r="L30" i="1"/>
  <c r="K30" i="1"/>
  <c r="H30" i="1"/>
  <c r="L29" i="1"/>
  <c r="L39" i="1" s="1"/>
  <c r="K29" i="1"/>
  <c r="H29" i="1"/>
  <c r="L28" i="1"/>
  <c r="K28" i="1"/>
  <c r="K39" i="1" s="1"/>
  <c r="H28" i="1"/>
  <c r="H39" i="1" s="1"/>
  <c r="L27" i="1"/>
  <c r="K27" i="1"/>
  <c r="H27" i="1"/>
  <c r="L26" i="1"/>
  <c r="K26" i="1"/>
  <c r="H26" i="1"/>
  <c r="L25" i="1"/>
  <c r="K25" i="1"/>
  <c r="H25" i="1"/>
  <c r="L24" i="1"/>
  <c r="K24" i="1"/>
  <c r="K38" i="1" s="1"/>
  <c r="H24" i="1"/>
  <c r="L23" i="1"/>
  <c r="L38" i="1" s="1"/>
  <c r="K23" i="1"/>
  <c r="H23" i="1"/>
  <c r="H38" i="1" s="1"/>
  <c r="L22" i="1"/>
  <c r="K22" i="1"/>
  <c r="H22" i="1"/>
  <c r="L21" i="1"/>
  <c r="K21" i="1"/>
  <c r="H21" i="1"/>
  <c r="L20" i="1"/>
  <c r="K20" i="1"/>
  <c r="H20" i="1"/>
  <c r="L19" i="1"/>
  <c r="K19" i="1"/>
  <c r="H19" i="1"/>
  <c r="L18" i="1"/>
  <c r="K18" i="1"/>
  <c r="H18" i="1"/>
  <c r="L17" i="1"/>
  <c r="K17" i="1"/>
  <c r="H17" i="1"/>
  <c r="L16" i="1"/>
  <c r="K16" i="1"/>
  <c r="H16" i="1"/>
  <c r="L15" i="1"/>
  <c r="K15" i="1"/>
  <c r="H15" i="1"/>
  <c r="L14" i="1"/>
  <c r="K14" i="1"/>
  <c r="H14" i="1"/>
  <c r="L13" i="1"/>
  <c r="L37" i="1" s="1"/>
  <c r="K13" i="1"/>
  <c r="K37" i="1" s="1"/>
  <c r="H13" i="1"/>
  <c r="H37" i="1" s="1"/>
  <c r="F51" i="1" s="1"/>
  <c r="L12" i="1"/>
  <c r="K12" i="1"/>
  <c r="H12" i="1"/>
  <c r="L11" i="1"/>
  <c r="K11" i="1"/>
  <c r="H11" i="1"/>
  <c r="N7" i="1"/>
  <c r="H7" i="1"/>
  <c r="G7" i="1"/>
  <c r="F7" i="1"/>
  <c r="D7" i="1"/>
  <c r="C7" i="1"/>
  <c r="P3" i="1"/>
  <c r="G3" i="1"/>
  <c r="D3" i="1"/>
  <c r="C3" i="1"/>
  <c r="J57" i="1" s="1"/>
  <c r="L55" i="1" s="1"/>
  <c r="P7" i="1" s="1"/>
  <c r="AA228" i="2" l="1"/>
  <c r="AC228" i="2"/>
  <c r="N228" i="2"/>
  <c r="W228" i="2"/>
  <c r="X228" i="2"/>
  <c r="M7" i="1"/>
  <c r="M38" i="1"/>
  <c r="Q55" i="1"/>
  <c r="K57" i="1"/>
  <c r="L7" i="1"/>
  <c r="C56" i="1"/>
  <c r="D55" i="1"/>
  <c r="N30" i="1"/>
  <c r="M37" i="1"/>
  <c r="Q66" i="1"/>
  <c r="O7" i="1"/>
  <c r="N39" i="1" l="1"/>
  <c r="N37" i="1"/>
  <c r="N38" i="1"/>
  <c r="F3" i="1"/>
  <c r="D52" i="1"/>
  <c r="D56" i="1"/>
  <c r="C57" i="1"/>
  <c r="E56" i="1" l="1"/>
  <c r="D57" i="1"/>
  <c r="I7" i="1"/>
  <c r="K7" i="1"/>
  <c r="J7" i="1"/>
  <c r="G56" i="1" l="1"/>
  <c r="F56" i="1"/>
  <c r="E57" i="1"/>
  <c r="G57" i="1" l="1"/>
  <c r="F57" i="1"/>
</calcChain>
</file>

<file path=xl/sharedStrings.xml><?xml version="1.0" encoding="utf-8"?>
<sst xmlns="http://schemas.openxmlformats.org/spreadsheetml/2006/main" count="523" uniqueCount="213">
  <si>
    <t>Company</t>
  </si>
  <si>
    <t>Price</t>
  </si>
  <si>
    <t>Marketcap in Cr</t>
  </si>
  <si>
    <t>SALES_FY24</t>
  </si>
  <si>
    <t>PROFIT_FY24</t>
  </si>
  <si>
    <t>F_EPS</t>
  </si>
  <si>
    <t>FV</t>
  </si>
  <si>
    <t>Equity</t>
  </si>
  <si>
    <t>Total Equity</t>
  </si>
  <si>
    <t>Debt</t>
  </si>
  <si>
    <t>Lease Cr</t>
  </si>
  <si>
    <t>CUR.ASSETS</t>
  </si>
  <si>
    <t>CUR.LIABILITIES</t>
  </si>
  <si>
    <t>ASSETS</t>
  </si>
  <si>
    <t>LIABILITIES</t>
  </si>
  <si>
    <t>TRADE REC</t>
  </si>
  <si>
    <t>CFO</t>
  </si>
  <si>
    <t>CFI</t>
  </si>
  <si>
    <t>CFF</t>
  </si>
  <si>
    <t>PPE</t>
  </si>
  <si>
    <t>NESTLEIND</t>
  </si>
  <si>
    <t>GROWTH</t>
  </si>
  <si>
    <t>LIQUIDITY</t>
  </si>
  <si>
    <t>SOLVENCY</t>
  </si>
  <si>
    <t>PROFITABILITY</t>
  </si>
  <si>
    <t>VALUATIONS</t>
  </si>
  <si>
    <t>SALES GROWTH</t>
  </si>
  <si>
    <t>P-MARGIN</t>
  </si>
  <si>
    <t>CUR.RATIO</t>
  </si>
  <si>
    <t>TRADE CYC</t>
  </si>
  <si>
    <t>DEBT2EQUITY</t>
  </si>
  <si>
    <t>DEBTRATIO</t>
  </si>
  <si>
    <t>ICR</t>
  </si>
  <si>
    <t>ROE</t>
  </si>
  <si>
    <t>ROPE</t>
  </si>
  <si>
    <t>ROA</t>
  </si>
  <si>
    <t>F-PE_24</t>
  </si>
  <si>
    <t>YIELD_24</t>
  </si>
  <si>
    <t>BOOKVALUE</t>
  </si>
  <si>
    <t>PBV</t>
  </si>
  <si>
    <t>PEG</t>
  </si>
  <si>
    <t>ActualData</t>
  </si>
  <si>
    <t>Years</t>
  </si>
  <si>
    <t>Sales</t>
  </si>
  <si>
    <t>Profit</t>
  </si>
  <si>
    <t>Reserve</t>
  </si>
  <si>
    <t>EPS</t>
  </si>
  <si>
    <t>Margin</t>
  </si>
  <si>
    <t>High</t>
  </si>
  <si>
    <t>Low</t>
  </si>
  <si>
    <t>HPE</t>
  </si>
  <si>
    <t>LPE</t>
  </si>
  <si>
    <t>Dividend</t>
  </si>
  <si>
    <t>Percentage</t>
  </si>
  <si>
    <t>FY_2001</t>
  </si>
  <si>
    <t>FY_2002</t>
  </si>
  <si>
    <t>FY_2003</t>
  </si>
  <si>
    <t>FY_2004</t>
  </si>
  <si>
    <t>FY_2005</t>
  </si>
  <si>
    <t>FY_2006</t>
  </si>
  <si>
    <t>FY_2007</t>
  </si>
  <si>
    <t>FY_2008</t>
  </si>
  <si>
    <t>FY_2009</t>
  </si>
  <si>
    <t>FY_2010</t>
  </si>
  <si>
    <t>FY_2011</t>
  </si>
  <si>
    <t>FY_2012</t>
  </si>
  <si>
    <t>FY_2013</t>
  </si>
  <si>
    <t>FY_2014</t>
  </si>
  <si>
    <t>FY_2015</t>
  </si>
  <si>
    <t>FY_2016</t>
  </si>
  <si>
    <t>FY_2017</t>
  </si>
  <si>
    <t>FY_2018</t>
  </si>
  <si>
    <t>FY_2019</t>
  </si>
  <si>
    <t>FY_2020</t>
  </si>
  <si>
    <t>FY_2021</t>
  </si>
  <si>
    <t>FY_2022</t>
  </si>
  <si>
    <t>FY_2023</t>
  </si>
  <si>
    <t>FY_2024 (15M)</t>
  </si>
  <si>
    <t>20  Year</t>
  </si>
  <si>
    <t>10 Years</t>
  </si>
  <si>
    <t>5 Years</t>
  </si>
  <si>
    <t>Cy Year</t>
  </si>
  <si>
    <t>TRAIL</t>
  </si>
  <si>
    <t>Q1_FY23</t>
  </si>
  <si>
    <t>Q2_FY23</t>
  </si>
  <si>
    <t>Q3_FY23</t>
  </si>
  <si>
    <t>Q4_FY24</t>
  </si>
  <si>
    <t>TRAIL-2024</t>
  </si>
  <si>
    <t>RESULT</t>
  </si>
  <si>
    <t>Q4_FY_24</t>
  </si>
  <si>
    <t>Q4_FY_23</t>
  </si>
  <si>
    <t>Growth</t>
  </si>
  <si>
    <t>RESUT</t>
  </si>
  <si>
    <t>FY_23</t>
  </si>
  <si>
    <t>FY_22</t>
  </si>
  <si>
    <t>9M_FY23</t>
  </si>
  <si>
    <t>9M_FY22</t>
  </si>
  <si>
    <t>Revenue</t>
  </si>
  <si>
    <t>TREND</t>
  </si>
  <si>
    <t>H1_FY23</t>
  </si>
  <si>
    <t>EST_FY25</t>
  </si>
  <si>
    <t>Finance(Employee)</t>
  </si>
  <si>
    <t>SALES</t>
  </si>
  <si>
    <t>Expense</t>
  </si>
  <si>
    <t>PROFIT</t>
  </si>
  <si>
    <t>Net Profit</t>
  </si>
  <si>
    <t>MARGIN</t>
  </si>
  <si>
    <t>Net Profit Margin</t>
  </si>
  <si>
    <t>Exp Growth</t>
  </si>
  <si>
    <t>Long Term</t>
  </si>
  <si>
    <t>fy_2025</t>
  </si>
  <si>
    <t>Ecommerce</t>
  </si>
  <si>
    <t>6.5% Contribution</t>
  </si>
  <si>
    <t>Estimates</t>
  </si>
  <si>
    <t>FAIRVALUE</t>
  </si>
  <si>
    <t>Dividend/Year</t>
  </si>
  <si>
    <t>EPS_22</t>
  </si>
  <si>
    <t>TRAI_EPS</t>
  </si>
  <si>
    <t>F_EPS_24</t>
  </si>
  <si>
    <t>F_PEG</t>
  </si>
  <si>
    <t>MajorCost</t>
  </si>
  <si>
    <t>Share</t>
  </si>
  <si>
    <t>fy_2024 (ADJ.)</t>
  </si>
  <si>
    <t>RAWMaterial</t>
  </si>
  <si>
    <t>fy_2030</t>
  </si>
  <si>
    <t>PE</t>
  </si>
  <si>
    <t>TRAILPE</t>
  </si>
  <si>
    <t>F_PE</t>
  </si>
  <si>
    <t>Other Exp</t>
  </si>
  <si>
    <t>fy_2035</t>
  </si>
  <si>
    <t>Employee</t>
  </si>
  <si>
    <t>D&amp;A</t>
  </si>
  <si>
    <t>SEGMENT</t>
  </si>
  <si>
    <t>StockinTrade</t>
  </si>
  <si>
    <t>Milk Products And Nutrition</t>
  </si>
  <si>
    <t>Finance(Emp)</t>
  </si>
  <si>
    <t>Prepared Dishes And Cooking Aids</t>
  </si>
  <si>
    <t>CSR</t>
  </si>
  <si>
    <t>Confectionery</t>
  </si>
  <si>
    <t>Provisons</t>
  </si>
  <si>
    <t>Powdered And Liquid Beverages</t>
  </si>
  <si>
    <t>Loss on PPE</t>
  </si>
  <si>
    <t>Change inventory</t>
  </si>
  <si>
    <t>TOTAL</t>
  </si>
  <si>
    <t>SHP</t>
  </si>
  <si>
    <t>ANNUAL</t>
  </si>
  <si>
    <t>PROMOTER</t>
  </si>
  <si>
    <t>MF</t>
  </si>
  <si>
    <t>FII</t>
  </si>
  <si>
    <t>RETAIL</t>
  </si>
  <si>
    <t>PACKAGED FOOD INDUSTRY</t>
  </si>
  <si>
    <t>INDUSTRY</t>
  </si>
  <si>
    <t>Security Name</t>
  </si>
  <si>
    <t>Market cap</t>
  </si>
  <si>
    <t>SALES_2023</t>
  </si>
  <si>
    <t>PROFIT_2023</t>
  </si>
  <si>
    <t>BRITANNIA</t>
  </si>
  <si>
    <t>BIKAJI</t>
  </si>
  <si>
    <t>BBTC</t>
  </si>
  <si>
    <t>ZYDUSWELL</t>
  </si>
  <si>
    <t>BECTORFOOD</t>
  </si>
  <si>
    <t>GOPAL</t>
  </si>
  <si>
    <t>TASTYBIT</t>
  </si>
  <si>
    <t>DIAMONDYD</t>
  </si>
  <si>
    <t>ADFFOODS</t>
  </si>
  <si>
    <t>MISHTANN</t>
  </si>
  <si>
    <t>OTHERS_22</t>
  </si>
  <si>
    <t>SALES_5Y_GR</t>
  </si>
  <si>
    <t>CY SALES GR</t>
  </si>
  <si>
    <t>MARGIN_FY23</t>
  </si>
  <si>
    <t>MARGIN_CY</t>
  </si>
  <si>
    <t>CUR. RATIO</t>
  </si>
  <si>
    <t>TR.DAYS</t>
  </si>
  <si>
    <t>TRAIL_PE</t>
  </si>
  <si>
    <t>YIELD</t>
  </si>
  <si>
    <t>Security Code</t>
  </si>
  <si>
    <t>CUR ASSET</t>
  </si>
  <si>
    <t>CUR LIABILITY</t>
  </si>
  <si>
    <t>TOT. ASSET</t>
  </si>
  <si>
    <t>TOT. LIABILITY</t>
  </si>
  <si>
    <t>EQUITY</t>
  </si>
  <si>
    <t>TOT. EQUITY</t>
  </si>
  <si>
    <t>BORROWING</t>
  </si>
  <si>
    <t>TRADE REC.</t>
  </si>
  <si>
    <t>TRAIL_EPS</t>
  </si>
  <si>
    <t>SALES_2018</t>
  </si>
  <si>
    <t>PROFIT_2018</t>
  </si>
  <si>
    <t>TRAIL_SALES</t>
  </si>
  <si>
    <t>TRAIL_PROFIT</t>
  </si>
  <si>
    <t>FINANCE</t>
  </si>
  <si>
    <t>EXPENSE</t>
  </si>
  <si>
    <t>FOODSIN</t>
  </si>
  <si>
    <t>IIL</t>
  </si>
  <si>
    <t>LOTUSCHO</t>
  </si>
  <si>
    <t>BAMBINO</t>
  </si>
  <si>
    <t>TANVI</t>
  </si>
  <si>
    <t>PALASHSEC</t>
  </si>
  <si>
    <t>SUMUKA</t>
  </si>
  <si>
    <t>ANJANIFOODS</t>
  </si>
  <si>
    <t>JFL</t>
  </si>
  <si>
    <t>NGIL</t>
  </si>
  <si>
    <t>GCKL</t>
  </si>
  <si>
    <t>SAMPRE</t>
  </si>
  <si>
    <t>CEETAIN</t>
  </si>
  <si>
    <t>SWOEF</t>
  </si>
  <si>
    <t>CHORDIA</t>
  </si>
  <si>
    <t>PANJON</t>
  </si>
  <si>
    <t>CHOTHANI</t>
  </si>
  <si>
    <t>ICLORGANIC</t>
  </si>
  <si>
    <t>KMGMILK</t>
  </si>
  <si>
    <t>SUPERBAK</t>
  </si>
  <si>
    <t>SONALIS</t>
  </si>
  <si>
    <t>SHAQUAK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</si>
</sst>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19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Calibri"/>
    </font>
    <font>
      <b/>
      <sz val="10"/>
      <color rgb="FFFFFFFF"/>
      <name val="Calibri"/>
    </font>
    <font>
      <sz val="11"/>
      <color theme="1"/>
      <name val="Calibri"/>
    </font>
    <font>
      <b/>
      <sz val="14"/>
      <color rgb="FFFFFFFF"/>
      <name val="Calibri"/>
      <scheme val="minor"/>
    </font>
    <font>
      <b/>
      <sz val="11"/>
      <color rgb="FFFFFFFF"/>
      <name val="Calibri"/>
      <scheme val="minor"/>
    </font>
    <font>
      <sz val="11"/>
      <color theme="1"/>
      <name val="&quot;Times New Roman&quot;"/>
    </font>
    <font>
      <b/>
      <i/>
      <sz val="11"/>
      <color theme="1"/>
      <name val="Calibri"/>
      <scheme val="minor"/>
    </font>
    <font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b/>
      <sz val="14"/>
      <color rgb="FFFFFFFF"/>
      <name val="Calibri"/>
    </font>
    <font>
      <sz val="34"/>
      <color theme="1"/>
      <name val="Calibri"/>
    </font>
    <font>
      <b/>
      <i/>
      <u/>
      <sz val="11"/>
      <color theme="1"/>
      <name val="Calibri"/>
      <scheme val="minor"/>
    </font>
    <font>
      <sz val="36"/>
      <color rgb="FFFFFFFF"/>
      <name val="Calibri"/>
      <scheme val="minor"/>
    </font>
    <font>
      <sz val="11"/>
      <color rgb="FFFFFFFF"/>
      <name val="Calibri"/>
      <scheme val="minor"/>
    </font>
    <font>
      <sz val="11"/>
      <color rgb="FF333333"/>
      <name val="Arial"/>
    </font>
    <font>
      <sz val="11"/>
      <color rgb="FFFFFFFF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FFFFFF"/>
        <bgColor rgb="FFFFFFFF"/>
      </patternFill>
    </fill>
    <fill>
      <patternFill patternType="solid">
        <fgColor rgb="FF073763"/>
        <bgColor rgb="FF073763"/>
      </patternFill>
    </fill>
    <fill>
      <patternFill patternType="solid">
        <fgColor rgb="FF3D85C6"/>
        <bgColor rgb="FF3D85C6"/>
      </patternFill>
    </fill>
    <fill>
      <patternFill patternType="solid">
        <fgColor rgb="FFB7B7B7"/>
        <bgColor rgb="FFB7B7B7"/>
      </patternFill>
    </fill>
    <fill>
      <patternFill patternType="solid">
        <fgColor rgb="FF57BB8A"/>
        <bgColor rgb="FF57BB8A"/>
      </patternFill>
    </fill>
    <fill>
      <patternFill patternType="solid">
        <fgColor rgb="FF92D3B3"/>
        <bgColor rgb="FF92D3B3"/>
      </patternFill>
    </fill>
    <fill>
      <patternFill patternType="solid">
        <fgColor rgb="FFF3BFBB"/>
        <bgColor rgb="FFF3BFBB"/>
      </patternFill>
    </fill>
    <fill>
      <patternFill patternType="solid">
        <fgColor rgb="FFFEFFFE"/>
        <bgColor rgb="FFFEFFFE"/>
      </patternFill>
    </fill>
    <fill>
      <patternFill patternType="solid">
        <fgColor rgb="FFF2FAF6"/>
        <bgColor rgb="FFF2FAF6"/>
      </patternFill>
    </fill>
  </fills>
  <borders count="10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0" borderId="1" xfId="0" applyFont="1" applyBorder="1"/>
    <xf numFmtId="1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4" fillId="0" borderId="2" xfId="0" applyFont="1" applyBorder="1"/>
    <xf numFmtId="0" fontId="4" fillId="3" borderId="2" xfId="0" applyFont="1" applyFill="1" applyBorder="1"/>
    <xf numFmtId="0" fontId="1" fillId="0" borderId="0" xfId="0" applyFont="1"/>
    <xf numFmtId="0" fontId="2" fillId="2" borderId="2" xfId="0" applyFont="1" applyFill="1" applyBorder="1" applyAlignment="1">
      <alignment wrapText="1"/>
    </xf>
    <xf numFmtId="9" fontId="2" fillId="2" borderId="2" xfId="0" applyNumberFormat="1" applyFont="1" applyFill="1" applyBorder="1" applyAlignment="1">
      <alignment wrapText="1"/>
    </xf>
    <xf numFmtId="1" fontId="2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>
      <alignment wrapText="1"/>
    </xf>
    <xf numFmtId="165" fontId="2" fillId="2" borderId="2" xfId="0" applyNumberFormat="1" applyFont="1" applyFill="1" applyBorder="1" applyAlignment="1">
      <alignment wrapText="1"/>
    </xf>
    <xf numFmtId="1" fontId="1" fillId="0" borderId="0" xfId="0" applyNumberFormat="1" applyFont="1"/>
    <xf numFmtId="9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9" fontId="1" fillId="0" borderId="0" xfId="0" applyNumberFormat="1" applyFont="1"/>
    <xf numFmtId="0" fontId="5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4" borderId="0" xfId="0" applyFont="1" applyFill="1"/>
    <xf numFmtId="0" fontId="6" fillId="5" borderId="0" xfId="0" applyFont="1" applyFill="1" applyAlignment="1">
      <alignment horizontal="left"/>
    </xf>
    <xf numFmtId="1" fontId="7" fillId="0" borderId="0" xfId="0" applyNumberFormat="1" applyFont="1" applyAlignment="1">
      <alignment horizontal="right"/>
    </xf>
    <xf numFmtId="165" fontId="1" fillId="0" borderId="0" xfId="0" applyNumberFormat="1" applyFont="1"/>
    <xf numFmtId="0" fontId="6" fillId="5" borderId="1" xfId="0" applyFont="1" applyFill="1" applyBorder="1" applyAlignment="1">
      <alignment horizontal="left"/>
    </xf>
    <xf numFmtId="1" fontId="1" fillId="0" borderId="1" xfId="0" applyNumberFormat="1" applyFont="1" applyBorder="1"/>
    <xf numFmtId="165" fontId="1" fillId="0" borderId="1" xfId="0" applyNumberFormat="1" applyFont="1" applyBorder="1"/>
    <xf numFmtId="9" fontId="1" fillId="0" borderId="1" xfId="0" applyNumberFormat="1" applyFont="1" applyBorder="1"/>
    <xf numFmtId="0" fontId="1" fillId="0" borderId="0" xfId="0" applyFont="1" applyAlignment="1">
      <alignment horizontal="left"/>
    </xf>
    <xf numFmtId="9" fontId="8" fillId="0" borderId="0" xfId="0" applyNumberFormat="1" applyFont="1"/>
    <xf numFmtId="3" fontId="8" fillId="0" borderId="0" xfId="0" applyNumberFormat="1" applyFont="1"/>
    <xf numFmtId="9" fontId="8" fillId="0" borderId="1" xfId="0" applyNumberFormat="1" applyFont="1" applyBorder="1"/>
    <xf numFmtId="1" fontId="8" fillId="0" borderId="1" xfId="0" applyNumberFormat="1" applyFont="1" applyBorder="1"/>
    <xf numFmtId="0" fontId="5" fillId="4" borderId="0" xfId="0" applyFont="1" applyFill="1"/>
    <xf numFmtId="0" fontId="9" fillId="0" borderId="1" xfId="0" applyFont="1" applyBorder="1"/>
    <xf numFmtId="164" fontId="10" fillId="0" borderId="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5" fillId="4" borderId="2" xfId="0" applyFont="1" applyFill="1" applyBorder="1" applyAlignment="1">
      <alignment horizontal="left"/>
    </xf>
    <xf numFmtId="0" fontId="6" fillId="4" borderId="2" xfId="0" applyFont="1" applyFill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5" fontId="8" fillId="0" borderId="2" xfId="0" applyNumberFormat="1" applyFont="1" applyBorder="1"/>
    <xf numFmtId="165" fontId="8" fillId="0" borderId="0" xfId="0" applyNumberFormat="1" applyFont="1"/>
    <xf numFmtId="9" fontId="5" fillId="4" borderId="0" xfId="0" applyNumberFormat="1" applyFont="1" applyFill="1"/>
    <xf numFmtId="9" fontId="9" fillId="0" borderId="0" xfId="0" applyNumberFormat="1" applyFont="1"/>
    <xf numFmtId="9" fontId="10" fillId="0" borderId="0" xfId="0" applyNumberFormat="1" applyFont="1" applyAlignment="1">
      <alignment horizontal="right"/>
    </xf>
    <xf numFmtId="9" fontId="10" fillId="0" borderId="0" xfId="0" applyNumberFormat="1" applyFont="1"/>
    <xf numFmtId="9" fontId="10" fillId="0" borderId="1" xfId="0" applyNumberFormat="1" applyFont="1" applyBorder="1"/>
    <xf numFmtId="165" fontId="1" fillId="0" borderId="2" xfId="0" applyNumberFormat="1" applyFont="1" applyBorder="1"/>
    <xf numFmtId="1" fontId="1" fillId="0" borderId="2" xfId="0" applyNumberFormat="1" applyFont="1" applyBorder="1"/>
    <xf numFmtId="4" fontId="8" fillId="0" borderId="2" xfId="0" applyNumberFormat="1" applyFont="1" applyBorder="1"/>
    <xf numFmtId="0" fontId="1" fillId="0" borderId="1" xfId="0" applyFont="1" applyBorder="1" applyAlignment="1">
      <alignment horizontal="left"/>
    </xf>
    <xf numFmtId="4" fontId="8" fillId="0" borderId="1" xfId="0" applyNumberFormat="1" applyFont="1" applyBorder="1"/>
    <xf numFmtId="165" fontId="8" fillId="6" borderId="0" xfId="0" applyNumberFormat="1" applyFont="1" applyFill="1"/>
    <xf numFmtId="0" fontId="1" fillId="0" borderId="3" xfId="0" applyFont="1" applyBorder="1" applyAlignment="1">
      <alignment horizontal="left"/>
    </xf>
    <xf numFmtId="0" fontId="1" fillId="0" borderId="4" xfId="0" applyFont="1" applyBorder="1"/>
    <xf numFmtId="0" fontId="8" fillId="0" borderId="5" xfId="0" applyFont="1" applyBorder="1"/>
    <xf numFmtId="165" fontId="8" fillId="6" borderId="1" xfId="0" applyNumberFormat="1" applyFont="1" applyFill="1" applyBorder="1"/>
    <xf numFmtId="0" fontId="12" fillId="4" borderId="2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3" fontId="1" fillId="6" borderId="0" xfId="0" applyNumberFormat="1" applyFont="1" applyFill="1"/>
    <xf numFmtId="1" fontId="1" fillId="6" borderId="0" xfId="0" applyNumberFormat="1" applyFont="1" applyFill="1"/>
    <xf numFmtId="0" fontId="10" fillId="0" borderId="7" xfId="0" applyFont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164" fontId="13" fillId="6" borderId="0" xfId="0" applyNumberFormat="1" applyFont="1" applyFill="1" applyAlignment="1">
      <alignment horizontal="center"/>
    </xf>
    <xf numFmtId="9" fontId="8" fillId="0" borderId="2" xfId="0" applyNumberFormat="1" applyFont="1" applyBorder="1"/>
    <xf numFmtId="0" fontId="12" fillId="4" borderId="7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0" fillId="0" borderId="0" xfId="0"/>
    <xf numFmtId="3" fontId="1" fillId="6" borderId="1" xfId="0" applyNumberFormat="1" applyFont="1" applyFill="1" applyBorder="1"/>
    <xf numFmtId="1" fontId="1" fillId="6" borderId="1" xfId="0" applyNumberFormat="1" applyFont="1" applyFill="1" applyBorder="1"/>
    <xf numFmtId="1" fontId="10" fillId="9" borderId="7" xfId="0" applyNumberFormat="1" applyFont="1" applyFill="1" applyBorder="1" applyAlignment="1">
      <alignment horizontal="center"/>
    </xf>
    <xf numFmtId="1" fontId="10" fillId="10" borderId="5" xfId="0" applyNumberFormat="1" applyFont="1" applyFill="1" applyBorder="1" applyAlignment="1">
      <alignment horizontal="center"/>
    </xf>
    <xf numFmtId="1" fontId="10" fillId="11" borderId="5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right"/>
    </xf>
    <xf numFmtId="0" fontId="1" fillId="0" borderId="8" xfId="0" applyFont="1" applyBorder="1"/>
    <xf numFmtId="9" fontId="1" fillId="0" borderId="8" xfId="0" applyNumberFormat="1" applyFont="1" applyBorder="1"/>
    <xf numFmtId="0" fontId="8" fillId="0" borderId="0" xfId="0" applyFont="1"/>
    <xf numFmtId="0" fontId="14" fillId="0" borderId="8" xfId="0" applyFont="1" applyBorder="1"/>
    <xf numFmtId="165" fontId="14" fillId="0" borderId="8" xfId="0" applyNumberFormat="1" applyFont="1" applyBorder="1"/>
    <xf numFmtId="9" fontId="14" fillId="0" borderId="8" xfId="0" applyNumberFormat="1" applyFont="1" applyBorder="1"/>
    <xf numFmtId="0" fontId="6" fillId="4" borderId="2" xfId="0" applyFont="1" applyFill="1" applyBorder="1" applyAlignment="1">
      <alignment horizontal="right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/>
    <xf numFmtId="0" fontId="4" fillId="0" borderId="0" xfId="0" applyFont="1"/>
    <xf numFmtId="1" fontId="10" fillId="0" borderId="0" xfId="0" applyNumberFormat="1" applyFont="1" applyAlignment="1">
      <alignment horizontal="right"/>
    </xf>
    <xf numFmtId="0" fontId="17" fillId="3" borderId="0" xfId="0" applyFont="1" applyFill="1"/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right"/>
    </xf>
    <xf numFmtId="165" fontId="10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center"/>
    </xf>
    <xf numFmtId="165" fontId="10" fillId="0" borderId="1" xfId="0" applyNumberFormat="1" applyFont="1" applyBorder="1" applyAlignment="1">
      <alignment horizontal="right"/>
    </xf>
    <xf numFmtId="10" fontId="1" fillId="0" borderId="8" xfId="0" applyNumberFormat="1" applyFont="1" applyBorder="1"/>
    <xf numFmtId="2" fontId="10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2" fontId="10" fillId="0" borderId="1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10" fillId="0" borderId="1" xfId="0" applyNumberFormat="1" applyFont="1" applyBorder="1" applyAlignment="1">
      <alignment horizontal="right"/>
    </xf>
    <xf numFmtId="9" fontId="10" fillId="0" borderId="1" xfId="0" applyNumberFormat="1" applyFont="1" applyBorder="1" applyAlignment="1">
      <alignment horizontal="right"/>
    </xf>
    <xf numFmtId="165" fontId="10" fillId="0" borderId="8" xfId="0" applyNumberFormat="1" applyFont="1" applyBorder="1"/>
    <xf numFmtId="1" fontId="10" fillId="0" borderId="8" xfId="0" applyNumberFormat="1" applyFont="1" applyBorder="1"/>
    <xf numFmtId="9" fontId="10" fillId="0" borderId="8" xfId="0" applyNumberFormat="1" applyFont="1" applyBorder="1"/>
    <xf numFmtId="0" fontId="18" fillId="4" borderId="0" xfId="0" applyFont="1" applyFill="1"/>
    <xf numFmtId="1" fontId="4" fillId="0" borderId="0" xfId="0" applyNumberFormat="1" applyFont="1" applyAlignment="1">
      <alignment horizontal="right"/>
    </xf>
    <xf numFmtId="1" fontId="1" fillId="0" borderId="8" xfId="0" applyNumberFormat="1" applyFont="1" applyBorder="1"/>
    <xf numFmtId="165" fontId="1" fillId="0" borderId="8" xfId="0" applyNumberFormat="1" applyFont="1" applyBorder="1"/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10" fillId="0" borderId="5" xfId="0" applyFont="1" applyBorder="1" applyAlignment="1">
      <alignment horizontal="right"/>
    </xf>
    <xf numFmtId="1" fontId="10" fillId="0" borderId="5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center"/>
    </xf>
    <xf numFmtId="165" fontId="10" fillId="0" borderId="0" xfId="0" applyNumberFormat="1" applyFont="1"/>
    <xf numFmtId="164" fontId="10" fillId="0" borderId="0" xfId="0" applyNumberFormat="1" applyFont="1"/>
    <xf numFmtId="2" fontId="10" fillId="0" borderId="0" xfId="0" applyNumberFormat="1" applyFont="1"/>
    <xf numFmtId="1" fontId="10" fillId="0" borderId="0" xfId="0" applyNumberFormat="1" applyFont="1"/>
    <xf numFmtId="1" fontId="10" fillId="0" borderId="9" xfId="0" applyNumberFormat="1" applyFont="1" applyBorder="1" applyAlignment="1">
      <alignment horizontal="right"/>
    </xf>
    <xf numFmtId="0" fontId="17" fillId="3" borderId="5" xfId="0" applyFont="1" applyFill="1" applyBorder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Market cap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'PACKAGED FOODS'!$C$7</c:f>
              <c:strCache>
                <c:ptCount val="1"/>
                <c:pt idx="0">
                  <c:v>Market cap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1DB5-4B9C-A115-3254EBF4C6F1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1DB5-4B9C-A115-3254EBF4C6F1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1DB5-4B9C-A115-3254EBF4C6F1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1DB5-4B9C-A115-3254EBF4C6F1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1DB5-4B9C-A115-3254EBF4C6F1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1DB5-4B9C-A115-3254EBF4C6F1}"/>
              </c:ext>
            </c:extLst>
          </c:dPt>
          <c:dPt>
            <c:idx val="6"/>
            <c:bubble3D val="0"/>
            <c:spPr>
              <a:solidFill>
                <a:srgbClr val="84A7D1"/>
              </a:solidFill>
            </c:spPr>
            <c:extLst>
              <c:ext xmlns:c16="http://schemas.microsoft.com/office/drawing/2014/chart" uri="{C3380CC4-5D6E-409C-BE32-E72D297353CC}">
                <c16:uniqueId val="{0000000D-1DB5-4B9C-A115-3254EBF4C6F1}"/>
              </c:ext>
            </c:extLst>
          </c:dPt>
          <c:dPt>
            <c:idx val="7"/>
            <c:bubble3D val="0"/>
            <c:spPr>
              <a:solidFill>
                <a:srgbClr val="D38582"/>
              </a:solidFill>
            </c:spPr>
            <c:extLst>
              <c:ext xmlns:c16="http://schemas.microsoft.com/office/drawing/2014/chart" uri="{C3380CC4-5D6E-409C-BE32-E72D297353CC}">
                <c16:uniqueId val="{0000000F-1DB5-4B9C-A115-3254EBF4C6F1}"/>
              </c:ext>
            </c:extLst>
          </c:dPt>
          <c:dPt>
            <c:idx val="8"/>
            <c:bubble3D val="0"/>
            <c:spPr>
              <a:solidFill>
                <a:srgbClr val="B9CF8B"/>
              </a:solidFill>
            </c:spPr>
            <c:extLst>
              <c:ext xmlns:c16="http://schemas.microsoft.com/office/drawing/2014/chart" uri="{C3380CC4-5D6E-409C-BE32-E72D297353CC}">
                <c16:uniqueId val="{00000011-1DB5-4B9C-A115-3254EBF4C6F1}"/>
              </c:ext>
            </c:extLst>
          </c:dPt>
          <c:dPt>
            <c:idx val="9"/>
            <c:bubble3D val="0"/>
            <c:spPr>
              <a:solidFill>
                <a:srgbClr val="A693BE"/>
              </a:solidFill>
            </c:spPr>
            <c:extLst>
              <c:ext xmlns:c16="http://schemas.microsoft.com/office/drawing/2014/chart" uri="{C3380CC4-5D6E-409C-BE32-E72D297353CC}">
                <c16:uniqueId val="{00000013-1DB5-4B9C-A115-3254EBF4C6F1}"/>
              </c:ext>
            </c:extLst>
          </c:dPt>
          <c:dPt>
            <c:idx val="10"/>
            <c:bubble3D val="0"/>
            <c:spPr>
              <a:solidFill>
                <a:srgbClr val="81C5D7"/>
              </a:solidFill>
            </c:spPr>
            <c:extLst>
              <c:ext xmlns:c16="http://schemas.microsoft.com/office/drawing/2014/chart" uri="{C3380CC4-5D6E-409C-BE32-E72D297353CC}">
                <c16:uniqueId val="{00000015-1DB5-4B9C-A115-3254EBF4C6F1}"/>
              </c:ext>
            </c:extLst>
          </c:dPt>
          <c:dPt>
            <c:idx val="11"/>
            <c:bubble3D val="0"/>
            <c:spPr>
              <a:solidFill>
                <a:srgbClr val="F9B67E"/>
              </a:solidFill>
            </c:spPr>
            <c:extLst>
              <c:ext xmlns:c16="http://schemas.microsoft.com/office/drawing/2014/chart" uri="{C3380CC4-5D6E-409C-BE32-E72D297353CC}">
                <c16:uniqueId val="{00000017-1DB5-4B9C-A115-3254EBF4C6F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'PACKAGED FOODS'!$B$8:$B$19</c:f>
              <c:strCache>
                <c:ptCount val="12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  <c:pt idx="11">
                  <c:v>OTHERS_22</c:v>
                </c:pt>
              </c:strCache>
            </c:strRef>
          </c:cat>
          <c:val>
            <c:numRef>
              <c:f>'PACKAGED FOODS'!$C$8:$C$19</c:f>
              <c:numCache>
                <c:formatCode>0</c:formatCode>
                <c:ptCount val="12"/>
                <c:pt idx="0">
                  <c:v>252834</c:v>
                </c:pt>
                <c:pt idx="1">
                  <c:v>119083</c:v>
                </c:pt>
                <c:pt idx="2">
                  <c:v>12276</c:v>
                </c:pt>
                <c:pt idx="3">
                  <c:v>10919</c:v>
                </c:pt>
                <c:pt idx="4">
                  <c:v>9356</c:v>
                </c:pt>
                <c:pt idx="5">
                  <c:v>6455</c:v>
                </c:pt>
                <c:pt idx="6">
                  <c:v>4464</c:v>
                </c:pt>
                <c:pt idx="7">
                  <c:v>3131</c:v>
                </c:pt>
                <c:pt idx="8">
                  <c:v>2192</c:v>
                </c:pt>
                <c:pt idx="9">
                  <c:v>2042</c:v>
                </c:pt>
                <c:pt idx="10">
                  <c:v>1868</c:v>
                </c:pt>
                <c:pt idx="11" formatCode="General">
                  <c:v>3027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DB5-4B9C-A115-3254EBF4C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CUR. RATIO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FOODS'!$H$98</c:f>
              <c:strCache>
                <c:ptCount val="1"/>
                <c:pt idx="0">
                  <c:v>CUR. RATIO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FOODS'!$G$99:$G$109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FOODS'!$H$99:$H$109</c:f>
              <c:numCache>
                <c:formatCode>0.0</c:formatCode>
                <c:ptCount val="11"/>
                <c:pt idx="0">
                  <c:v>1.2135126270908494</c:v>
                </c:pt>
                <c:pt idx="1">
                  <c:v>0.86582176624421647</c:v>
                </c:pt>
                <c:pt idx="2">
                  <c:v>1.8076923076923077</c:v>
                </c:pt>
                <c:pt idx="3">
                  <c:v>1.3762488218661639</c:v>
                </c:pt>
                <c:pt idx="4">
                  <c:v>1.4727272727272727</c:v>
                </c:pt>
                <c:pt idx="5">
                  <c:v>1.808411214953271</c:v>
                </c:pt>
                <c:pt idx="6">
                  <c:v>0</c:v>
                </c:pt>
                <c:pt idx="7">
                  <c:v>2</c:v>
                </c:pt>
                <c:pt idx="8">
                  <c:v>1.6265822784810127</c:v>
                </c:pt>
                <c:pt idx="9">
                  <c:v>6.8269230769230766</c:v>
                </c:pt>
                <c:pt idx="10">
                  <c:v>4.1020408163265305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890-48C1-A024-E56EE4DAC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5183135"/>
        <c:axId val="598658157"/>
      </c:barChart>
      <c:catAx>
        <c:axId val="68518313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98658157"/>
        <c:crosses val="autoZero"/>
        <c:auto val="1"/>
        <c:lblAlgn val="ctr"/>
        <c:lblOffset val="100"/>
        <c:noMultiLvlLbl val="1"/>
      </c:catAx>
      <c:valAx>
        <c:axId val="59865815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CUR. RATIO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85183135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TR.DAYS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FOODS'!$L$98</c:f>
              <c:strCache>
                <c:ptCount val="1"/>
                <c:pt idx="0">
                  <c:v>TR.DAYS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FOODS'!$K$99:$K$109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FOODS'!$L$99:$L$109</c:f>
              <c:numCache>
                <c:formatCode>0.0</c:formatCode>
                <c:ptCount val="11"/>
                <c:pt idx="0">
                  <c:v>5.6106870229007635</c:v>
                </c:pt>
                <c:pt idx="1">
                  <c:v>8.9924056688393232</c:v>
                </c:pt>
                <c:pt idx="2">
                  <c:v>20.230554261760599</c:v>
                </c:pt>
                <c:pt idx="3">
                  <c:v>10.315450014658458</c:v>
                </c:pt>
                <c:pt idx="4">
                  <c:v>20.690876882196633</c:v>
                </c:pt>
                <c:pt idx="5">
                  <c:v>24.737851662404093</c:v>
                </c:pt>
                <c:pt idx="6">
                  <c:v>2.9696745562130178</c:v>
                </c:pt>
                <c:pt idx="7">
                  <c:v>36.432532347504619</c:v>
                </c:pt>
                <c:pt idx="8">
                  <c:v>3.0913490623109499</c:v>
                </c:pt>
                <c:pt idx="9">
                  <c:v>61.081632653061227</c:v>
                </c:pt>
                <c:pt idx="10">
                  <c:v>124.40197841726618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553-4F7B-97C7-0B25537F8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5837669"/>
        <c:axId val="1989972850"/>
      </c:barChart>
      <c:catAx>
        <c:axId val="179583766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89972850"/>
        <c:crosses val="autoZero"/>
        <c:auto val="1"/>
        <c:lblAlgn val="ctr"/>
        <c:lblOffset val="100"/>
        <c:noMultiLvlLbl val="1"/>
      </c:catAx>
      <c:valAx>
        <c:axId val="198997285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TR.DAYS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95837669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ROE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FOODS'!$C$129</c:f>
              <c:strCache>
                <c:ptCount val="1"/>
                <c:pt idx="0">
                  <c:v>ROE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FOODS'!$B$130:$B$140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FOODS'!$C$130:$C$140</c:f>
              <c:numCache>
                <c:formatCode>0.0%</c:formatCode>
                <c:ptCount val="11"/>
                <c:pt idx="0">
                  <c:v>1.0500700280112045</c:v>
                </c:pt>
                <c:pt idx="1">
                  <c:v>0.75008701705534286</c:v>
                </c:pt>
                <c:pt idx="2">
                  <c:v>0.18373205741626794</c:v>
                </c:pt>
                <c:pt idx="3">
                  <c:v>-2.5248802064135642E-2</c:v>
                </c:pt>
                <c:pt idx="4">
                  <c:v>5.0316881121567118E-2</c:v>
                </c:pt>
                <c:pt idx="5">
                  <c:v>0.22112211221122113</c:v>
                </c:pt>
                <c:pt idx="6">
                  <c:v>0.40287769784172661</c:v>
                </c:pt>
                <c:pt idx="7">
                  <c:v>0.17266187050359713</c:v>
                </c:pt>
                <c:pt idx="8">
                  <c:v>2.8368794326241134E-2</c:v>
                </c:pt>
                <c:pt idx="9">
                  <c:v>0.14705882352941177</c:v>
                </c:pt>
                <c:pt idx="10">
                  <c:v>0.16300000000000001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A37-4184-8D73-C404B3569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152184"/>
        <c:axId val="1620791610"/>
      </c:barChart>
      <c:catAx>
        <c:axId val="44215218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20791610"/>
        <c:crosses val="autoZero"/>
        <c:auto val="1"/>
        <c:lblAlgn val="ctr"/>
        <c:lblOffset val="100"/>
        <c:noMultiLvlLbl val="1"/>
      </c:catAx>
      <c:valAx>
        <c:axId val="162079161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ROE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42152184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ROPE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FOODS'!$G$129</c:f>
              <c:strCache>
                <c:ptCount val="1"/>
                <c:pt idx="0">
                  <c:v>ROPE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FOODS'!$F$130:$F$140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FOODS'!$G$130:$G$140</c:f>
              <c:numCache>
                <c:formatCode>0</c:formatCode>
                <c:ptCount val="11"/>
                <c:pt idx="0">
                  <c:v>31.239583333333332</c:v>
                </c:pt>
                <c:pt idx="1">
                  <c:v>89.791666666666671</c:v>
                </c:pt>
                <c:pt idx="2">
                  <c:v>7.68</c:v>
                </c:pt>
                <c:pt idx="3">
                  <c:v>-10.538461538461538</c:v>
                </c:pt>
                <c:pt idx="4">
                  <c:v>4.1587301587301591</c:v>
                </c:pt>
                <c:pt idx="5">
                  <c:v>2.3103448275862069</c:v>
                </c:pt>
                <c:pt idx="6">
                  <c:v>9.3333333333333339</c:v>
                </c:pt>
                <c:pt idx="7">
                  <c:v>16</c:v>
                </c:pt>
                <c:pt idx="8">
                  <c:v>1.6666666666666667</c:v>
                </c:pt>
                <c:pt idx="9">
                  <c:v>2.9545454545454546</c:v>
                </c:pt>
                <c:pt idx="10">
                  <c:v>2.64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AB8-4E93-BDE8-EEB9BC499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850794"/>
        <c:axId val="1025865007"/>
      </c:barChart>
      <c:catAx>
        <c:axId val="51685079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25865007"/>
        <c:crosses val="autoZero"/>
        <c:auto val="1"/>
        <c:lblAlgn val="ctr"/>
        <c:lblOffset val="100"/>
        <c:noMultiLvlLbl val="1"/>
      </c:catAx>
      <c:valAx>
        <c:axId val="102586500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ROPE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16850794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ROA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FOODS'!$K$129</c:f>
              <c:strCache>
                <c:ptCount val="1"/>
                <c:pt idx="0">
                  <c:v>ROA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FOODS'!$J$130:$J$140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FOODS'!$K$130:$K$140</c:f>
              <c:numCache>
                <c:formatCode>0%</c:formatCode>
                <c:ptCount val="11"/>
                <c:pt idx="0">
                  <c:v>0.31728734659331359</c:v>
                </c:pt>
                <c:pt idx="1">
                  <c:v>0.24631386444165049</c:v>
                </c:pt>
                <c:pt idx="2">
                  <c:v>0.1329639889196676</c:v>
                </c:pt>
                <c:pt idx="3">
                  <c:v>-9.6587704455724753E-3</c:v>
                </c:pt>
                <c:pt idx="4">
                  <c:v>4.4932258617732805E-2</c:v>
                </c:pt>
                <c:pt idx="5">
                  <c:v>0.13943808532778357</c:v>
                </c:pt>
                <c:pt idx="6">
                  <c:v>0.24295010845986983</c:v>
                </c:pt>
                <c:pt idx="7">
                  <c:v>0.10480349344978165</c:v>
                </c:pt>
                <c:pt idx="8">
                  <c:v>2.1321961620469083E-2</c:v>
                </c:pt>
                <c:pt idx="9">
                  <c:v>0.11648745519713262</c:v>
                </c:pt>
                <c:pt idx="10">
                  <c:v>0.12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843-48BD-95C9-515267ACB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172404"/>
        <c:axId val="977186821"/>
      </c:barChart>
      <c:catAx>
        <c:axId val="93717240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77186821"/>
        <c:crosses val="autoZero"/>
        <c:auto val="1"/>
        <c:lblAlgn val="ctr"/>
        <c:lblOffset val="100"/>
        <c:noMultiLvlLbl val="1"/>
      </c:catAx>
      <c:valAx>
        <c:axId val="97718682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ROA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37172404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TRAIL_PE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FOODS'!$C$159</c:f>
              <c:strCache>
                <c:ptCount val="1"/>
                <c:pt idx="0">
                  <c:v>TRAIL_PE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FOODS'!$B$160:$B$170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FOODS'!$C$160:$C$170</c:f>
              <c:numCache>
                <c:formatCode>0</c:formatCode>
                <c:ptCount val="11"/>
                <c:pt idx="0">
                  <c:v>84.59</c:v>
                </c:pt>
                <c:pt idx="1">
                  <c:v>55.11</c:v>
                </c:pt>
                <c:pt idx="2">
                  <c:v>65.73</c:v>
                </c:pt>
                <c:pt idx="4">
                  <c:v>35.72</c:v>
                </c:pt>
                <c:pt idx="5">
                  <c:v>49</c:v>
                </c:pt>
                <c:pt idx="6">
                  <c:v>38.369999999999997</c:v>
                </c:pt>
                <c:pt idx="7">
                  <c:v>79.540000000000006</c:v>
                </c:pt>
                <c:pt idx="8">
                  <c:v>35.4</c:v>
                </c:pt>
                <c:pt idx="9">
                  <c:v>31.05</c:v>
                </c:pt>
                <c:pt idx="10">
                  <c:v>6.72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1E6-4DE0-A441-1335A7D8C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699792"/>
        <c:axId val="1251729953"/>
      </c:barChart>
      <c:catAx>
        <c:axId val="54569979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51729953"/>
        <c:crosses val="autoZero"/>
        <c:auto val="1"/>
        <c:lblAlgn val="ctr"/>
        <c:lblOffset val="100"/>
        <c:noMultiLvlLbl val="1"/>
      </c:catAx>
      <c:valAx>
        <c:axId val="125172995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TRAIL_PE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45699792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YIELD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FOODS'!$G$159</c:f>
              <c:strCache>
                <c:ptCount val="1"/>
                <c:pt idx="0">
                  <c:v>YIELD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FOODS'!$F$160:$F$170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FOODS'!$G$160:$G$170</c:f>
              <c:numCache>
                <c:formatCode>0.0%</c:formatCode>
                <c:ptCount val="11"/>
                <c:pt idx="0">
                  <c:v>1.1855296763618343E-2</c:v>
                </c:pt>
                <c:pt idx="1">
                  <c:v>1.8346541234214427E-2</c:v>
                </c:pt>
                <c:pt idx="2">
                  <c:v>1.5255965735264124E-2</c:v>
                </c:pt>
                <c:pt idx="3">
                  <c:v>-0.10903180121024848</c:v>
                </c:pt>
                <c:pt idx="4">
                  <c:v>2.8095563139931737E-2</c:v>
                </c:pt>
                <c:pt idx="5">
                  <c:v>2.0791628753412193E-2</c:v>
                </c:pt>
                <c:pt idx="6">
                  <c:v>2.5933147632311981E-2</c:v>
                </c:pt>
                <c:pt idx="7">
                  <c:v>1.4561389139159636E-2</c:v>
                </c:pt>
                <c:pt idx="8">
                  <c:v>2.8173003595162872E-2</c:v>
                </c:pt>
                <c:pt idx="9">
                  <c:v>3.2334682860998651E-2</c:v>
                </c:pt>
                <c:pt idx="10">
                  <c:v>0.14903299203640502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535-48EE-8B14-6FAFA1166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709207"/>
        <c:axId val="1259765833"/>
      </c:barChart>
      <c:catAx>
        <c:axId val="29670920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59765833"/>
        <c:crosses val="autoZero"/>
        <c:auto val="1"/>
        <c:lblAlgn val="ctr"/>
        <c:lblOffset val="100"/>
        <c:noMultiLvlLbl val="1"/>
      </c:catAx>
      <c:valAx>
        <c:axId val="125976583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YIELD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96709207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PBV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FOODS'!$K$159</c:f>
              <c:strCache>
                <c:ptCount val="1"/>
                <c:pt idx="0">
                  <c:v>PBV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FOODS'!$J$160:$J$170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FOODS'!$K$160:$K$170</c:f>
              <c:numCache>
                <c:formatCode>0</c:formatCode>
                <c:ptCount val="11"/>
                <c:pt idx="0">
                  <c:v>88.178151260504208</c:v>
                </c:pt>
                <c:pt idx="1">
                  <c:v>40.847198050817958</c:v>
                </c:pt>
                <c:pt idx="2">
                  <c:v>11.729665071770336</c:v>
                </c:pt>
                <c:pt idx="3">
                  <c:v>1.8608735716918543</c:v>
                </c:pt>
                <c:pt idx="4">
                  <c:v>1.7725177645477241</c:v>
                </c:pt>
                <c:pt idx="5">
                  <c:v>10.518481848184818</c:v>
                </c:pt>
                <c:pt idx="6">
                  <c:v>15.496402877697841</c:v>
                </c:pt>
                <c:pt idx="7">
                  <c:v>13.175179856115108</c:v>
                </c:pt>
                <c:pt idx="8">
                  <c:v>3.1247659574468085</c:v>
                </c:pt>
                <c:pt idx="9">
                  <c:v>4.6102941176470589</c:v>
                </c:pt>
                <c:pt idx="10">
                  <c:v>5.7450980392156854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EB4-4BF4-A9A8-41F6EA0E2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0436349"/>
        <c:axId val="1064542816"/>
      </c:barChart>
      <c:catAx>
        <c:axId val="136043634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64542816"/>
        <c:crosses val="autoZero"/>
        <c:auto val="1"/>
        <c:lblAlgn val="ctr"/>
        <c:lblOffset val="100"/>
        <c:noMultiLvlLbl val="1"/>
      </c:catAx>
      <c:valAx>
        <c:axId val="106454281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PBV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60436349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'PACKAGED FOODS'!$G$7</c:f>
              <c:strCache>
                <c:ptCount val="1"/>
                <c:pt idx="0">
                  <c:v>SALES_2023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F834-440E-B10D-CDCFA3DA7BB5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F834-440E-B10D-CDCFA3DA7BB5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F834-440E-B10D-CDCFA3DA7BB5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F834-440E-B10D-CDCFA3DA7BB5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F834-440E-B10D-CDCFA3DA7BB5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F834-440E-B10D-CDCFA3DA7BB5}"/>
              </c:ext>
            </c:extLst>
          </c:dPt>
          <c:dPt>
            <c:idx val="6"/>
            <c:bubble3D val="0"/>
            <c:spPr>
              <a:solidFill>
                <a:srgbClr val="84A7D1"/>
              </a:solidFill>
            </c:spPr>
            <c:extLst>
              <c:ext xmlns:c16="http://schemas.microsoft.com/office/drawing/2014/chart" uri="{C3380CC4-5D6E-409C-BE32-E72D297353CC}">
                <c16:uniqueId val="{0000000D-F834-440E-B10D-CDCFA3DA7BB5}"/>
              </c:ext>
            </c:extLst>
          </c:dPt>
          <c:dPt>
            <c:idx val="7"/>
            <c:bubble3D val="0"/>
            <c:spPr>
              <a:solidFill>
                <a:srgbClr val="D38582"/>
              </a:solidFill>
            </c:spPr>
            <c:extLst>
              <c:ext xmlns:c16="http://schemas.microsoft.com/office/drawing/2014/chart" uri="{C3380CC4-5D6E-409C-BE32-E72D297353CC}">
                <c16:uniqueId val="{0000000F-F834-440E-B10D-CDCFA3DA7BB5}"/>
              </c:ext>
            </c:extLst>
          </c:dPt>
          <c:dPt>
            <c:idx val="8"/>
            <c:bubble3D val="0"/>
            <c:spPr>
              <a:solidFill>
                <a:srgbClr val="B9CF8B"/>
              </a:solidFill>
            </c:spPr>
            <c:extLst>
              <c:ext xmlns:c16="http://schemas.microsoft.com/office/drawing/2014/chart" uri="{C3380CC4-5D6E-409C-BE32-E72D297353CC}">
                <c16:uniqueId val="{00000011-F834-440E-B10D-CDCFA3DA7BB5}"/>
              </c:ext>
            </c:extLst>
          </c:dPt>
          <c:dPt>
            <c:idx val="9"/>
            <c:bubble3D val="0"/>
            <c:spPr>
              <a:solidFill>
                <a:srgbClr val="A693BE"/>
              </a:solidFill>
            </c:spPr>
            <c:extLst>
              <c:ext xmlns:c16="http://schemas.microsoft.com/office/drawing/2014/chart" uri="{C3380CC4-5D6E-409C-BE32-E72D297353CC}">
                <c16:uniqueId val="{00000013-F834-440E-B10D-CDCFA3DA7BB5}"/>
              </c:ext>
            </c:extLst>
          </c:dPt>
          <c:dPt>
            <c:idx val="10"/>
            <c:bubble3D val="0"/>
            <c:spPr>
              <a:solidFill>
                <a:srgbClr val="81C5D7"/>
              </a:solidFill>
            </c:spPr>
            <c:extLst>
              <c:ext xmlns:c16="http://schemas.microsoft.com/office/drawing/2014/chart" uri="{C3380CC4-5D6E-409C-BE32-E72D297353CC}">
                <c16:uniqueId val="{00000015-F834-440E-B10D-CDCFA3DA7BB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'PACKAGED FOODS'!$F$8:$F$18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FOODS'!$G$8:$G$18</c:f>
              <c:numCache>
                <c:formatCode>0</c:formatCode>
                <c:ptCount val="11"/>
                <c:pt idx="0">
                  <c:v>16789</c:v>
                </c:pt>
                <c:pt idx="1">
                  <c:v>16301</c:v>
                </c:pt>
                <c:pt idx="2">
                  <c:v>1966</c:v>
                </c:pt>
                <c:pt idx="3">
                  <c:v>18622</c:v>
                </c:pt>
                <c:pt idx="4">
                  <c:v>2254</c:v>
                </c:pt>
                <c:pt idx="5">
                  <c:v>1362</c:v>
                </c:pt>
                <c:pt idx="6">
                  <c:v>1394</c:v>
                </c:pt>
                <c:pt idx="7">
                  <c:v>475</c:v>
                </c:pt>
                <c:pt idx="8" formatCode="General">
                  <c:v>1652</c:v>
                </c:pt>
                <c:pt idx="9" formatCode="General">
                  <c:v>450</c:v>
                </c:pt>
                <c:pt idx="10" formatCode="General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834-440E-B10D-CDCFA3DA7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PROFIT_2023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FOODS'!$K$7</c:f>
              <c:strCache>
                <c:ptCount val="1"/>
                <c:pt idx="0">
                  <c:v>PROFIT_2023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FOODS'!$J$8:$J$18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FOODS'!$K$8:$K$18</c:f>
              <c:numCache>
                <c:formatCode>0</c:formatCode>
                <c:ptCount val="11"/>
                <c:pt idx="0">
                  <c:v>2390</c:v>
                </c:pt>
                <c:pt idx="1">
                  <c:v>2316</c:v>
                </c:pt>
                <c:pt idx="2">
                  <c:v>126</c:v>
                </c:pt>
                <c:pt idx="3">
                  <c:v>-533</c:v>
                </c:pt>
                <c:pt idx="4">
                  <c:v>310</c:v>
                </c:pt>
                <c:pt idx="5">
                  <c:v>90</c:v>
                </c:pt>
                <c:pt idx="6">
                  <c:v>112</c:v>
                </c:pt>
                <c:pt idx="7">
                  <c:v>30</c:v>
                </c:pt>
                <c:pt idx="8" formatCode="General">
                  <c:v>20</c:v>
                </c:pt>
                <c:pt idx="9" formatCode="General">
                  <c:v>55</c:v>
                </c:pt>
                <c:pt idx="10" formatCode="General">
                  <c:v>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75B-40DD-87DA-F1DF0D89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4571674"/>
        <c:axId val="1556881617"/>
      </c:barChart>
      <c:catAx>
        <c:axId val="203457167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56881617"/>
        <c:crosses val="autoZero"/>
        <c:auto val="1"/>
        <c:lblAlgn val="ctr"/>
        <c:lblOffset val="100"/>
        <c:noMultiLvlLbl val="1"/>
      </c:catAx>
      <c:valAx>
        <c:axId val="155688161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PROFIT_2023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34571674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SALES_5Y_GR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FOODS'!$C$38</c:f>
              <c:strCache>
                <c:ptCount val="1"/>
                <c:pt idx="0">
                  <c:v>SALES_5Y_GR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FOODS'!$B$39:$B$49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FOODS'!$C$39:$C$49</c:f>
              <c:numCache>
                <c:formatCode>0.0%</c:formatCode>
                <c:ptCount val="11"/>
                <c:pt idx="0">
                  <c:v>8.4020176609259201E-2</c:v>
                </c:pt>
                <c:pt idx="1">
                  <c:v>0.10477020613521582</c:v>
                </c:pt>
                <c:pt idx="2">
                  <c:v>0.20278082516485596</c:v>
                </c:pt>
                <c:pt idx="3">
                  <c:v>0.12709945405576506</c:v>
                </c:pt>
                <c:pt idx="4">
                  <c:v>0.34982412326456203</c:v>
                </c:pt>
                <c:pt idx="5">
                  <c:v>0.14469233461264874</c:v>
                </c:pt>
                <c:pt idx="7">
                  <c:v>9.920926349885395E-2</c:v>
                </c:pt>
                <c:pt idx="8">
                  <c:v>9.7605456381603561E-2</c:v>
                </c:pt>
                <c:pt idx="9">
                  <c:v>0.16688977891407952</c:v>
                </c:pt>
                <c:pt idx="10">
                  <c:v>5.814078782077714E-2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57C-4151-B17A-0EB365772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480577"/>
        <c:axId val="796181433"/>
      </c:barChart>
      <c:catAx>
        <c:axId val="72348057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96181433"/>
        <c:crosses val="autoZero"/>
        <c:auto val="1"/>
        <c:lblAlgn val="ctr"/>
        <c:lblOffset val="100"/>
        <c:noMultiLvlLbl val="1"/>
      </c:catAx>
      <c:valAx>
        <c:axId val="79618143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SALES_5Y_GR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23480577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CY SALES GR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FOODS'!$G$38</c:f>
              <c:strCache>
                <c:ptCount val="1"/>
                <c:pt idx="0">
                  <c:v>CY SALES GR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FOODS'!$F$39:$F$49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FOODS'!$G$39:$G$49</c:f>
              <c:numCache>
                <c:formatCode>0.0%</c:formatCode>
                <c:ptCount val="11"/>
                <c:pt idx="0">
                  <c:v>0.13919828459110128</c:v>
                </c:pt>
                <c:pt idx="1">
                  <c:v>2.5887982332372328E-2</c:v>
                </c:pt>
                <c:pt idx="2">
                  <c:v>9.2065106815869768E-2</c:v>
                </c:pt>
                <c:pt idx="3">
                  <c:v>-8.4147782193104925E-2</c:v>
                </c:pt>
                <c:pt idx="4">
                  <c:v>1.7746228926354135E-3</c:v>
                </c:pt>
                <c:pt idx="5">
                  <c:v>0.14831130690161531</c:v>
                </c:pt>
                <c:pt idx="6">
                  <c:v>-3.0129124820659992E-2</c:v>
                </c:pt>
                <c:pt idx="7">
                  <c:v>0.13894736842105271</c:v>
                </c:pt>
                <c:pt idx="8">
                  <c:v>6.0532687651337902E-4</c:v>
                </c:pt>
                <c:pt idx="9">
                  <c:v>8.8888888888888795E-2</c:v>
                </c:pt>
                <c:pt idx="10">
                  <c:v>0.71076923076923082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237-4E6F-83D7-9BBDA0BA5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171374"/>
        <c:axId val="1532300506"/>
      </c:barChart>
      <c:catAx>
        <c:axId val="84517137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32300506"/>
        <c:crosses val="autoZero"/>
        <c:auto val="1"/>
        <c:lblAlgn val="ctr"/>
        <c:lblOffset val="100"/>
        <c:noMultiLvlLbl val="1"/>
      </c:catAx>
      <c:valAx>
        <c:axId val="153230050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CY SALES GR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45171374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DEBT2EQUITY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FOODS'!$C$68</c:f>
              <c:strCache>
                <c:ptCount val="1"/>
                <c:pt idx="0">
                  <c:v>DEBT2EQUITY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FOODS'!$B$69:$B$79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FOODS'!$C$69:$C$79</c:f>
              <c:numCache>
                <c:formatCode>0.00</c:formatCode>
                <c:ptCount val="11"/>
                <c:pt idx="0">
                  <c:v>1.1204481792717087E-2</c:v>
                </c:pt>
                <c:pt idx="1">
                  <c:v>0.96101635920640449</c:v>
                </c:pt>
                <c:pt idx="2">
                  <c:v>0.14832535885167464</c:v>
                </c:pt>
                <c:pt idx="3">
                  <c:v>0</c:v>
                </c:pt>
                <c:pt idx="4">
                  <c:v>6.6833109275974648E-2</c:v>
                </c:pt>
                <c:pt idx="5">
                  <c:v>0</c:v>
                </c:pt>
                <c:pt idx="6">
                  <c:v>0.38848920863309355</c:v>
                </c:pt>
                <c:pt idx="7">
                  <c:v>0.18705035971223022</c:v>
                </c:pt>
                <c:pt idx="8">
                  <c:v>8.5106382978723402E-2</c:v>
                </c:pt>
                <c:pt idx="9">
                  <c:v>1.5837104072398189E-2</c:v>
                </c:pt>
                <c:pt idx="10">
                  <c:v>0.17647058823529413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D20-44FA-8696-3DFE689F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5846197"/>
        <c:axId val="143781026"/>
      </c:barChart>
      <c:catAx>
        <c:axId val="68584619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3781026"/>
        <c:crosses val="autoZero"/>
        <c:auto val="1"/>
        <c:lblAlgn val="ctr"/>
        <c:lblOffset val="100"/>
        <c:noMultiLvlLbl val="1"/>
      </c:catAx>
      <c:valAx>
        <c:axId val="14378102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DEBT2EQUITY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85846197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ICR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FOODS'!$G$68</c:f>
              <c:strCache>
                <c:ptCount val="1"/>
                <c:pt idx="0">
                  <c:v>ICR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FOODS'!$F$69:$F$79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FOODS'!$G$69:$G$79</c:f>
              <c:numCache>
                <c:formatCode>0.0</c:formatCode>
                <c:ptCount val="11"/>
                <c:pt idx="0">
                  <c:v>38.571428571428569</c:v>
                </c:pt>
                <c:pt idx="1">
                  <c:v>19.494186046511629</c:v>
                </c:pt>
                <c:pt idx="2">
                  <c:v>37</c:v>
                </c:pt>
                <c:pt idx="3">
                  <c:v>6.8080357142857144</c:v>
                </c:pt>
                <c:pt idx="4">
                  <c:v>13.608695652173912</c:v>
                </c:pt>
                <c:pt idx="5">
                  <c:v>24.2</c:v>
                </c:pt>
                <c:pt idx="6">
                  <c:v>15</c:v>
                </c:pt>
                <c:pt idx="7">
                  <c:v>11.5</c:v>
                </c:pt>
                <c:pt idx="8">
                  <c:v>10</c:v>
                </c:pt>
                <c:pt idx="9">
                  <c:v>49.5</c:v>
                </c:pt>
                <c:pt idx="10">
                  <c:v>57.6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26A-4D63-AA6C-735CBF992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6111507"/>
        <c:axId val="838145774"/>
      </c:barChart>
      <c:catAx>
        <c:axId val="207611150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38145774"/>
        <c:crosses val="autoZero"/>
        <c:auto val="1"/>
        <c:lblAlgn val="ctr"/>
        <c:lblOffset val="100"/>
        <c:noMultiLvlLbl val="1"/>
      </c:catAx>
      <c:valAx>
        <c:axId val="83814577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ICR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76111507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DEBTRATIO vs Security Name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FOODS'!$K$68</c:f>
              <c:strCache>
                <c:ptCount val="1"/>
                <c:pt idx="0">
                  <c:v>DEBTRATIO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'PACKAGED FOODS'!$J$69:$J$79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FOODS'!$K$69:$K$79</c:f>
              <c:numCache>
                <c:formatCode>0.00</c:formatCode>
                <c:ptCount val="11"/>
                <c:pt idx="0">
                  <c:v>0.69773592890393565</c:v>
                </c:pt>
                <c:pt idx="1">
                  <c:v>0.67150531489313059</c:v>
                </c:pt>
                <c:pt idx="2">
                  <c:v>0.27631578947368424</c:v>
                </c:pt>
                <c:pt idx="3">
                  <c:v>0.61745628877608572</c:v>
                </c:pt>
                <c:pt idx="4">
                  <c:v>0.10684273709483794</c:v>
                </c:pt>
                <c:pt idx="5">
                  <c:v>0.36940686784599375</c:v>
                </c:pt>
                <c:pt idx="6">
                  <c:v>0.37093275488069416</c:v>
                </c:pt>
                <c:pt idx="7">
                  <c:v>0.3930131004366812</c:v>
                </c:pt>
                <c:pt idx="8">
                  <c:v>0.24840085287846481</c:v>
                </c:pt>
                <c:pt idx="9">
                  <c:v>0.2078853046594982</c:v>
                </c:pt>
                <c:pt idx="10">
                  <c:v>0.25365853658536586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FAD-4E09-ACFA-09A9D8ADD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716863"/>
        <c:axId val="888039532"/>
      </c:barChart>
      <c:catAx>
        <c:axId val="27471686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88039532"/>
        <c:crosses val="autoZero"/>
        <c:auto val="1"/>
        <c:lblAlgn val="ctr"/>
        <c:lblOffset val="100"/>
        <c:noMultiLvlLbl val="1"/>
      </c:catAx>
      <c:valAx>
        <c:axId val="88803953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DEBTRATIO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74716863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MARGIN_FY23 and MARGIN_CY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'PACKAGED FOODS'!$C$98</c:f>
              <c:strCache>
                <c:ptCount val="1"/>
                <c:pt idx="0">
                  <c:v>MARGIN_FY23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'PACKAGED FOODS'!$B$99:$B$109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FOODS'!$C$99:$C$109</c:f>
              <c:numCache>
                <c:formatCode>0.0%</c:formatCode>
                <c:ptCount val="11"/>
                <c:pt idx="0">
                  <c:v>0.1423551134671511</c:v>
                </c:pt>
                <c:pt idx="1">
                  <c:v>0.14207717317955953</c:v>
                </c:pt>
                <c:pt idx="2">
                  <c:v>6.4089521871820959E-2</c:v>
                </c:pt>
                <c:pt idx="3">
                  <c:v>-2.8622059929116098E-2</c:v>
                </c:pt>
                <c:pt idx="4">
                  <c:v>0.13753327417923691</c:v>
                </c:pt>
                <c:pt idx="5">
                  <c:v>6.6079295154185022E-2</c:v>
                </c:pt>
                <c:pt idx="6">
                  <c:v>8.0344332855093251E-2</c:v>
                </c:pt>
                <c:pt idx="7">
                  <c:v>6.3157894736842107E-2</c:v>
                </c:pt>
                <c:pt idx="8">
                  <c:v>1.2106537530266344E-2</c:v>
                </c:pt>
                <c:pt idx="9">
                  <c:v>0.12222222222222222</c:v>
                </c:pt>
                <c:pt idx="10">
                  <c:v>7.6923076923076927E-2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9E4-40A4-8323-BE9C649409BC}"/>
            </c:ext>
          </c:extLst>
        </c:ser>
        <c:ser>
          <c:idx val="1"/>
          <c:order val="1"/>
          <c:tx>
            <c:strRef>
              <c:f>'PACKAGED FOODS'!$D$98</c:f>
              <c:strCache>
                <c:ptCount val="1"/>
                <c:pt idx="0">
                  <c:v>MARGIN_CY</c:v>
                </c:pt>
              </c:strCache>
            </c:strRef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'PACKAGED FOODS'!$B$99:$B$109</c:f>
              <c:strCache>
                <c:ptCount val="11"/>
                <c:pt idx="0">
                  <c:v>NESTLEIND</c:v>
                </c:pt>
                <c:pt idx="1">
                  <c:v>BRITANNIA</c:v>
                </c:pt>
                <c:pt idx="2">
                  <c:v>BIKAJI</c:v>
                </c:pt>
                <c:pt idx="3">
                  <c:v>BBTC</c:v>
                </c:pt>
                <c:pt idx="4">
                  <c:v>ZYDUSWELL</c:v>
                </c:pt>
                <c:pt idx="5">
                  <c:v>BECTORFOOD</c:v>
                </c:pt>
                <c:pt idx="6">
                  <c:v>GOPAL</c:v>
                </c:pt>
                <c:pt idx="7">
                  <c:v>TASTYBIT</c:v>
                </c:pt>
                <c:pt idx="8">
                  <c:v>DIAMONDYD</c:v>
                </c:pt>
                <c:pt idx="9">
                  <c:v>ADFFOODS</c:v>
                </c:pt>
                <c:pt idx="10">
                  <c:v>MISHTANN</c:v>
                </c:pt>
              </c:strCache>
            </c:strRef>
          </c:cat>
          <c:val>
            <c:numRef>
              <c:f>'PACKAGED FOODS'!$D$99:$D$109</c:f>
              <c:numCache>
                <c:formatCode>0.0%</c:formatCode>
                <c:ptCount val="11"/>
                <c:pt idx="0">
                  <c:v>0.15680225870542716</c:v>
                </c:pt>
                <c:pt idx="1">
                  <c:v>0.12886443819888777</c:v>
                </c:pt>
                <c:pt idx="2">
                  <c:v>8.9427107591988825E-2</c:v>
                </c:pt>
                <c:pt idx="3">
                  <c:v>-8.032834945763706E-3</c:v>
                </c:pt>
                <c:pt idx="4">
                  <c:v>0.11603188662533215</c:v>
                </c:pt>
                <c:pt idx="5">
                  <c:v>8.5677749360613814E-2</c:v>
                </c:pt>
                <c:pt idx="6">
                  <c:v>8.2840236686390539E-2</c:v>
                </c:pt>
                <c:pt idx="7">
                  <c:v>8.8724584103512014E-2</c:v>
                </c:pt>
                <c:pt idx="8">
                  <c:v>1.2099213551119177E-2</c:v>
                </c:pt>
                <c:pt idx="9">
                  <c:v>0.1326530612244898</c:v>
                </c:pt>
                <c:pt idx="10">
                  <c:v>0.23741007194244604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9E4-40A4-8323-BE9C64940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291104"/>
        <c:axId val="1926782814"/>
      </c:barChart>
      <c:catAx>
        <c:axId val="115929110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26782814"/>
        <c:crosses val="autoZero"/>
        <c:auto val="1"/>
        <c:lblAlgn val="ctr"/>
        <c:lblOffset val="100"/>
        <c:noMultiLvlLbl val="1"/>
      </c:catAx>
      <c:valAx>
        <c:axId val="192678281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59291104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58</xdr:row>
      <xdr:rowOff>-133350</xdr:rowOff>
    </xdr:from>
    <xdr:ext cx="6553200" cy="6553200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9AFC349B-73D2-43B1-BC7E-361BB62200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0961370"/>
          <a:ext cx="6553200" cy="65532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21</xdr:row>
      <xdr:rowOff>0</xdr:rowOff>
    </xdr:from>
    <xdr:ext cx="4324350" cy="2686050"/>
    <xdr:graphicFrame macro="">
      <xdr:nvGraphicFramePr>
        <xdr:cNvPr id="2" name="Chart 5" title="Chart">
          <a:extLst>
            <a:ext uri="{FF2B5EF4-FFF2-40B4-BE49-F238E27FC236}">
              <a16:creationId xmlns:a16="http://schemas.microsoft.com/office/drawing/2014/main" id="{6C00DEF3-C12A-4CB4-BC16-3277A16B0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942975</xdr:colOff>
      <xdr:row>21</xdr:row>
      <xdr:rowOff>0</xdr:rowOff>
    </xdr:from>
    <xdr:ext cx="4381500" cy="2686050"/>
    <xdr:graphicFrame macro="">
      <xdr:nvGraphicFramePr>
        <xdr:cNvPr id="3" name="Chart 6" title="Chart">
          <a:extLst>
            <a:ext uri="{FF2B5EF4-FFF2-40B4-BE49-F238E27FC236}">
              <a16:creationId xmlns:a16="http://schemas.microsoft.com/office/drawing/2014/main" id="{AFD5C3DE-2B66-491C-952C-1C91D5C9C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9</xdr:col>
      <xdr:colOff>523875</xdr:colOff>
      <xdr:row>21</xdr:row>
      <xdr:rowOff>0</xdr:rowOff>
    </xdr:from>
    <xdr:ext cx="4381500" cy="2686050"/>
    <xdr:graphicFrame macro="">
      <xdr:nvGraphicFramePr>
        <xdr:cNvPr id="4" name="Chart 7" title="Chart">
          <a:extLst>
            <a:ext uri="{FF2B5EF4-FFF2-40B4-BE49-F238E27FC236}">
              <a16:creationId xmlns:a16="http://schemas.microsoft.com/office/drawing/2014/main" id="{19D963A0-4328-4059-9665-55909F3D4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76200</xdr:colOff>
      <xdr:row>51</xdr:row>
      <xdr:rowOff>0</xdr:rowOff>
    </xdr:from>
    <xdr:ext cx="4381500" cy="2686050"/>
    <xdr:graphicFrame macro="">
      <xdr:nvGraphicFramePr>
        <xdr:cNvPr id="5" name="Chart 8" title="Chart">
          <a:extLst>
            <a:ext uri="{FF2B5EF4-FFF2-40B4-BE49-F238E27FC236}">
              <a16:creationId xmlns:a16="http://schemas.microsoft.com/office/drawing/2014/main" id="{6ED09860-5883-4B98-BD8C-C47E729E7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5</xdr:col>
      <xdr:colOff>38100</xdr:colOff>
      <xdr:row>51</xdr:row>
      <xdr:rowOff>0</xdr:rowOff>
    </xdr:from>
    <xdr:ext cx="4324350" cy="2686050"/>
    <xdr:graphicFrame macro="">
      <xdr:nvGraphicFramePr>
        <xdr:cNvPr id="6" name="Chart 9" title="Chart">
          <a:extLst>
            <a:ext uri="{FF2B5EF4-FFF2-40B4-BE49-F238E27FC236}">
              <a16:creationId xmlns:a16="http://schemas.microsoft.com/office/drawing/2014/main" id="{CB7A1ABD-4675-4607-8BEC-435907EBC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9525</xdr:colOff>
      <xdr:row>81</xdr:row>
      <xdr:rowOff>0</xdr:rowOff>
    </xdr:from>
    <xdr:ext cx="4448175" cy="2771775"/>
    <xdr:graphicFrame macro="">
      <xdr:nvGraphicFramePr>
        <xdr:cNvPr id="7" name="Chart 10" title="Chart">
          <a:extLst>
            <a:ext uri="{FF2B5EF4-FFF2-40B4-BE49-F238E27FC236}">
              <a16:creationId xmlns:a16="http://schemas.microsoft.com/office/drawing/2014/main" id="{301B81C1-D9E4-46B0-B07C-310E6F3D4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5</xdr:col>
      <xdr:colOff>38100</xdr:colOff>
      <xdr:row>81</xdr:row>
      <xdr:rowOff>0</xdr:rowOff>
    </xdr:from>
    <xdr:ext cx="4448175" cy="2771775"/>
    <xdr:graphicFrame macro="">
      <xdr:nvGraphicFramePr>
        <xdr:cNvPr id="8" name="Chart 11" title="Chart">
          <a:extLst>
            <a:ext uri="{FF2B5EF4-FFF2-40B4-BE49-F238E27FC236}">
              <a16:creationId xmlns:a16="http://schemas.microsoft.com/office/drawing/2014/main" id="{64054A0B-B6B5-4CB6-A781-5BEE76AC7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9</xdr:col>
      <xdr:colOff>647700</xdr:colOff>
      <xdr:row>81</xdr:row>
      <xdr:rowOff>0</xdr:rowOff>
    </xdr:from>
    <xdr:ext cx="4505325" cy="2771775"/>
    <xdr:graphicFrame macro="">
      <xdr:nvGraphicFramePr>
        <xdr:cNvPr id="9" name="Chart 12" title="Chart">
          <a:extLst>
            <a:ext uri="{FF2B5EF4-FFF2-40B4-BE49-F238E27FC236}">
              <a16:creationId xmlns:a16="http://schemas.microsoft.com/office/drawing/2014/main" id="{FC37ECB7-8F4E-4C72-9466-25745554A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0</xdr:col>
      <xdr:colOff>38100</xdr:colOff>
      <xdr:row>111</xdr:row>
      <xdr:rowOff>0</xdr:rowOff>
    </xdr:from>
    <xdr:ext cx="4381500" cy="2686050"/>
    <xdr:graphicFrame macro="">
      <xdr:nvGraphicFramePr>
        <xdr:cNvPr id="10" name="Chart 13" title="Chart">
          <a:extLst>
            <a:ext uri="{FF2B5EF4-FFF2-40B4-BE49-F238E27FC236}">
              <a16:creationId xmlns:a16="http://schemas.microsoft.com/office/drawing/2014/main" id="{95B02ACB-140F-4939-AB28-2E2D6FAB2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5</xdr:col>
      <xdr:colOff>0</xdr:colOff>
      <xdr:row>111</xdr:row>
      <xdr:rowOff>0</xdr:rowOff>
    </xdr:from>
    <xdr:ext cx="4381500" cy="2686050"/>
    <xdr:graphicFrame macro="">
      <xdr:nvGraphicFramePr>
        <xdr:cNvPr id="11" name="Chart 14" title="Chart">
          <a:extLst>
            <a:ext uri="{FF2B5EF4-FFF2-40B4-BE49-F238E27FC236}">
              <a16:creationId xmlns:a16="http://schemas.microsoft.com/office/drawing/2014/main" id="{F1A232E3-6CEC-4647-9F6F-06A397358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9</xdr:col>
      <xdr:colOff>542925</xdr:colOff>
      <xdr:row>111</xdr:row>
      <xdr:rowOff>0</xdr:rowOff>
    </xdr:from>
    <xdr:ext cx="4286250" cy="2686050"/>
    <xdr:graphicFrame macro="">
      <xdr:nvGraphicFramePr>
        <xdr:cNvPr id="12" name="Chart 15" title="Chart">
          <a:extLst>
            <a:ext uri="{FF2B5EF4-FFF2-40B4-BE49-F238E27FC236}">
              <a16:creationId xmlns:a16="http://schemas.microsoft.com/office/drawing/2014/main" id="{E6284AC9-6889-4934-B922-0CE5834C1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0</xdr:col>
      <xdr:colOff>9525</xdr:colOff>
      <xdr:row>142</xdr:row>
      <xdr:rowOff>28575</xdr:rowOff>
    </xdr:from>
    <xdr:ext cx="4324350" cy="2686050"/>
    <xdr:graphicFrame macro="">
      <xdr:nvGraphicFramePr>
        <xdr:cNvPr id="13" name="Chart 16" title="Chart">
          <a:extLst>
            <a:ext uri="{FF2B5EF4-FFF2-40B4-BE49-F238E27FC236}">
              <a16:creationId xmlns:a16="http://schemas.microsoft.com/office/drawing/2014/main" id="{81EB1BA8-4D03-443C-8820-3AC4B6895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4</xdr:col>
      <xdr:colOff>876300</xdr:colOff>
      <xdr:row>142</xdr:row>
      <xdr:rowOff>28575</xdr:rowOff>
    </xdr:from>
    <xdr:ext cx="4381500" cy="2686050"/>
    <xdr:graphicFrame macro="">
      <xdr:nvGraphicFramePr>
        <xdr:cNvPr id="14" name="Chart 17" title="Chart">
          <a:extLst>
            <a:ext uri="{FF2B5EF4-FFF2-40B4-BE49-F238E27FC236}">
              <a16:creationId xmlns:a16="http://schemas.microsoft.com/office/drawing/2014/main" id="{04BB2E03-E433-4C99-9038-0771C4EC0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9</xdr:col>
      <xdr:colOff>457200</xdr:colOff>
      <xdr:row>142</xdr:row>
      <xdr:rowOff>28575</xdr:rowOff>
    </xdr:from>
    <xdr:ext cx="4381500" cy="2686050"/>
    <xdr:graphicFrame macro="">
      <xdr:nvGraphicFramePr>
        <xdr:cNvPr id="15" name="Chart 18" title="Chart">
          <a:extLst>
            <a:ext uri="{FF2B5EF4-FFF2-40B4-BE49-F238E27FC236}">
              <a16:creationId xmlns:a16="http://schemas.microsoft.com/office/drawing/2014/main" id="{3206B75E-8E24-4430-80E6-B73408600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0</xdr:col>
      <xdr:colOff>0</xdr:colOff>
      <xdr:row>171</xdr:row>
      <xdr:rowOff>180975</xdr:rowOff>
    </xdr:from>
    <xdr:ext cx="4381500" cy="2686050"/>
    <xdr:graphicFrame macro="">
      <xdr:nvGraphicFramePr>
        <xdr:cNvPr id="16" name="Chart 19" title="Chart">
          <a:extLst>
            <a:ext uri="{FF2B5EF4-FFF2-40B4-BE49-F238E27FC236}">
              <a16:creationId xmlns:a16="http://schemas.microsoft.com/office/drawing/2014/main" id="{9EF3CC7B-D415-42E8-A4F0-288513BBD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5</xdr:col>
      <xdr:colOff>0</xdr:colOff>
      <xdr:row>171</xdr:row>
      <xdr:rowOff>180975</xdr:rowOff>
    </xdr:from>
    <xdr:ext cx="4324350" cy="2686050"/>
    <xdr:graphicFrame macro="">
      <xdr:nvGraphicFramePr>
        <xdr:cNvPr id="17" name="Chart 20" title="Chart">
          <a:extLst>
            <a:ext uri="{FF2B5EF4-FFF2-40B4-BE49-F238E27FC236}">
              <a16:creationId xmlns:a16="http://schemas.microsoft.com/office/drawing/2014/main" id="{7F214A04-807D-41C4-BBF1-94BF6334E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9</xdr:col>
      <xdr:colOff>523875</xdr:colOff>
      <xdr:row>171</xdr:row>
      <xdr:rowOff>161925</xdr:rowOff>
    </xdr:from>
    <xdr:ext cx="4381500" cy="2733675"/>
    <xdr:graphicFrame macro="">
      <xdr:nvGraphicFramePr>
        <xdr:cNvPr id="18" name="Chart 21" title="Chart">
          <a:extLst>
            <a:ext uri="{FF2B5EF4-FFF2-40B4-BE49-F238E27FC236}">
              <a16:creationId xmlns:a16="http://schemas.microsoft.com/office/drawing/2014/main" id="{448126AD-3A8B-465B-A68F-D964CB146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ownloads\Packaged%20Foods%20(5).xlsx" TargetMode="External"/><Relationship Id="rId1" Type="http://schemas.openxmlformats.org/officeDocument/2006/relationships/externalLinkPath" Target="/Users/profi/Downloads/Packaged%20Foods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PACKAGED FOODS"/>
      <sheetName val="BritanniaINtrinsic"/>
      <sheetName val="NestleInt"/>
      <sheetName val="ParagMilk"/>
      <sheetName val="vadilalind"/>
      <sheetName val="BRITANNIA"/>
      <sheetName val="Nestleind"/>
      <sheetName val="PRABHAT"/>
      <sheetName val="FCONSUMER"/>
      <sheetName val="DIAMONDYD"/>
      <sheetName val="Sheet1"/>
    </sheetNames>
    <sheetDataSet>
      <sheetData sheetId="0"/>
      <sheetData sheetId="1">
        <row r="7">
          <cell r="C7" t="str">
            <v>Market cap</v>
          </cell>
          <cell r="G7" t="str">
            <v>SALES_2023</v>
          </cell>
          <cell r="K7" t="str">
            <v>PROFIT_2023</v>
          </cell>
        </row>
        <row r="8">
          <cell r="B8" t="str">
            <v>NESTLEIND</v>
          </cell>
          <cell r="C8">
            <v>252834</v>
          </cell>
          <cell r="F8" t="str">
            <v>NESTLEIND</v>
          </cell>
          <cell r="G8">
            <v>16789</v>
          </cell>
          <cell r="J8" t="str">
            <v>NESTLEIND</v>
          </cell>
          <cell r="K8">
            <v>2390</v>
          </cell>
        </row>
        <row r="9">
          <cell r="B9" t="str">
            <v>BRITANNIA</v>
          </cell>
          <cell r="C9">
            <v>119083</v>
          </cell>
          <cell r="F9" t="str">
            <v>BRITANNIA</v>
          </cell>
          <cell r="G9">
            <v>16301</v>
          </cell>
          <cell r="J9" t="str">
            <v>BRITANNIA</v>
          </cell>
          <cell r="K9">
            <v>2316</v>
          </cell>
        </row>
        <row r="10">
          <cell r="B10" t="str">
            <v>BIKAJI</v>
          </cell>
          <cell r="C10">
            <v>12276</v>
          </cell>
          <cell r="F10" t="str">
            <v>BIKAJI</v>
          </cell>
          <cell r="G10">
            <v>1966</v>
          </cell>
          <cell r="J10" t="str">
            <v>BIKAJI</v>
          </cell>
          <cell r="K10">
            <v>126</v>
          </cell>
        </row>
        <row r="11">
          <cell r="B11" t="str">
            <v>BBTC</v>
          </cell>
          <cell r="C11">
            <v>10919</v>
          </cell>
          <cell r="F11" t="str">
            <v>BBTC</v>
          </cell>
          <cell r="G11">
            <v>18622</v>
          </cell>
          <cell r="J11" t="str">
            <v>BBTC</v>
          </cell>
          <cell r="K11">
            <v>-533</v>
          </cell>
        </row>
        <row r="12">
          <cell r="B12" t="str">
            <v>ZYDUSWELL</v>
          </cell>
          <cell r="C12">
            <v>9356</v>
          </cell>
          <cell r="F12" t="str">
            <v>ZYDUSWELL</v>
          </cell>
          <cell r="G12">
            <v>2254</v>
          </cell>
          <cell r="J12" t="str">
            <v>ZYDUSWELL</v>
          </cell>
          <cell r="K12">
            <v>310</v>
          </cell>
        </row>
        <row r="13">
          <cell r="B13" t="str">
            <v>BECTORFOOD</v>
          </cell>
          <cell r="C13">
            <v>6455</v>
          </cell>
          <cell r="F13" t="str">
            <v>BECTORFOOD</v>
          </cell>
          <cell r="G13">
            <v>1362</v>
          </cell>
          <cell r="J13" t="str">
            <v>BECTORFOOD</v>
          </cell>
          <cell r="K13">
            <v>90</v>
          </cell>
        </row>
        <row r="14">
          <cell r="B14" t="str">
            <v>GOPAL</v>
          </cell>
          <cell r="C14">
            <v>4464</v>
          </cell>
          <cell r="F14" t="str">
            <v>GOPAL</v>
          </cell>
          <cell r="G14">
            <v>1394</v>
          </cell>
          <cell r="J14" t="str">
            <v>GOPAL</v>
          </cell>
          <cell r="K14">
            <v>112</v>
          </cell>
        </row>
        <row r="15">
          <cell r="B15" t="str">
            <v>TASTYBIT</v>
          </cell>
          <cell r="C15">
            <v>3131</v>
          </cell>
          <cell r="F15" t="str">
            <v>TASTYBIT</v>
          </cell>
          <cell r="G15">
            <v>475</v>
          </cell>
          <cell r="J15" t="str">
            <v>TASTYBIT</v>
          </cell>
          <cell r="K15">
            <v>30</v>
          </cell>
        </row>
        <row r="16">
          <cell r="B16" t="str">
            <v>DIAMONDYD</v>
          </cell>
          <cell r="C16">
            <v>2192</v>
          </cell>
          <cell r="F16" t="str">
            <v>DIAMONDYD</v>
          </cell>
          <cell r="G16">
            <v>1652</v>
          </cell>
          <cell r="J16" t="str">
            <v>DIAMONDYD</v>
          </cell>
          <cell r="K16">
            <v>20</v>
          </cell>
        </row>
        <row r="17">
          <cell r="B17" t="str">
            <v>ADFFOODS</v>
          </cell>
          <cell r="C17">
            <v>2042</v>
          </cell>
          <cell r="F17" t="str">
            <v>ADFFOODS</v>
          </cell>
          <cell r="G17">
            <v>450</v>
          </cell>
          <cell r="J17" t="str">
            <v>ADFFOODS</v>
          </cell>
          <cell r="K17">
            <v>55</v>
          </cell>
        </row>
        <row r="18">
          <cell r="B18" t="str">
            <v>MISHTANN</v>
          </cell>
          <cell r="C18">
            <v>1868</v>
          </cell>
          <cell r="F18" t="str">
            <v>MISHTANN</v>
          </cell>
          <cell r="G18">
            <v>650</v>
          </cell>
          <cell r="J18" t="str">
            <v>MISHTANN</v>
          </cell>
          <cell r="K18">
            <v>50</v>
          </cell>
        </row>
        <row r="19">
          <cell r="B19" t="str">
            <v>OTHERS_22</v>
          </cell>
          <cell r="C19">
            <v>3027</v>
          </cell>
        </row>
        <row r="38">
          <cell r="C38" t="str">
            <v>SALES_5Y_GR</v>
          </cell>
          <cell r="G38" t="str">
            <v>CY SALES GR</v>
          </cell>
        </row>
        <row r="39">
          <cell r="B39" t="str">
            <v>NESTLEIND</v>
          </cell>
          <cell r="C39">
            <v>8.4020176609259201E-2</v>
          </cell>
          <cell r="F39" t="str">
            <v>NESTLEIND</v>
          </cell>
          <cell r="G39">
            <v>0.13919828459110128</v>
          </cell>
        </row>
        <row r="40">
          <cell r="B40" t="str">
            <v>BRITANNIA</v>
          </cell>
          <cell r="C40">
            <v>0.10477020613521582</v>
          </cell>
          <cell r="F40" t="str">
            <v>BRITANNIA</v>
          </cell>
          <cell r="G40">
            <v>2.5887982332372328E-2</v>
          </cell>
        </row>
        <row r="41">
          <cell r="B41" t="str">
            <v>BIKAJI</v>
          </cell>
          <cell r="C41">
            <v>0.20278082516485596</v>
          </cell>
          <cell r="F41" t="str">
            <v>BIKAJI</v>
          </cell>
          <cell r="G41">
            <v>9.2065106815869768E-2</v>
          </cell>
        </row>
        <row r="42">
          <cell r="B42" t="str">
            <v>BBTC</v>
          </cell>
          <cell r="C42">
            <v>0.12709945405576506</v>
          </cell>
          <cell r="F42" t="str">
            <v>BBTC</v>
          </cell>
          <cell r="G42">
            <v>-8.4147782193104925E-2</v>
          </cell>
        </row>
        <row r="43">
          <cell r="B43" t="str">
            <v>ZYDUSWELL</v>
          </cell>
          <cell r="C43">
            <v>0.34982412326456203</v>
          </cell>
          <cell r="F43" t="str">
            <v>ZYDUSWELL</v>
          </cell>
          <cell r="G43">
            <v>1.7746228926354135E-3</v>
          </cell>
        </row>
        <row r="44">
          <cell r="B44" t="str">
            <v>BECTORFOOD</v>
          </cell>
          <cell r="C44">
            <v>0.14469233461264874</v>
          </cell>
          <cell r="F44" t="str">
            <v>BECTORFOOD</v>
          </cell>
          <cell r="G44">
            <v>0.14831130690161531</v>
          </cell>
        </row>
        <row r="45">
          <cell r="B45" t="str">
            <v>GOPAL</v>
          </cell>
          <cell r="F45" t="str">
            <v>GOPAL</v>
          </cell>
          <cell r="G45">
            <v>-3.0129124820659992E-2</v>
          </cell>
        </row>
        <row r="46">
          <cell r="B46" t="str">
            <v>TASTYBIT</v>
          </cell>
          <cell r="C46">
            <v>9.920926349885395E-2</v>
          </cell>
          <cell r="F46" t="str">
            <v>TASTYBIT</v>
          </cell>
          <cell r="G46">
            <v>0.13894736842105271</v>
          </cell>
        </row>
        <row r="47">
          <cell r="B47" t="str">
            <v>DIAMONDYD</v>
          </cell>
          <cell r="C47">
            <v>9.7605456381603561E-2</v>
          </cell>
          <cell r="F47" t="str">
            <v>DIAMONDYD</v>
          </cell>
          <cell r="G47">
            <v>6.0532687651337902E-4</v>
          </cell>
        </row>
        <row r="48">
          <cell r="B48" t="str">
            <v>ADFFOODS</v>
          </cell>
          <cell r="C48">
            <v>0.16688977891407952</v>
          </cell>
          <cell r="F48" t="str">
            <v>ADFFOODS</v>
          </cell>
          <cell r="G48">
            <v>8.8888888888888795E-2</v>
          </cell>
        </row>
        <row r="49">
          <cell r="B49" t="str">
            <v>MISHTANN</v>
          </cell>
          <cell r="C49">
            <v>5.814078782077714E-2</v>
          </cell>
          <cell r="F49" t="str">
            <v>MISHTANN</v>
          </cell>
          <cell r="G49">
            <v>0.71076923076923082</v>
          </cell>
        </row>
        <row r="68">
          <cell r="C68" t="str">
            <v>DEBT2EQUITY</v>
          </cell>
          <cell r="G68" t="str">
            <v>ICR</v>
          </cell>
          <cell r="K68" t="str">
            <v>DEBTRATIO</v>
          </cell>
        </row>
        <row r="69">
          <cell r="B69" t="str">
            <v>NESTLEIND</v>
          </cell>
          <cell r="C69">
            <v>1.1204481792717087E-2</v>
          </cell>
          <cell r="F69" t="str">
            <v>NESTLEIND</v>
          </cell>
          <cell r="G69">
            <v>38.571428571428569</v>
          </cell>
          <cell r="J69" t="str">
            <v>NESTLEIND</v>
          </cell>
          <cell r="K69">
            <v>0.69773592890393565</v>
          </cell>
        </row>
        <row r="70">
          <cell r="B70" t="str">
            <v>BRITANNIA</v>
          </cell>
          <cell r="C70">
            <v>0.96101635920640449</v>
          </cell>
          <cell r="F70" t="str">
            <v>BRITANNIA</v>
          </cell>
          <cell r="G70">
            <v>19.494186046511629</v>
          </cell>
          <cell r="J70" t="str">
            <v>BRITANNIA</v>
          </cell>
          <cell r="K70">
            <v>0.67150531489313059</v>
          </cell>
        </row>
        <row r="71">
          <cell r="B71" t="str">
            <v>BIKAJI</v>
          </cell>
          <cell r="C71">
            <v>0.14832535885167464</v>
          </cell>
          <cell r="F71" t="str">
            <v>BIKAJI</v>
          </cell>
          <cell r="G71">
            <v>37</v>
          </cell>
          <cell r="J71" t="str">
            <v>BIKAJI</v>
          </cell>
          <cell r="K71">
            <v>0.27631578947368424</v>
          </cell>
        </row>
        <row r="72">
          <cell r="B72" t="str">
            <v>BBTC</v>
          </cell>
          <cell r="C72">
            <v>0</v>
          </cell>
          <cell r="F72" t="str">
            <v>BBTC</v>
          </cell>
          <cell r="G72">
            <v>6.8080357142857144</v>
          </cell>
          <cell r="J72" t="str">
            <v>BBTC</v>
          </cell>
          <cell r="K72">
            <v>0.61745628877608572</v>
          </cell>
        </row>
        <row r="73">
          <cell r="B73" t="str">
            <v>ZYDUSWELL</v>
          </cell>
          <cell r="C73">
            <v>6.6833109275974648E-2</v>
          </cell>
          <cell r="F73" t="str">
            <v>ZYDUSWELL</v>
          </cell>
          <cell r="G73">
            <v>13.608695652173912</v>
          </cell>
          <cell r="J73" t="str">
            <v>ZYDUSWELL</v>
          </cell>
          <cell r="K73">
            <v>0.10684273709483794</v>
          </cell>
        </row>
        <row r="74">
          <cell r="B74" t="str">
            <v>BECTORFOOD</v>
          </cell>
          <cell r="C74">
            <v>0</v>
          </cell>
          <cell r="F74" t="str">
            <v>BECTORFOOD</v>
          </cell>
          <cell r="G74">
            <v>24.2</v>
          </cell>
          <cell r="J74" t="str">
            <v>BECTORFOOD</v>
          </cell>
          <cell r="K74">
            <v>0.36940686784599375</v>
          </cell>
        </row>
        <row r="75">
          <cell r="B75" t="str">
            <v>GOPAL</v>
          </cell>
          <cell r="C75">
            <v>0.38848920863309355</v>
          </cell>
          <cell r="F75" t="str">
            <v>GOPAL</v>
          </cell>
          <cell r="G75">
            <v>15</v>
          </cell>
          <cell r="J75" t="str">
            <v>GOPAL</v>
          </cell>
          <cell r="K75">
            <v>0.37093275488069416</v>
          </cell>
        </row>
        <row r="76">
          <cell r="B76" t="str">
            <v>TASTYBIT</v>
          </cell>
          <cell r="C76">
            <v>0.18705035971223022</v>
          </cell>
          <cell r="F76" t="str">
            <v>TASTYBIT</v>
          </cell>
          <cell r="G76">
            <v>11.5</v>
          </cell>
          <cell r="J76" t="str">
            <v>TASTYBIT</v>
          </cell>
          <cell r="K76">
            <v>0.3930131004366812</v>
          </cell>
        </row>
        <row r="77">
          <cell r="B77" t="str">
            <v>DIAMONDYD</v>
          </cell>
          <cell r="C77">
            <v>8.5106382978723402E-2</v>
          </cell>
          <cell r="F77" t="str">
            <v>DIAMONDYD</v>
          </cell>
          <cell r="G77">
            <v>10</v>
          </cell>
          <cell r="J77" t="str">
            <v>DIAMONDYD</v>
          </cell>
          <cell r="K77">
            <v>0.24840085287846481</v>
          </cell>
        </row>
        <row r="78">
          <cell r="B78" t="str">
            <v>ADFFOODS</v>
          </cell>
          <cell r="C78">
            <v>1.5837104072398189E-2</v>
          </cell>
          <cell r="F78" t="str">
            <v>ADFFOODS</v>
          </cell>
          <cell r="G78">
            <v>49.5</v>
          </cell>
          <cell r="J78" t="str">
            <v>ADFFOODS</v>
          </cell>
          <cell r="K78">
            <v>0.2078853046594982</v>
          </cell>
        </row>
        <row r="79">
          <cell r="B79" t="str">
            <v>MISHTANN</v>
          </cell>
          <cell r="C79">
            <v>0.17647058823529413</v>
          </cell>
          <cell r="F79" t="str">
            <v>MISHTANN</v>
          </cell>
          <cell r="G79">
            <v>57.6</v>
          </cell>
          <cell r="J79" t="str">
            <v>MISHTANN</v>
          </cell>
          <cell r="K79">
            <v>0.25365853658536586</v>
          </cell>
        </row>
        <row r="98">
          <cell r="C98" t="str">
            <v>MARGIN_FY23</v>
          </cell>
          <cell r="D98" t="str">
            <v>MARGIN_CY</v>
          </cell>
          <cell r="H98" t="str">
            <v>CUR. RATIO</v>
          </cell>
          <cell r="L98" t="str">
            <v>TR.DAYS</v>
          </cell>
        </row>
        <row r="99">
          <cell r="B99" t="str">
            <v>NESTLEIND</v>
          </cell>
          <cell r="C99">
            <v>0.1423551134671511</v>
          </cell>
          <cell r="D99">
            <v>0.15680225870542716</v>
          </cell>
          <cell r="G99" t="str">
            <v>NESTLEIND</v>
          </cell>
          <cell r="H99">
            <v>1.2135126270908494</v>
          </cell>
          <cell r="K99" t="str">
            <v>NESTLEIND</v>
          </cell>
          <cell r="L99">
            <v>5.6106870229007635</v>
          </cell>
        </row>
        <row r="100">
          <cell r="B100" t="str">
            <v>BRITANNIA</v>
          </cell>
          <cell r="C100">
            <v>0.14207717317955953</v>
          </cell>
          <cell r="D100">
            <v>0.12886443819888777</v>
          </cell>
          <cell r="G100" t="str">
            <v>BRITANNIA</v>
          </cell>
          <cell r="H100">
            <v>0.86582176624421647</v>
          </cell>
          <cell r="K100" t="str">
            <v>BRITANNIA</v>
          </cell>
          <cell r="L100">
            <v>8.9924056688393232</v>
          </cell>
        </row>
        <row r="101">
          <cell r="B101" t="str">
            <v>BIKAJI</v>
          </cell>
          <cell r="C101">
            <v>6.4089521871820959E-2</v>
          </cell>
          <cell r="D101">
            <v>8.9427107591988825E-2</v>
          </cell>
          <cell r="G101" t="str">
            <v>BIKAJI</v>
          </cell>
          <cell r="H101">
            <v>1.8076923076923077</v>
          </cell>
          <cell r="K101" t="str">
            <v>BIKAJI</v>
          </cell>
          <cell r="L101">
            <v>20.230554261760599</v>
          </cell>
        </row>
        <row r="102">
          <cell r="B102" t="str">
            <v>BBTC</v>
          </cell>
          <cell r="C102">
            <v>-2.8622059929116098E-2</v>
          </cell>
          <cell r="D102">
            <v>-8.032834945763706E-3</v>
          </cell>
          <cell r="G102" t="str">
            <v>BBTC</v>
          </cell>
          <cell r="H102">
            <v>1.3762488218661639</v>
          </cell>
          <cell r="K102" t="str">
            <v>BBTC</v>
          </cell>
          <cell r="L102">
            <v>10.315450014658458</v>
          </cell>
        </row>
        <row r="103">
          <cell r="B103" t="str">
            <v>ZYDUSWELL</v>
          </cell>
          <cell r="C103">
            <v>0.13753327417923691</v>
          </cell>
          <cell r="D103">
            <v>0.11603188662533215</v>
          </cell>
          <cell r="G103" t="str">
            <v>ZYDUSWELL</v>
          </cell>
          <cell r="H103">
            <v>1.4727272727272727</v>
          </cell>
          <cell r="K103" t="str">
            <v>ZYDUSWELL</v>
          </cell>
          <cell r="L103">
            <v>20.690876882196633</v>
          </cell>
        </row>
        <row r="104">
          <cell r="B104" t="str">
            <v>BECTORFOOD</v>
          </cell>
          <cell r="C104">
            <v>6.6079295154185022E-2</v>
          </cell>
          <cell r="D104">
            <v>8.5677749360613814E-2</v>
          </cell>
          <cell r="G104" t="str">
            <v>BECTORFOOD</v>
          </cell>
          <cell r="H104">
            <v>1.808411214953271</v>
          </cell>
          <cell r="K104" t="str">
            <v>BECTORFOOD</v>
          </cell>
          <cell r="L104">
            <v>24.737851662404093</v>
          </cell>
        </row>
        <row r="105">
          <cell r="B105" t="str">
            <v>GOPAL</v>
          </cell>
          <cell r="C105">
            <v>8.0344332855093251E-2</v>
          </cell>
          <cell r="D105">
            <v>8.2840236686390539E-2</v>
          </cell>
          <cell r="G105" t="str">
            <v>GOPAL</v>
          </cell>
          <cell r="H105" t="e">
            <v>#DIV/0!</v>
          </cell>
          <cell r="K105" t="str">
            <v>GOPAL</v>
          </cell>
          <cell r="L105">
            <v>2.9696745562130178</v>
          </cell>
        </row>
        <row r="106">
          <cell r="B106" t="str">
            <v>TASTYBIT</v>
          </cell>
          <cell r="C106">
            <v>6.3157894736842107E-2</v>
          </cell>
          <cell r="D106">
            <v>8.8724584103512014E-2</v>
          </cell>
          <cell r="G106" t="str">
            <v>TASTYBIT</v>
          </cell>
          <cell r="H106">
            <v>2</v>
          </cell>
          <cell r="K106" t="str">
            <v>TASTYBIT</v>
          </cell>
          <cell r="L106">
            <v>36.432532347504619</v>
          </cell>
        </row>
        <row r="107">
          <cell r="B107" t="str">
            <v>DIAMONDYD</v>
          </cell>
          <cell r="C107">
            <v>1.2106537530266344E-2</v>
          </cell>
          <cell r="D107">
            <v>1.2099213551119177E-2</v>
          </cell>
          <cell r="G107" t="str">
            <v>DIAMONDYD</v>
          </cell>
          <cell r="H107">
            <v>1.6265822784810127</v>
          </cell>
          <cell r="K107" t="str">
            <v>DIAMONDYD</v>
          </cell>
          <cell r="L107">
            <v>3.0913490623109499</v>
          </cell>
        </row>
        <row r="108">
          <cell r="B108" t="str">
            <v>ADFFOODS</v>
          </cell>
          <cell r="C108">
            <v>0.12222222222222222</v>
          </cell>
          <cell r="D108">
            <v>0.1326530612244898</v>
          </cell>
          <cell r="G108" t="str">
            <v>ADFFOODS</v>
          </cell>
          <cell r="H108">
            <v>6.8269230769230766</v>
          </cell>
          <cell r="K108" t="str">
            <v>ADFFOODS</v>
          </cell>
          <cell r="L108">
            <v>61.081632653061227</v>
          </cell>
        </row>
        <row r="109">
          <cell r="B109" t="str">
            <v>MISHTANN</v>
          </cell>
          <cell r="C109">
            <v>7.6923076923076927E-2</v>
          </cell>
          <cell r="D109">
            <v>0.23741007194244604</v>
          </cell>
          <cell r="G109" t="str">
            <v>MISHTANN</v>
          </cell>
          <cell r="H109">
            <v>4.1020408163265305</v>
          </cell>
          <cell r="K109" t="str">
            <v>MISHTANN</v>
          </cell>
          <cell r="L109">
            <v>124.40197841726618</v>
          </cell>
        </row>
        <row r="129">
          <cell r="C129" t="str">
            <v>ROE</v>
          </cell>
          <cell r="G129" t="str">
            <v>ROPE</v>
          </cell>
          <cell r="K129" t="str">
            <v>ROA</v>
          </cell>
        </row>
        <row r="130">
          <cell r="B130" t="str">
            <v>NESTLEIND</v>
          </cell>
          <cell r="C130">
            <v>1.0500700280112045</v>
          </cell>
          <cell r="F130" t="str">
            <v>NESTLEIND</v>
          </cell>
          <cell r="G130">
            <v>31.239583333333332</v>
          </cell>
          <cell r="J130" t="str">
            <v>NESTLEIND</v>
          </cell>
          <cell r="K130">
            <v>0.31728734659331359</v>
          </cell>
        </row>
        <row r="131">
          <cell r="B131" t="str">
            <v>BRITANNIA</v>
          </cell>
          <cell r="C131">
            <v>0.75008701705534286</v>
          </cell>
          <cell r="F131" t="str">
            <v>BRITANNIA</v>
          </cell>
          <cell r="G131">
            <v>89.791666666666671</v>
          </cell>
          <cell r="J131" t="str">
            <v>BRITANNIA</v>
          </cell>
          <cell r="K131">
            <v>0.24631386444165049</v>
          </cell>
        </row>
        <row r="132">
          <cell r="B132" t="str">
            <v>BIKAJI</v>
          </cell>
          <cell r="C132">
            <v>0.18373205741626794</v>
          </cell>
          <cell r="F132" t="str">
            <v>BIKAJI</v>
          </cell>
          <cell r="G132">
            <v>7.68</v>
          </cell>
          <cell r="J132" t="str">
            <v>BIKAJI</v>
          </cell>
          <cell r="K132">
            <v>0.1329639889196676</v>
          </cell>
        </row>
        <row r="133">
          <cell r="B133" t="str">
            <v>BBTC</v>
          </cell>
          <cell r="C133">
            <v>-2.5248802064135642E-2</v>
          </cell>
          <cell r="F133" t="str">
            <v>BBTC</v>
          </cell>
          <cell r="G133">
            <v>-10.538461538461538</v>
          </cell>
          <cell r="J133" t="str">
            <v>BBTC</v>
          </cell>
          <cell r="K133">
            <v>-9.6587704455724753E-3</v>
          </cell>
        </row>
        <row r="134">
          <cell r="B134" t="str">
            <v>ZYDUSWELL</v>
          </cell>
          <cell r="C134">
            <v>5.0316881121567118E-2</v>
          </cell>
          <cell r="F134" t="str">
            <v>ZYDUSWELL</v>
          </cell>
          <cell r="G134">
            <v>4.1587301587301591</v>
          </cell>
          <cell r="J134" t="str">
            <v>ZYDUSWELL</v>
          </cell>
          <cell r="K134">
            <v>4.4932258617732805E-2</v>
          </cell>
        </row>
        <row r="135">
          <cell r="B135" t="str">
            <v>BECTORFOOD</v>
          </cell>
          <cell r="C135">
            <v>0.22112211221122113</v>
          </cell>
          <cell r="F135" t="str">
            <v>BECTORFOOD</v>
          </cell>
          <cell r="G135">
            <v>2.3103448275862069</v>
          </cell>
          <cell r="J135" t="str">
            <v>BECTORFOOD</v>
          </cell>
          <cell r="K135">
            <v>0.13943808532778357</v>
          </cell>
        </row>
        <row r="136">
          <cell r="B136" t="str">
            <v>GOPAL</v>
          </cell>
          <cell r="C136">
            <v>0.40287769784172661</v>
          </cell>
          <cell r="F136" t="str">
            <v>GOPAL</v>
          </cell>
          <cell r="G136">
            <v>9.3333333333333339</v>
          </cell>
          <cell r="J136" t="str">
            <v>GOPAL</v>
          </cell>
          <cell r="K136">
            <v>0.24295010845986983</v>
          </cell>
        </row>
        <row r="137">
          <cell r="B137" t="str">
            <v>TASTYBIT</v>
          </cell>
          <cell r="C137">
            <v>0.17266187050359713</v>
          </cell>
          <cell r="F137" t="str">
            <v>TASTYBIT</v>
          </cell>
          <cell r="G137">
            <v>16</v>
          </cell>
          <cell r="J137" t="str">
            <v>TASTYBIT</v>
          </cell>
          <cell r="K137">
            <v>0.10480349344978165</v>
          </cell>
        </row>
        <row r="138">
          <cell r="B138" t="str">
            <v>DIAMONDYD</v>
          </cell>
          <cell r="C138">
            <v>2.8368794326241134E-2</v>
          </cell>
          <cell r="F138" t="str">
            <v>DIAMONDYD</v>
          </cell>
          <cell r="G138">
            <v>1.6666666666666667</v>
          </cell>
          <cell r="J138" t="str">
            <v>DIAMONDYD</v>
          </cell>
          <cell r="K138">
            <v>2.1321961620469083E-2</v>
          </cell>
        </row>
        <row r="139">
          <cell r="B139" t="str">
            <v>ADFFOODS</v>
          </cell>
          <cell r="C139">
            <v>0.14705882352941177</v>
          </cell>
          <cell r="F139" t="str">
            <v>ADFFOODS</v>
          </cell>
          <cell r="G139">
            <v>2.9545454545454546</v>
          </cell>
          <cell r="J139" t="str">
            <v>ADFFOODS</v>
          </cell>
          <cell r="K139">
            <v>0.11648745519713262</v>
          </cell>
        </row>
        <row r="140">
          <cell r="B140" t="str">
            <v>MISHTANN</v>
          </cell>
          <cell r="C140">
            <v>0.16300000000000001</v>
          </cell>
          <cell r="F140" t="str">
            <v>MISHTANN</v>
          </cell>
          <cell r="G140">
            <v>2.64</v>
          </cell>
          <cell r="J140" t="str">
            <v>MISHTANN</v>
          </cell>
          <cell r="K140">
            <v>0.12</v>
          </cell>
        </row>
        <row r="159">
          <cell r="C159" t="str">
            <v>TRAIL_PE</v>
          </cell>
          <cell r="G159" t="str">
            <v>YIELD</v>
          </cell>
          <cell r="K159" t="str">
            <v>PBV</v>
          </cell>
        </row>
        <row r="160">
          <cell r="B160" t="str">
            <v>NESTLEIND</v>
          </cell>
          <cell r="C160">
            <v>84.59</v>
          </cell>
          <cell r="F160" t="str">
            <v>NESTLEIND</v>
          </cell>
          <cell r="G160">
            <v>1.1855296763618343E-2</v>
          </cell>
          <cell r="J160" t="str">
            <v>NESTLEIND</v>
          </cell>
          <cell r="K160">
            <v>88.178151260504208</v>
          </cell>
        </row>
        <row r="161">
          <cell r="B161" t="str">
            <v>BRITANNIA</v>
          </cell>
          <cell r="C161">
            <v>55.11</v>
          </cell>
          <cell r="F161" t="str">
            <v>BRITANNIA</v>
          </cell>
          <cell r="G161">
            <v>1.8346541234214427E-2</v>
          </cell>
          <cell r="J161" t="str">
            <v>BRITANNIA</v>
          </cell>
          <cell r="K161">
            <v>40.847198050817958</v>
          </cell>
        </row>
        <row r="162">
          <cell r="B162" t="str">
            <v>BIKAJI</v>
          </cell>
          <cell r="C162">
            <v>65.73</v>
          </cell>
          <cell r="F162" t="str">
            <v>BIKAJI</v>
          </cell>
          <cell r="G162">
            <v>1.5255965735264124E-2</v>
          </cell>
          <cell r="J162" t="str">
            <v>BIKAJI</v>
          </cell>
          <cell r="K162">
            <v>11.729665071770336</v>
          </cell>
        </row>
        <row r="163">
          <cell r="B163" t="str">
            <v>BBTC</v>
          </cell>
          <cell r="F163" t="str">
            <v>BBTC</v>
          </cell>
          <cell r="G163">
            <v>-0.10903180121024848</v>
          </cell>
          <cell r="J163" t="str">
            <v>BBTC</v>
          </cell>
          <cell r="K163">
            <v>1.8608735716918543</v>
          </cell>
        </row>
        <row r="164">
          <cell r="B164" t="str">
            <v>ZYDUSWELL</v>
          </cell>
          <cell r="C164">
            <v>35.72</v>
          </cell>
          <cell r="F164" t="str">
            <v>ZYDUSWELL</v>
          </cell>
          <cell r="G164">
            <v>2.8095563139931737E-2</v>
          </cell>
          <cell r="J164" t="str">
            <v>ZYDUSWELL</v>
          </cell>
          <cell r="K164">
            <v>1.7725177645477241</v>
          </cell>
        </row>
        <row r="165">
          <cell r="B165" t="str">
            <v>BECTORFOOD</v>
          </cell>
          <cell r="C165">
            <v>49</v>
          </cell>
          <cell r="F165" t="str">
            <v>BECTORFOOD</v>
          </cell>
          <cell r="G165">
            <v>2.0791628753412193E-2</v>
          </cell>
          <cell r="J165" t="str">
            <v>BECTORFOOD</v>
          </cell>
          <cell r="K165">
            <v>10.518481848184818</v>
          </cell>
        </row>
        <row r="166">
          <cell r="B166" t="str">
            <v>GOPAL</v>
          </cell>
          <cell r="C166">
            <v>38.369999999999997</v>
          </cell>
          <cell r="F166" t="str">
            <v>GOPAL</v>
          </cell>
          <cell r="G166">
            <v>2.5933147632311981E-2</v>
          </cell>
          <cell r="J166" t="str">
            <v>GOPAL</v>
          </cell>
          <cell r="K166">
            <v>15.496402877697841</v>
          </cell>
        </row>
        <row r="167">
          <cell r="B167" t="str">
            <v>TASTYBIT</v>
          </cell>
          <cell r="C167">
            <v>79.540000000000006</v>
          </cell>
          <cell r="F167" t="str">
            <v>TASTYBIT</v>
          </cell>
          <cell r="G167">
            <v>1.4561389139159636E-2</v>
          </cell>
          <cell r="J167" t="str">
            <v>TASTYBIT</v>
          </cell>
          <cell r="K167">
            <v>13.175179856115108</v>
          </cell>
        </row>
        <row r="168">
          <cell r="B168" t="str">
            <v>DIAMONDYD</v>
          </cell>
          <cell r="C168">
            <v>35.4</v>
          </cell>
          <cell r="F168" t="str">
            <v>DIAMONDYD</v>
          </cell>
          <cell r="G168">
            <v>2.8173003595162872E-2</v>
          </cell>
          <cell r="J168" t="str">
            <v>DIAMONDYD</v>
          </cell>
          <cell r="K168">
            <v>3.1247659574468085</v>
          </cell>
        </row>
        <row r="169">
          <cell r="B169" t="str">
            <v>ADFFOODS</v>
          </cell>
          <cell r="C169">
            <v>31.05</v>
          </cell>
          <cell r="F169" t="str">
            <v>ADFFOODS</v>
          </cell>
          <cell r="G169">
            <v>3.2334682860998651E-2</v>
          </cell>
          <cell r="J169" t="str">
            <v>ADFFOODS</v>
          </cell>
          <cell r="K169">
            <v>4.6102941176470589</v>
          </cell>
        </row>
        <row r="170">
          <cell r="B170" t="str">
            <v>MISHTANN</v>
          </cell>
          <cell r="C170">
            <v>6.72</v>
          </cell>
          <cell r="F170" t="str">
            <v>MISHTANN</v>
          </cell>
          <cell r="G170">
            <v>0.14903299203640502</v>
          </cell>
          <cell r="J170" t="str">
            <v>MISHTANN</v>
          </cell>
          <cell r="K170">
            <v>5.7450980392156854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05A10-BE58-4B2D-A48F-096FDA3A5C2E}">
  <sheetPr>
    <outlinePr summaryBelow="0" summaryRight="0"/>
  </sheetPr>
  <dimension ref="B2:V1007"/>
  <sheetViews>
    <sheetView showGridLines="0" tabSelected="1" workbookViewId="0"/>
  </sheetViews>
  <sheetFormatPr defaultColWidth="14.44140625" defaultRowHeight="15" customHeight="1"/>
  <cols>
    <col min="1" max="1" width="5.109375" customWidth="1"/>
  </cols>
  <sheetData>
    <row r="2" spans="2:21" ht="14.4">
      <c r="B2" s="1" t="s">
        <v>0</v>
      </c>
      <c r="C2" s="1" t="s">
        <v>1</v>
      </c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</row>
    <row r="3" spans="2:21" thickBot="1">
      <c r="B3" s="3" t="s">
        <v>20</v>
      </c>
      <c r="C3" s="4">
        <f ca="1">IFERROR(__xludf.DUMMYFUNCTION("GOOGLEFINANCE(""NSE:""&amp;B3,""price"")"),2500)</f>
        <v>2500</v>
      </c>
      <c r="D3" s="4">
        <f ca="1">IFERROR(__xludf.DUMMYFUNCTION("GOOGLEFINANCE(""NSE:""&amp;B3,""MARKETCAP"")/10000000"),241039.25)</f>
        <v>241039.25</v>
      </c>
      <c r="E3" s="4">
        <f t="shared" ref="E3:G3" si="0">C55</f>
        <v>20656.080000000002</v>
      </c>
      <c r="F3" s="4">
        <f t="shared" si="0"/>
        <v>3842.0308800000003</v>
      </c>
      <c r="G3" s="4">
        <f t="shared" si="0"/>
        <v>39.839100000000002</v>
      </c>
      <c r="H3" s="5">
        <v>1</v>
      </c>
      <c r="I3" s="5">
        <v>96.4</v>
      </c>
      <c r="J3" s="5">
        <v>3245</v>
      </c>
      <c r="K3" s="5">
        <v>26</v>
      </c>
      <c r="L3" s="3">
        <v>256</v>
      </c>
      <c r="M3" s="4">
        <v>3495</v>
      </c>
      <c r="N3" s="4">
        <v>3956</v>
      </c>
      <c r="O3" s="6">
        <v>10523</v>
      </c>
      <c r="P3" s="4">
        <f>3226+N3</f>
        <v>7182</v>
      </c>
      <c r="Q3" s="5">
        <v>301</v>
      </c>
      <c r="R3" s="7">
        <v>4175</v>
      </c>
      <c r="S3" s="7">
        <v>-1237</v>
      </c>
      <c r="T3" s="7">
        <v>-3134</v>
      </c>
      <c r="U3" s="7">
        <v>-1883</v>
      </c>
    </row>
    <row r="5" spans="2:21" ht="14.4">
      <c r="B5" s="8" t="s">
        <v>21</v>
      </c>
      <c r="C5" s="8" t="s">
        <v>22</v>
      </c>
      <c r="D5" s="8"/>
      <c r="E5" s="8"/>
      <c r="F5" s="8" t="s">
        <v>23</v>
      </c>
      <c r="G5" s="8"/>
      <c r="H5" s="8"/>
      <c r="I5" s="8" t="s">
        <v>24</v>
      </c>
      <c r="J5" s="9"/>
      <c r="K5" s="9"/>
      <c r="L5" s="9" t="s">
        <v>25</v>
      </c>
      <c r="M5" s="9"/>
      <c r="N5" s="9"/>
      <c r="O5" s="9"/>
      <c r="P5" s="9"/>
      <c r="Q5" s="10"/>
    </row>
    <row r="6" spans="2:21" ht="14.4">
      <c r="B6" s="11" t="s">
        <v>26</v>
      </c>
      <c r="C6" s="11" t="s">
        <v>27</v>
      </c>
      <c r="D6" s="11" t="s">
        <v>28</v>
      </c>
      <c r="E6" s="11" t="s">
        <v>29</v>
      </c>
      <c r="F6" s="11" t="s">
        <v>30</v>
      </c>
      <c r="G6" s="12" t="s">
        <v>31</v>
      </c>
      <c r="H6" s="13" t="s">
        <v>32</v>
      </c>
      <c r="I6" s="14" t="s">
        <v>33</v>
      </c>
      <c r="J6" s="12" t="s">
        <v>34</v>
      </c>
      <c r="K6" s="12" t="s">
        <v>35</v>
      </c>
      <c r="L6" s="11" t="s">
        <v>36</v>
      </c>
      <c r="M6" s="11" t="s">
        <v>37</v>
      </c>
      <c r="N6" s="14" t="s">
        <v>38</v>
      </c>
      <c r="O6" s="13" t="s">
        <v>39</v>
      </c>
      <c r="P6" s="15" t="s">
        <v>40</v>
      </c>
      <c r="Q6" s="16"/>
    </row>
    <row r="7" spans="2:21" ht="14.4">
      <c r="B7" s="17">
        <f>L44</f>
        <v>8.8681699913269796E-2</v>
      </c>
      <c r="C7" s="17">
        <f>J49</f>
        <v>0.18601872137024497</v>
      </c>
      <c r="D7" s="18">
        <f>M3/N3</f>
        <v>0.8834681496461072</v>
      </c>
      <c r="E7" s="19">
        <f>(Q3/E3)*365</f>
        <v>5.3187729714447265</v>
      </c>
      <c r="F7" s="20">
        <f>K3/J3</f>
        <v>8.0123266563944529E-3</v>
      </c>
      <c r="G7" s="20">
        <f>P3/O3</f>
        <v>0.68250498907155754</v>
      </c>
      <c r="H7" s="21">
        <f>J50</f>
        <v>38.230769230769234</v>
      </c>
      <c r="I7" s="17">
        <f>F3/(I3+J3)</f>
        <v>1.1498266834261088</v>
      </c>
      <c r="J7" s="21">
        <f>F3/I3</f>
        <v>39.855092116182576</v>
      </c>
      <c r="K7" s="17">
        <f>F3/O3</f>
        <v>0.36510794260191964</v>
      </c>
      <c r="L7" s="21">
        <f ca="1">C3/G3</f>
        <v>62.752421615950155</v>
      </c>
      <c r="M7" s="22">
        <f ca="1">G3/C3</f>
        <v>1.5935640000000001E-2</v>
      </c>
      <c r="N7" s="21">
        <f>J3/(I3/H3)</f>
        <v>33.661825726141075</v>
      </c>
      <c r="O7" s="21">
        <f ca="1">C3/N7</f>
        <v>74.268104776579364</v>
      </c>
      <c r="P7" s="18">
        <f ca="1">L55</f>
        <v>2.9488086812927579</v>
      </c>
    </row>
    <row r="8" spans="2:21" ht="14.4">
      <c r="B8" s="10"/>
      <c r="C8" s="23"/>
    </row>
    <row r="9" spans="2:21" ht="15" customHeight="1">
      <c r="B9" s="24" t="s">
        <v>41</v>
      </c>
    </row>
    <row r="10" spans="2:21" ht="14.4">
      <c r="B10" s="25" t="s">
        <v>42</v>
      </c>
      <c r="C10" s="26" t="s">
        <v>43</v>
      </c>
      <c r="D10" s="26" t="s">
        <v>44</v>
      </c>
      <c r="E10" s="26" t="s">
        <v>7</v>
      </c>
      <c r="F10" s="26" t="s">
        <v>45</v>
      </c>
      <c r="G10" s="26" t="s">
        <v>46</v>
      </c>
      <c r="H10" s="26" t="s">
        <v>47</v>
      </c>
      <c r="I10" s="26" t="s">
        <v>48</v>
      </c>
      <c r="J10" s="26" t="s">
        <v>49</v>
      </c>
      <c r="K10" s="26" t="s">
        <v>50</v>
      </c>
      <c r="L10" s="26" t="s">
        <v>51</v>
      </c>
      <c r="M10" s="26" t="s">
        <v>52</v>
      </c>
      <c r="N10" s="26" t="s">
        <v>53</v>
      </c>
    </row>
    <row r="11" spans="2:21" ht="14.4">
      <c r="B11" s="27" t="s">
        <v>54</v>
      </c>
      <c r="C11" s="16">
        <v>1937.23</v>
      </c>
      <c r="D11" s="16">
        <v>173.15</v>
      </c>
      <c r="E11" s="16">
        <v>96.42</v>
      </c>
      <c r="F11" s="28">
        <v>168.87</v>
      </c>
      <c r="G11" s="16">
        <v>17.96</v>
      </c>
      <c r="H11" s="29">
        <f t="shared" ref="H11:H34" si="1">D11/C11</f>
        <v>8.9380197498490119E-2</v>
      </c>
      <c r="I11" s="16">
        <v>589.29999999999995</v>
      </c>
      <c r="J11" s="16">
        <v>463</v>
      </c>
      <c r="K11" s="16">
        <f t="shared" ref="K11:K33" si="2">I11/G11</f>
        <v>32.81180400890868</v>
      </c>
      <c r="L11" s="16">
        <f t="shared" ref="L11:L33" si="3">J11/G11</f>
        <v>25.779510022271715</v>
      </c>
      <c r="M11" s="10">
        <v>20</v>
      </c>
      <c r="N11" s="23">
        <v>1.1100000000000001</v>
      </c>
    </row>
    <row r="12" spans="2:21" ht="14.4">
      <c r="B12" s="27" t="s">
        <v>55</v>
      </c>
      <c r="C12" s="16">
        <v>2075.6</v>
      </c>
      <c r="D12" s="16">
        <v>201.51</v>
      </c>
      <c r="E12" s="16">
        <v>96.42</v>
      </c>
      <c r="F12" s="28">
        <v>192.88</v>
      </c>
      <c r="G12" s="16">
        <v>20.9</v>
      </c>
      <c r="H12" s="29">
        <f t="shared" si="1"/>
        <v>9.7085180188861059E-2</v>
      </c>
      <c r="I12" s="16">
        <v>579.95000000000005</v>
      </c>
      <c r="J12" s="16">
        <v>455.55</v>
      </c>
      <c r="K12" s="16">
        <f t="shared" si="2"/>
        <v>27.7488038277512</v>
      </c>
      <c r="L12" s="16">
        <f t="shared" si="3"/>
        <v>21.796650717703351</v>
      </c>
      <c r="N12" s="23"/>
    </row>
    <row r="13" spans="2:21" ht="14.4">
      <c r="B13" s="27" t="s">
        <v>56</v>
      </c>
      <c r="C13" s="16">
        <v>2168.44</v>
      </c>
      <c r="D13" s="16">
        <v>263.08</v>
      </c>
      <c r="E13" s="16">
        <v>96.42</v>
      </c>
      <c r="F13" s="28">
        <v>238.57</v>
      </c>
      <c r="G13" s="16">
        <v>27.29</v>
      </c>
      <c r="H13" s="29">
        <f t="shared" si="1"/>
        <v>0.12132224087362342</v>
      </c>
      <c r="I13" s="16">
        <v>714.9</v>
      </c>
      <c r="J13" s="16">
        <v>500.3</v>
      </c>
      <c r="K13" s="16">
        <f t="shared" si="2"/>
        <v>26.19640894100403</v>
      </c>
      <c r="L13" s="16">
        <f t="shared" si="3"/>
        <v>18.332722609014294</v>
      </c>
      <c r="N13" s="23"/>
    </row>
    <row r="14" spans="2:21" ht="14.4">
      <c r="B14" s="27" t="s">
        <v>57</v>
      </c>
      <c r="C14" s="16">
        <v>2242.02</v>
      </c>
      <c r="D14" s="16">
        <v>251.91</v>
      </c>
      <c r="E14" s="16">
        <v>96.42</v>
      </c>
      <c r="F14" s="28">
        <v>222.99</v>
      </c>
      <c r="G14" s="16">
        <v>26.13</v>
      </c>
      <c r="H14" s="29">
        <f t="shared" si="1"/>
        <v>0.11235849814007011</v>
      </c>
      <c r="I14" s="16">
        <v>720</v>
      </c>
      <c r="J14" s="16">
        <v>500</v>
      </c>
      <c r="K14" s="16">
        <f t="shared" si="2"/>
        <v>27.554535017221585</v>
      </c>
      <c r="L14" s="16">
        <f t="shared" si="3"/>
        <v>19.135093761959435</v>
      </c>
      <c r="N14" s="23"/>
    </row>
    <row r="15" spans="2:21" ht="14.4">
      <c r="B15" s="27" t="s">
        <v>58</v>
      </c>
      <c r="C15" s="16">
        <v>2500.64</v>
      </c>
      <c r="D15" s="16">
        <v>309.57</v>
      </c>
      <c r="E15" s="16">
        <v>96.42</v>
      </c>
      <c r="F15" s="28">
        <v>257.70999999999998</v>
      </c>
      <c r="G15" s="16">
        <v>32.11</v>
      </c>
      <c r="H15" s="29">
        <f t="shared" si="1"/>
        <v>0.12379630814511486</v>
      </c>
      <c r="I15" s="16">
        <v>1008</v>
      </c>
      <c r="J15" s="16">
        <v>525.25</v>
      </c>
      <c r="K15" s="16">
        <f t="shared" si="2"/>
        <v>31.392089691684834</v>
      </c>
      <c r="L15" s="16">
        <f t="shared" si="3"/>
        <v>16.357832450949861</v>
      </c>
      <c r="N15" s="23"/>
    </row>
    <row r="16" spans="2:21" ht="14.4">
      <c r="B16" s="27" t="s">
        <v>59</v>
      </c>
      <c r="C16" s="16">
        <v>2836.67</v>
      </c>
      <c r="D16" s="16">
        <v>315.08999999999997</v>
      </c>
      <c r="E16" s="16">
        <v>96.42</v>
      </c>
      <c r="F16" s="28">
        <v>292.47000000000003</v>
      </c>
      <c r="G16" s="16">
        <v>32.68</v>
      </c>
      <c r="H16" s="29">
        <f t="shared" si="1"/>
        <v>0.11107742529092209</v>
      </c>
      <c r="I16" s="16">
        <v>1348</v>
      </c>
      <c r="J16" s="16">
        <v>800</v>
      </c>
      <c r="K16" s="16">
        <f t="shared" si="2"/>
        <v>41.248470012239899</v>
      </c>
      <c r="L16" s="16">
        <f t="shared" si="3"/>
        <v>24.479804161566708</v>
      </c>
      <c r="N16" s="23"/>
    </row>
    <row r="17" spans="2:14" ht="14.4">
      <c r="B17" s="27" t="s">
        <v>60</v>
      </c>
      <c r="C17" s="16">
        <v>3529.79</v>
      </c>
      <c r="D17" s="16">
        <v>413.81</v>
      </c>
      <c r="E17" s="16">
        <v>96.42</v>
      </c>
      <c r="F17" s="28">
        <v>322</v>
      </c>
      <c r="G17" s="16">
        <v>42.92</v>
      </c>
      <c r="H17" s="29">
        <f t="shared" si="1"/>
        <v>0.11723360313219766</v>
      </c>
      <c r="I17" s="16">
        <v>1662.75</v>
      </c>
      <c r="J17" s="16">
        <v>876</v>
      </c>
      <c r="K17" s="16">
        <f t="shared" si="2"/>
        <v>38.740680335507918</v>
      </c>
      <c r="L17" s="16">
        <f t="shared" si="3"/>
        <v>20.410065237651445</v>
      </c>
      <c r="M17" s="10">
        <v>24</v>
      </c>
      <c r="N17" s="23">
        <v>0.56000000000000005</v>
      </c>
    </row>
    <row r="18" spans="2:14" ht="14.4">
      <c r="B18" s="27" t="s">
        <v>61</v>
      </c>
      <c r="C18" s="16">
        <v>4358.13</v>
      </c>
      <c r="D18" s="16">
        <v>534.08000000000004</v>
      </c>
      <c r="E18" s="16">
        <v>96.42</v>
      </c>
      <c r="F18" s="16">
        <v>376.93</v>
      </c>
      <c r="G18" s="16">
        <v>55.39</v>
      </c>
      <c r="H18" s="29">
        <f t="shared" si="1"/>
        <v>0.12254797355746616</v>
      </c>
      <c r="I18" s="16">
        <v>1880</v>
      </c>
      <c r="J18" s="16">
        <v>1200.05</v>
      </c>
      <c r="K18" s="16">
        <f t="shared" si="2"/>
        <v>33.941144610940604</v>
      </c>
      <c r="L18" s="16">
        <f t="shared" si="3"/>
        <v>21.665463079978334</v>
      </c>
      <c r="M18" s="10">
        <v>33</v>
      </c>
      <c r="N18" s="23">
        <v>0.6</v>
      </c>
    </row>
    <row r="19" spans="2:14" ht="14.4">
      <c r="B19" s="27" t="s">
        <v>62</v>
      </c>
      <c r="C19" s="16">
        <v>5167.17</v>
      </c>
      <c r="D19" s="16">
        <v>655</v>
      </c>
      <c r="E19" s="16">
        <v>96.42</v>
      </c>
      <c r="F19" s="16">
        <v>484.84</v>
      </c>
      <c r="G19" s="16">
        <v>67.94</v>
      </c>
      <c r="H19" s="29">
        <f t="shared" si="1"/>
        <v>0.12676184449127859</v>
      </c>
      <c r="I19" s="16">
        <v>2739</v>
      </c>
      <c r="J19" s="16">
        <v>1377.05</v>
      </c>
      <c r="K19" s="16">
        <f t="shared" si="2"/>
        <v>40.314983809243451</v>
      </c>
      <c r="L19" s="16">
        <f t="shared" si="3"/>
        <v>20.268619370032383</v>
      </c>
      <c r="M19" s="10">
        <v>48</v>
      </c>
      <c r="N19" s="23">
        <v>0.71</v>
      </c>
    </row>
    <row r="20" spans="2:14" ht="14.4">
      <c r="B20" s="27" t="s">
        <v>63</v>
      </c>
      <c r="C20" s="16">
        <v>6297.4</v>
      </c>
      <c r="D20" s="16">
        <v>818.66</v>
      </c>
      <c r="E20" s="16">
        <v>96.42</v>
      </c>
      <c r="F20" s="16">
        <v>759</v>
      </c>
      <c r="G20" s="16">
        <v>84.91</v>
      </c>
      <c r="H20" s="29">
        <f t="shared" si="1"/>
        <v>0.12999968240861309</v>
      </c>
      <c r="I20" s="16">
        <v>4199.3999999999996</v>
      </c>
      <c r="J20" s="16">
        <v>2455.5</v>
      </c>
      <c r="K20" s="16">
        <f t="shared" si="2"/>
        <v>49.457072194087857</v>
      </c>
      <c r="L20" s="16">
        <f t="shared" si="3"/>
        <v>28.918855258509012</v>
      </c>
      <c r="M20" s="10">
        <v>48.5</v>
      </c>
      <c r="N20" s="23">
        <v>0.56999999999999995</v>
      </c>
    </row>
    <row r="21" spans="2:14" ht="14.4">
      <c r="B21" s="27" t="s">
        <v>64</v>
      </c>
      <c r="C21" s="16">
        <v>7491</v>
      </c>
      <c r="D21" s="16">
        <v>961.55</v>
      </c>
      <c r="E21" s="16">
        <v>96.42</v>
      </c>
      <c r="F21" s="16">
        <v>1177.54</v>
      </c>
      <c r="G21" s="16">
        <v>99.73</v>
      </c>
      <c r="H21" s="29">
        <f t="shared" si="1"/>
        <v>0.12836069950607396</v>
      </c>
      <c r="I21" s="16">
        <v>4549</v>
      </c>
      <c r="J21" s="16">
        <v>3160</v>
      </c>
      <c r="K21" s="16">
        <f t="shared" si="2"/>
        <v>45.613155519903735</v>
      </c>
      <c r="L21" s="16">
        <f t="shared" si="3"/>
        <v>31.685550987666698</v>
      </c>
      <c r="M21" s="10">
        <v>48.5</v>
      </c>
      <c r="N21" s="23">
        <v>0.49</v>
      </c>
    </row>
    <row r="22" spans="2:14" ht="14.4">
      <c r="B22" s="27" t="s">
        <v>65</v>
      </c>
      <c r="C22" s="16">
        <v>8334.5300000000007</v>
      </c>
      <c r="D22" s="16">
        <v>1067.93</v>
      </c>
      <c r="E22" s="16">
        <v>96.42</v>
      </c>
      <c r="F22" s="16">
        <v>1701.99</v>
      </c>
      <c r="G22" s="16">
        <v>110.76</v>
      </c>
      <c r="H22" s="29">
        <f t="shared" si="1"/>
        <v>0.12813320007246959</v>
      </c>
      <c r="I22" s="16">
        <v>5024.8500000000004</v>
      </c>
      <c r="J22" s="16">
        <v>3930</v>
      </c>
      <c r="K22" s="16">
        <f t="shared" si="2"/>
        <v>45.367009750812571</v>
      </c>
      <c r="L22" s="16">
        <f t="shared" si="3"/>
        <v>35.482123510292524</v>
      </c>
      <c r="M22" s="10">
        <v>48.5</v>
      </c>
      <c r="N22" s="23">
        <v>0.44</v>
      </c>
    </row>
    <row r="23" spans="2:14" ht="14.4">
      <c r="B23" s="27" t="s">
        <v>66</v>
      </c>
      <c r="C23" s="16">
        <v>9101.0499999999993</v>
      </c>
      <c r="D23" s="16">
        <v>1117.1300000000001</v>
      </c>
      <c r="E23" s="16">
        <v>96.42</v>
      </c>
      <c r="F23" s="16">
        <v>2272.33</v>
      </c>
      <c r="G23" s="16">
        <v>115.87</v>
      </c>
      <c r="H23" s="29">
        <f t="shared" si="1"/>
        <v>0.1227473753028497</v>
      </c>
      <c r="I23" s="16">
        <v>5864.85</v>
      </c>
      <c r="J23" s="16">
        <v>4410</v>
      </c>
      <c r="K23" s="16">
        <f t="shared" si="2"/>
        <v>50.615776301027012</v>
      </c>
      <c r="L23" s="16">
        <f t="shared" si="3"/>
        <v>38.059894709588328</v>
      </c>
      <c r="M23" s="10">
        <v>48.5</v>
      </c>
      <c r="N23" s="23">
        <v>0.42</v>
      </c>
    </row>
    <row r="24" spans="2:14" ht="14.4">
      <c r="B24" s="27" t="s">
        <v>67</v>
      </c>
      <c r="C24" s="16">
        <v>9854.84</v>
      </c>
      <c r="D24" s="16">
        <v>1184.69</v>
      </c>
      <c r="E24" s="16">
        <v>96.42</v>
      </c>
      <c r="F24" s="16">
        <v>2740.79</v>
      </c>
      <c r="G24" s="16">
        <v>122.87</v>
      </c>
      <c r="H24" s="29">
        <f t="shared" si="1"/>
        <v>0.12021402681322071</v>
      </c>
      <c r="I24" s="16">
        <v>6624.55</v>
      </c>
      <c r="J24" s="16">
        <v>4536</v>
      </c>
      <c r="K24" s="16">
        <f t="shared" si="2"/>
        <v>53.915113534630095</v>
      </c>
      <c r="L24" s="16">
        <f t="shared" si="3"/>
        <v>36.917066818588751</v>
      </c>
      <c r="M24" s="10">
        <v>63</v>
      </c>
      <c r="N24" s="23">
        <v>0.51</v>
      </c>
    </row>
    <row r="25" spans="2:14" ht="14.4">
      <c r="B25" s="27" t="s">
        <v>68</v>
      </c>
      <c r="C25" s="16">
        <v>8175.31</v>
      </c>
      <c r="D25" s="16">
        <v>563.27</v>
      </c>
      <c r="E25" s="16">
        <v>96.42</v>
      </c>
      <c r="F25" s="16">
        <v>2721.42</v>
      </c>
      <c r="G25" s="16">
        <v>58.42</v>
      </c>
      <c r="H25" s="29">
        <f t="shared" si="1"/>
        <v>6.8898916371366956E-2</v>
      </c>
      <c r="I25" s="16">
        <v>7499.95</v>
      </c>
      <c r="J25" s="16">
        <v>5499</v>
      </c>
      <c r="K25" s="16">
        <f t="shared" si="2"/>
        <v>128.37983567271482</v>
      </c>
      <c r="L25" s="16">
        <f t="shared" si="3"/>
        <v>94.12872304005478</v>
      </c>
      <c r="M25" s="10">
        <v>42.5</v>
      </c>
      <c r="N25" s="23">
        <v>0.73</v>
      </c>
    </row>
    <row r="26" spans="2:14" ht="14.4">
      <c r="B26" s="27" t="s">
        <v>69</v>
      </c>
      <c r="C26" s="16">
        <v>9625.4699999999993</v>
      </c>
      <c r="D26" s="16">
        <v>1001.36</v>
      </c>
      <c r="E26" s="16">
        <v>96.42</v>
      </c>
      <c r="F26" s="16">
        <v>3185.91</v>
      </c>
      <c r="G26" s="16">
        <v>103.86</v>
      </c>
      <c r="H26" s="29">
        <f t="shared" si="1"/>
        <v>0.10403232257749492</v>
      </c>
      <c r="I26" s="16">
        <v>7390</v>
      </c>
      <c r="J26" s="16">
        <v>4990</v>
      </c>
      <c r="K26" s="16">
        <f t="shared" si="2"/>
        <v>71.15347583285191</v>
      </c>
      <c r="L26" s="16">
        <f t="shared" si="3"/>
        <v>48.045445792412863</v>
      </c>
      <c r="M26" s="10">
        <v>58.5</v>
      </c>
      <c r="N26" s="23">
        <v>0.56000000000000005</v>
      </c>
    </row>
    <row r="27" spans="2:14" ht="14.4">
      <c r="B27" s="27" t="s">
        <v>70</v>
      </c>
      <c r="C27" s="16">
        <v>10369.1</v>
      </c>
      <c r="D27" s="16">
        <v>1225.19</v>
      </c>
      <c r="E27" s="16">
        <v>96.42</v>
      </c>
      <c r="F27" s="16">
        <v>3324.17</v>
      </c>
      <c r="G27" s="16">
        <v>127.07</v>
      </c>
      <c r="H27" s="29">
        <f t="shared" si="1"/>
        <v>0.11815779575855186</v>
      </c>
      <c r="I27" s="16">
        <v>8001</v>
      </c>
      <c r="J27" s="16">
        <v>5800</v>
      </c>
      <c r="K27" s="16">
        <f t="shared" si="2"/>
        <v>62.965294719445978</v>
      </c>
      <c r="L27" s="16">
        <f t="shared" si="3"/>
        <v>45.644133154953963</v>
      </c>
      <c r="M27" s="10">
        <v>86</v>
      </c>
      <c r="N27" s="23">
        <v>0.68</v>
      </c>
    </row>
    <row r="28" spans="2:14" ht="14.4">
      <c r="B28" s="27" t="s">
        <v>71</v>
      </c>
      <c r="C28" s="16">
        <v>11551.19</v>
      </c>
      <c r="D28" s="16">
        <v>1606.93</v>
      </c>
      <c r="E28" s="16">
        <v>96.42</v>
      </c>
      <c r="F28" s="16">
        <v>3577.32</v>
      </c>
      <c r="G28" s="16">
        <v>166.67</v>
      </c>
      <c r="H28" s="29">
        <f t="shared" si="1"/>
        <v>0.13911380559059283</v>
      </c>
      <c r="I28" s="16">
        <v>11700.05</v>
      </c>
      <c r="J28" s="16">
        <v>6887.75</v>
      </c>
      <c r="K28" s="16">
        <f t="shared" si="2"/>
        <v>70.198896022079566</v>
      </c>
      <c r="L28" s="16">
        <f t="shared" si="3"/>
        <v>41.32567348653027</v>
      </c>
      <c r="M28" s="10">
        <v>113</v>
      </c>
      <c r="N28" s="23">
        <v>0.68</v>
      </c>
    </row>
    <row r="29" spans="2:14" ht="14.4">
      <c r="B29" s="27" t="s">
        <v>72</v>
      </c>
      <c r="C29" s="16">
        <v>12615.78</v>
      </c>
      <c r="D29" s="16">
        <v>1969.55</v>
      </c>
      <c r="E29" s="16">
        <v>96.42</v>
      </c>
      <c r="F29" s="16">
        <v>1835.84</v>
      </c>
      <c r="G29" s="16">
        <v>204.28</v>
      </c>
      <c r="H29" s="29">
        <f t="shared" si="1"/>
        <v>0.1561179728879229</v>
      </c>
      <c r="I29" s="16">
        <v>15150</v>
      </c>
      <c r="J29" s="16">
        <v>10028.1</v>
      </c>
      <c r="K29" s="16">
        <f t="shared" si="2"/>
        <v>74.162913647934204</v>
      </c>
      <c r="L29" s="16">
        <f t="shared" si="3"/>
        <v>49.08997454474251</v>
      </c>
      <c r="M29" s="10">
        <v>306</v>
      </c>
      <c r="N29" s="23">
        <v>1.5</v>
      </c>
    </row>
    <row r="30" spans="2:14" ht="14.4">
      <c r="B30" s="27" t="s">
        <v>73</v>
      </c>
      <c r="C30" s="16">
        <v>13350</v>
      </c>
      <c r="D30" s="16">
        <v>2082</v>
      </c>
      <c r="E30" s="16">
        <v>96</v>
      </c>
      <c r="F30" s="16">
        <v>1923</v>
      </c>
      <c r="G30" s="16">
        <v>216</v>
      </c>
      <c r="H30" s="29">
        <f t="shared" si="1"/>
        <v>0.15595505617977529</v>
      </c>
      <c r="I30" s="16">
        <v>18844</v>
      </c>
      <c r="J30" s="16">
        <v>12200</v>
      </c>
      <c r="K30" s="16">
        <f t="shared" si="2"/>
        <v>87.240740740740748</v>
      </c>
      <c r="L30" s="16">
        <f t="shared" si="3"/>
        <v>56.481481481481481</v>
      </c>
      <c r="M30" s="10">
        <f>135+65</f>
        <v>200</v>
      </c>
      <c r="N30" s="23">
        <f t="shared" ref="N30:N33" si="4">M30/G30</f>
        <v>0.92592592592592593</v>
      </c>
    </row>
    <row r="31" spans="2:14" ht="14.4">
      <c r="B31" s="27" t="s">
        <v>74</v>
      </c>
      <c r="C31" s="16">
        <v>14709</v>
      </c>
      <c r="D31" s="16">
        <v>2145</v>
      </c>
      <c r="E31" s="16">
        <v>96</v>
      </c>
      <c r="F31" s="16">
        <v>1988</v>
      </c>
      <c r="G31" s="16">
        <v>222.46</v>
      </c>
      <c r="H31" s="29">
        <f t="shared" si="1"/>
        <v>0.14582908423414237</v>
      </c>
      <c r="I31" s="16">
        <v>20600</v>
      </c>
      <c r="J31" s="16">
        <v>15900</v>
      </c>
      <c r="K31" s="16">
        <f t="shared" si="2"/>
        <v>92.600917018789886</v>
      </c>
      <c r="L31" s="16">
        <f t="shared" si="3"/>
        <v>71.473523330036855</v>
      </c>
      <c r="M31" s="10">
        <v>165</v>
      </c>
      <c r="N31" s="23">
        <f t="shared" si="4"/>
        <v>0.74170637417962781</v>
      </c>
    </row>
    <row r="32" spans="2:14" ht="14.4">
      <c r="B32" s="27" t="s">
        <v>75</v>
      </c>
      <c r="C32" s="16">
        <v>16987</v>
      </c>
      <c r="D32" s="16">
        <v>2391</v>
      </c>
      <c r="E32" s="16">
        <v>96.4</v>
      </c>
      <c r="F32" s="16">
        <v>2503</v>
      </c>
      <c r="G32" s="16">
        <v>247.94</v>
      </c>
      <c r="H32" s="29">
        <f t="shared" si="1"/>
        <v>0.14075469476658622</v>
      </c>
      <c r="I32" s="16">
        <v>21050</v>
      </c>
      <c r="J32" s="16">
        <v>16000</v>
      </c>
      <c r="K32" s="16">
        <f t="shared" si="2"/>
        <v>84.899572477212232</v>
      </c>
      <c r="L32" s="16">
        <f t="shared" si="3"/>
        <v>64.531741550375088</v>
      </c>
      <c r="M32" s="10">
        <v>221</v>
      </c>
      <c r="N32" s="23">
        <f t="shared" si="4"/>
        <v>0.89134468016455592</v>
      </c>
    </row>
    <row r="33" spans="2:22" thickBot="1">
      <c r="B33" s="30" t="s">
        <v>76</v>
      </c>
      <c r="C33" s="31">
        <v>19126</v>
      </c>
      <c r="D33" s="31">
        <v>2999</v>
      </c>
      <c r="E33" s="31">
        <v>96.4</v>
      </c>
      <c r="F33" s="31">
        <v>2996</v>
      </c>
      <c r="G33" s="31">
        <v>311</v>
      </c>
      <c r="H33" s="32">
        <f t="shared" si="1"/>
        <v>0.15680225870542716</v>
      </c>
      <c r="I33" s="31">
        <v>26650</v>
      </c>
      <c r="J33" s="31">
        <v>17880</v>
      </c>
      <c r="K33" s="31">
        <f t="shared" si="2"/>
        <v>85.691318327974273</v>
      </c>
      <c r="L33" s="31">
        <f t="shared" si="3"/>
        <v>57.491961414791</v>
      </c>
      <c r="M33" s="7">
        <v>147</v>
      </c>
      <c r="N33" s="33">
        <f t="shared" si="4"/>
        <v>0.47266881028938906</v>
      </c>
    </row>
    <row r="34" spans="2:22" ht="15.6" thickTop="1" thickBot="1">
      <c r="B34" s="30" t="s">
        <v>77</v>
      </c>
      <c r="C34" s="16">
        <v>24394</v>
      </c>
      <c r="D34" s="16">
        <v>3933</v>
      </c>
      <c r="E34" s="16">
        <v>96.4</v>
      </c>
      <c r="F34" s="16">
        <v>3245</v>
      </c>
      <c r="G34" s="16">
        <v>41</v>
      </c>
      <c r="H34" s="32">
        <f t="shared" si="1"/>
        <v>0.16122817086168731</v>
      </c>
      <c r="I34" s="16">
        <v>2769</v>
      </c>
      <c r="J34" s="16">
        <v>1600</v>
      </c>
      <c r="K34" s="31"/>
      <c r="L34" s="31"/>
      <c r="N34" s="33"/>
    </row>
    <row r="35" spans="2:22" thickTop="1">
      <c r="B35" s="34"/>
      <c r="C35" s="29"/>
    </row>
    <row r="36" spans="2:22" ht="14.4">
      <c r="B36" s="25" t="s">
        <v>42</v>
      </c>
      <c r="C36" s="26" t="s">
        <v>43</v>
      </c>
      <c r="D36" s="26" t="s">
        <v>44</v>
      </c>
      <c r="E36" s="26" t="s">
        <v>7</v>
      </c>
      <c r="F36" s="26" t="s">
        <v>45</v>
      </c>
      <c r="G36" s="26" t="s">
        <v>46</v>
      </c>
      <c r="H36" s="26" t="s">
        <v>47</v>
      </c>
      <c r="I36" s="26" t="s">
        <v>48</v>
      </c>
      <c r="J36" s="26" t="s">
        <v>49</v>
      </c>
      <c r="K36" s="26" t="s">
        <v>50</v>
      </c>
      <c r="L36" s="26" t="s">
        <v>51</v>
      </c>
      <c r="M36" s="26" t="s">
        <v>52</v>
      </c>
      <c r="N36" s="26" t="s">
        <v>53</v>
      </c>
    </row>
    <row r="37" spans="2:22" ht="14.4">
      <c r="B37" s="27" t="s">
        <v>78</v>
      </c>
      <c r="C37" s="35">
        <f t="shared" ref="C37:G37" si="5">(C33/C13)^(1/20)-1</f>
        <v>0.11499735481453288</v>
      </c>
      <c r="D37" s="35">
        <f t="shared" si="5"/>
        <v>0.12939128361716867</v>
      </c>
      <c r="E37" s="35">
        <f t="shared" si="5"/>
        <v>-1.0372314255935322E-5</v>
      </c>
      <c r="F37" s="35">
        <f t="shared" si="5"/>
        <v>0.13487047878774638</v>
      </c>
      <c r="G37" s="35">
        <f t="shared" si="5"/>
        <v>0.12937414902596345</v>
      </c>
      <c r="H37" s="35">
        <f>MEDIAN(H13:H33)</f>
        <v>0.12379630814511486</v>
      </c>
      <c r="I37" s="35">
        <f t="shared" ref="I37:J37" si="6">(I33/I13)^(1/20)-1</f>
        <v>0.1983194151753247</v>
      </c>
      <c r="J37" s="35">
        <f t="shared" si="6"/>
        <v>0.19579532329154814</v>
      </c>
      <c r="K37" s="36">
        <f t="shared" ref="K37:L37" si="7">MEDIAN(K13:K33)</f>
        <v>50.615776301027012</v>
      </c>
      <c r="L37" s="36">
        <f t="shared" si="7"/>
        <v>36.917066818588751</v>
      </c>
      <c r="M37" s="10">
        <f>SUM(M17:M33)</f>
        <v>1701</v>
      </c>
      <c r="N37" s="35">
        <f>MEDIAN(N13:N33)</f>
        <v>0.6</v>
      </c>
    </row>
    <row r="38" spans="2:22" ht="14.4">
      <c r="B38" s="27" t="s">
        <v>79</v>
      </c>
      <c r="C38" s="35">
        <f t="shared" ref="C38:G38" si="8">(C33/C23)^(1/10)-1</f>
        <v>7.7093152972414813E-2</v>
      </c>
      <c r="D38" s="35">
        <f t="shared" si="8"/>
        <v>0.10379208391144079</v>
      </c>
      <c r="E38" s="35">
        <f t="shared" si="8"/>
        <v>-2.074452092704071E-5</v>
      </c>
      <c r="F38" s="35">
        <f t="shared" si="8"/>
        <v>2.803296422587831E-2</v>
      </c>
      <c r="G38" s="35">
        <f t="shared" si="8"/>
        <v>0.10377089526805494</v>
      </c>
      <c r="H38" s="35">
        <f>MEDIAN(H23:H33)</f>
        <v>0.13911380559059283</v>
      </c>
      <c r="I38" s="35">
        <f t="shared" ref="I38:J38" si="9">(I33/I23)^(1/10)-1</f>
        <v>0.16344010533877751</v>
      </c>
      <c r="J38" s="35">
        <f t="shared" si="9"/>
        <v>0.15025172304728796</v>
      </c>
      <c r="K38" s="36">
        <f t="shared" ref="K38:L38" si="10">MEDIAN(K23:K33)</f>
        <v>74.162913647934204</v>
      </c>
      <c r="L38" s="36">
        <f t="shared" si="10"/>
        <v>49.08997454474251</v>
      </c>
      <c r="M38" s="16">
        <f>SUM(M23:M33)</f>
        <v>1450.5</v>
      </c>
      <c r="N38" s="35">
        <f>MEDIAN(N23:N33)</f>
        <v>0.68</v>
      </c>
    </row>
    <row r="39" spans="2:22" ht="14.4">
      <c r="B39" s="27" t="s">
        <v>80</v>
      </c>
      <c r="C39" s="35">
        <f t="shared" ref="C39:G39" si="11">(C33/C28)^(1/5)-1</f>
        <v>0.10611297005718123</v>
      </c>
      <c r="D39" s="35">
        <f t="shared" si="11"/>
        <v>0.1329112812254043</v>
      </c>
      <c r="E39" s="35">
        <f t="shared" si="11"/>
        <v>-4.1488611518980534E-5</v>
      </c>
      <c r="F39" s="35">
        <f t="shared" si="11"/>
        <v>-3.4845580475571403E-2</v>
      </c>
      <c r="G39" s="35">
        <f t="shared" si="11"/>
        <v>0.13287134210232066</v>
      </c>
      <c r="H39" s="35">
        <f>MEDIAN(H28:H33)</f>
        <v>0.15089207020695883</v>
      </c>
      <c r="I39" s="35">
        <f t="shared" ref="I39:J39" si="12">(I33/I28)^(1/5)-1</f>
        <v>0.17896767875622221</v>
      </c>
      <c r="J39" s="35">
        <f t="shared" si="12"/>
        <v>0.21020244999283944</v>
      </c>
      <c r="K39" s="36">
        <f t="shared" ref="K39:L39" si="13">MEDIAN(K28:K33)</f>
        <v>85.295445402593259</v>
      </c>
      <c r="L39" s="36">
        <f t="shared" si="13"/>
        <v>56.986721448136237</v>
      </c>
      <c r="M39" s="10">
        <f>SUM(M28:M33)</f>
        <v>1152</v>
      </c>
      <c r="N39" s="35">
        <f>MEDIAN(N28:N33)</f>
        <v>0.81652552717209193</v>
      </c>
    </row>
    <row r="40" spans="2:22" thickBot="1">
      <c r="B40" s="30" t="s">
        <v>81</v>
      </c>
      <c r="C40" s="37">
        <f t="shared" ref="C40:G40" si="14">(C33/C32)-1</f>
        <v>0.12591982103961863</v>
      </c>
      <c r="D40" s="37">
        <f t="shared" si="14"/>
        <v>0.25428690924299446</v>
      </c>
      <c r="E40" s="37">
        <f t="shared" si="14"/>
        <v>0</v>
      </c>
      <c r="F40" s="37">
        <f t="shared" si="14"/>
        <v>0.19696364362764673</v>
      </c>
      <c r="G40" s="37">
        <f t="shared" si="14"/>
        <v>0.25433572638541579</v>
      </c>
      <c r="H40" s="37">
        <f>H33</f>
        <v>0.15680225870542716</v>
      </c>
      <c r="I40" s="37">
        <f t="shared" ref="I40:J40" si="15">(I33/I32)-1</f>
        <v>0.26603325415676959</v>
      </c>
      <c r="J40" s="37">
        <f t="shared" si="15"/>
        <v>0.11749999999999994</v>
      </c>
      <c r="K40" s="38">
        <f t="shared" ref="K40:N40" si="16">K33</f>
        <v>85.691318327974273</v>
      </c>
      <c r="L40" s="38">
        <f t="shared" si="16"/>
        <v>57.491961414791</v>
      </c>
      <c r="M40" s="7">
        <f t="shared" si="16"/>
        <v>147</v>
      </c>
      <c r="N40" s="33">
        <f t="shared" si="16"/>
        <v>0.47266881028938906</v>
      </c>
      <c r="O40" s="29"/>
    </row>
    <row r="41" spans="2:22" thickTop="1">
      <c r="B41" s="10"/>
      <c r="E41" s="29"/>
      <c r="J41" s="29"/>
      <c r="O41" s="29"/>
    </row>
    <row r="42" spans="2:22" ht="18">
      <c r="B42" s="39" t="s">
        <v>82</v>
      </c>
      <c r="C42" s="39" t="s">
        <v>83</v>
      </c>
      <c r="D42" s="39" t="s">
        <v>84</v>
      </c>
      <c r="E42" s="39" t="s">
        <v>85</v>
      </c>
      <c r="F42" s="39" t="s">
        <v>86</v>
      </c>
      <c r="G42" s="39" t="s">
        <v>87</v>
      </c>
    </row>
    <row r="43" spans="2:22" ht="18.600000000000001" thickBot="1">
      <c r="B43" s="40" t="s">
        <v>46</v>
      </c>
      <c r="C43" s="41">
        <v>7.64</v>
      </c>
      <c r="D43" s="41">
        <v>7.24</v>
      </c>
      <c r="E43" s="41">
        <v>6.8</v>
      </c>
      <c r="F43" s="41">
        <v>9.69</v>
      </c>
      <c r="G43" s="42">
        <f>SUM(C43:F43)</f>
        <v>31.369999999999997</v>
      </c>
      <c r="I43" s="43" t="s">
        <v>88</v>
      </c>
      <c r="J43" s="44" t="s">
        <v>89</v>
      </c>
      <c r="K43" s="44" t="s">
        <v>90</v>
      </c>
      <c r="L43" s="44" t="s">
        <v>91</v>
      </c>
      <c r="N43" s="24" t="s">
        <v>92</v>
      </c>
      <c r="O43" s="26" t="s">
        <v>93</v>
      </c>
      <c r="P43" s="26" t="s">
        <v>94</v>
      </c>
      <c r="Q43" s="26" t="s">
        <v>91</v>
      </c>
      <c r="S43" s="43" t="s">
        <v>88</v>
      </c>
      <c r="T43" s="44" t="s">
        <v>95</v>
      </c>
      <c r="U43" s="44" t="s">
        <v>96</v>
      </c>
      <c r="V43" s="44" t="s">
        <v>91</v>
      </c>
    </row>
    <row r="44" spans="2:22" thickTop="1">
      <c r="C44" s="16"/>
      <c r="D44" s="16"/>
      <c r="E44" s="29"/>
      <c r="I44" s="45" t="s">
        <v>97</v>
      </c>
      <c r="J44" s="46">
        <v>5021</v>
      </c>
      <c r="K44" s="46">
        <v>4612</v>
      </c>
      <c r="L44" s="47">
        <f t="shared" ref="L44:L48" si="17">(J44/K44)^(1/1)-1</f>
        <v>8.8681699913269796E-2</v>
      </c>
      <c r="N44" s="34" t="s">
        <v>97</v>
      </c>
      <c r="O44" s="10">
        <v>19126</v>
      </c>
      <c r="P44" s="10">
        <v>16897</v>
      </c>
      <c r="Q44" s="48">
        <f t="shared" ref="Q44:Q48" si="18">(O44/P44)^(1/1)-1</f>
        <v>0.13191690832692204</v>
      </c>
      <c r="S44" s="45" t="s">
        <v>97</v>
      </c>
      <c r="T44" s="46">
        <v>14526</v>
      </c>
      <c r="U44" s="46">
        <v>12640</v>
      </c>
      <c r="V44" s="47">
        <f t="shared" ref="V44:V48" si="19">(T44/U44)^(1/1)-1</f>
        <v>0.14920886075949369</v>
      </c>
    </row>
    <row r="45" spans="2:22" ht="18">
      <c r="B45" s="49" t="s">
        <v>98</v>
      </c>
      <c r="C45" s="39" t="s">
        <v>99</v>
      </c>
      <c r="D45" s="39" t="s">
        <v>95</v>
      </c>
      <c r="E45" s="39" t="s">
        <v>93</v>
      </c>
      <c r="F45" s="39" t="s">
        <v>86</v>
      </c>
      <c r="G45" s="39" t="s">
        <v>100</v>
      </c>
      <c r="I45" s="45" t="s">
        <v>101</v>
      </c>
      <c r="J45" s="46">
        <v>26</v>
      </c>
      <c r="K45" s="46">
        <v>37</v>
      </c>
      <c r="L45" s="47">
        <f t="shared" si="17"/>
        <v>-0.29729729729729726</v>
      </c>
      <c r="N45" s="34" t="s">
        <v>101</v>
      </c>
      <c r="O45" s="10">
        <v>119</v>
      </c>
      <c r="P45" s="10">
        <v>115</v>
      </c>
      <c r="Q45" s="48">
        <f t="shared" si="18"/>
        <v>3.4782608695652195E-2</v>
      </c>
      <c r="S45" s="45" t="s">
        <v>101</v>
      </c>
      <c r="T45" s="46">
        <v>101</v>
      </c>
      <c r="U45" s="46">
        <v>110</v>
      </c>
      <c r="V45" s="47">
        <f t="shared" si="19"/>
        <v>-8.181818181818179E-2</v>
      </c>
    </row>
    <row r="46" spans="2:22" ht="14.4">
      <c r="B46" s="50" t="s">
        <v>102</v>
      </c>
      <c r="C46" s="51">
        <f>(9489/8038)-1</f>
        <v>0.18051754167703415</v>
      </c>
      <c r="D46" s="51">
        <v>0.14899999999999999</v>
      </c>
      <c r="E46" s="51">
        <v>0.13200000000000001</v>
      </c>
      <c r="F46" s="51">
        <v>8.8999999999999996E-2</v>
      </c>
      <c r="G46" s="51">
        <v>0.08</v>
      </c>
      <c r="I46" s="45" t="s">
        <v>103</v>
      </c>
      <c r="J46" s="46">
        <v>4053</v>
      </c>
      <c r="K46" s="46">
        <v>3873</v>
      </c>
      <c r="L46" s="47">
        <f t="shared" si="17"/>
        <v>4.6475600309837439E-2</v>
      </c>
      <c r="N46" s="34" t="s">
        <v>103</v>
      </c>
      <c r="O46" s="10">
        <v>15204</v>
      </c>
      <c r="P46" s="10">
        <v>13742</v>
      </c>
      <c r="Q46" s="48">
        <f t="shared" si="18"/>
        <v>0.10638917188182218</v>
      </c>
      <c r="S46" s="45" t="s">
        <v>103</v>
      </c>
      <c r="T46" s="46">
        <v>11571</v>
      </c>
      <c r="U46" s="46">
        <v>10315</v>
      </c>
      <c r="V46" s="47">
        <f t="shared" si="19"/>
        <v>0.12176442074648564</v>
      </c>
    </row>
    <row r="47" spans="2:22" ht="14.4">
      <c r="B47" s="52" t="s">
        <v>104</v>
      </c>
      <c r="C47" s="51">
        <f>(1435/1101)-1</f>
        <v>0.30336058128973664</v>
      </c>
      <c r="D47" s="51">
        <v>0.32900000000000001</v>
      </c>
      <c r="E47" s="51">
        <v>0.254</v>
      </c>
      <c r="F47" s="51">
        <v>0.26900000000000002</v>
      </c>
      <c r="G47" s="51">
        <v>0.28100000000000003</v>
      </c>
      <c r="I47" s="45" t="s">
        <v>105</v>
      </c>
      <c r="J47" s="46">
        <v>934</v>
      </c>
      <c r="K47" s="46">
        <v>736</v>
      </c>
      <c r="L47" s="47">
        <f t="shared" si="17"/>
        <v>0.26902173913043481</v>
      </c>
      <c r="N47" s="34" t="s">
        <v>105</v>
      </c>
      <c r="O47" s="10">
        <v>2999</v>
      </c>
      <c r="P47" s="10">
        <v>2391</v>
      </c>
      <c r="Q47" s="48">
        <f t="shared" si="18"/>
        <v>0.25428690924299446</v>
      </c>
      <c r="S47" s="45" t="s">
        <v>105</v>
      </c>
      <c r="T47" s="46">
        <v>2343</v>
      </c>
      <c r="U47" s="46">
        <v>1763</v>
      </c>
      <c r="V47" s="47">
        <f t="shared" si="19"/>
        <v>0.32898468519568924</v>
      </c>
    </row>
    <row r="48" spans="2:22" thickBot="1">
      <c r="B48" s="53" t="s">
        <v>106</v>
      </c>
      <c r="C48" s="32">
        <f>1435/9489</f>
        <v>0.15122773738012435</v>
      </c>
      <c r="D48" s="32">
        <v>0.161</v>
      </c>
      <c r="E48" s="32">
        <v>0.157</v>
      </c>
      <c r="F48" s="32">
        <v>0.186</v>
      </c>
      <c r="G48" s="32">
        <v>0.186</v>
      </c>
      <c r="I48" s="45" t="s">
        <v>46</v>
      </c>
      <c r="J48" s="46">
        <v>9.69</v>
      </c>
      <c r="K48" s="46">
        <v>7.64</v>
      </c>
      <c r="L48" s="47">
        <f t="shared" si="17"/>
        <v>0.26832460732984287</v>
      </c>
      <c r="N48" s="34" t="s">
        <v>46</v>
      </c>
      <c r="O48" s="10">
        <v>31.1</v>
      </c>
      <c r="P48" s="10">
        <v>24.17</v>
      </c>
      <c r="Q48" s="48">
        <f t="shared" si="18"/>
        <v>0.28671907323127832</v>
      </c>
      <c r="S48" s="45" t="s">
        <v>46</v>
      </c>
      <c r="T48" s="46">
        <v>243</v>
      </c>
      <c r="U48" s="46">
        <v>183</v>
      </c>
      <c r="V48" s="47">
        <f t="shared" si="19"/>
        <v>0.32786885245901631</v>
      </c>
    </row>
    <row r="49" spans="2:22" thickTop="1">
      <c r="I49" s="45" t="s">
        <v>107</v>
      </c>
      <c r="J49" s="54">
        <f t="shared" ref="J49:K49" si="20">J47/J44</f>
        <v>0.18601872137024497</v>
      </c>
      <c r="K49" s="54">
        <f t="shared" si="20"/>
        <v>0.15958369470945361</v>
      </c>
      <c r="L49" s="47">
        <f t="shared" ref="L49:L50" si="21">J49-K49</f>
        <v>2.6435026660791366E-2</v>
      </c>
      <c r="N49" s="34" t="s">
        <v>107</v>
      </c>
      <c r="O49" s="29">
        <f t="shared" ref="O49:P49" si="22">O47/O44</f>
        <v>0.15680225870542716</v>
      </c>
      <c r="P49" s="29">
        <f t="shared" si="22"/>
        <v>0.14150440906669823</v>
      </c>
      <c r="Q49" s="48">
        <f t="shared" ref="Q49:Q50" si="23">O49-P49</f>
        <v>1.5297849638728933E-2</v>
      </c>
      <c r="S49" s="45" t="s">
        <v>107</v>
      </c>
      <c r="T49" s="54">
        <f t="shared" ref="T49:U49" si="24">T47/T44</f>
        <v>0.16129698471705906</v>
      </c>
      <c r="U49" s="54">
        <f t="shared" si="24"/>
        <v>0.13947784810126582</v>
      </c>
      <c r="V49" s="47">
        <f t="shared" ref="V49:V50" si="25">T49-U49</f>
        <v>2.1819136615793239E-2</v>
      </c>
    </row>
    <row r="50" spans="2:22" ht="18.600000000000001" thickBot="1">
      <c r="B50" s="24" t="s">
        <v>108</v>
      </c>
      <c r="C50" s="26" t="s">
        <v>43</v>
      </c>
      <c r="D50" s="26" t="s">
        <v>44</v>
      </c>
      <c r="E50" s="26" t="s">
        <v>46</v>
      </c>
      <c r="F50" s="26" t="s">
        <v>106</v>
      </c>
      <c r="I50" s="45" t="s">
        <v>32</v>
      </c>
      <c r="J50" s="55">
        <f t="shared" ref="J50:K50" si="26">(J44-J46+J45)/J45</f>
        <v>38.230769230769234</v>
      </c>
      <c r="K50" s="55">
        <f t="shared" si="26"/>
        <v>20.972972972972972</v>
      </c>
      <c r="L50" s="56">
        <f t="shared" si="21"/>
        <v>17.257796257796262</v>
      </c>
      <c r="N50" s="57" t="s">
        <v>32</v>
      </c>
      <c r="O50" s="31">
        <f t="shared" ref="O50:P50" si="27">(O44-O46+O45)/O45</f>
        <v>33.957983193277308</v>
      </c>
      <c r="P50" s="31">
        <f t="shared" si="27"/>
        <v>28.434782608695652</v>
      </c>
      <c r="Q50" s="58">
        <f t="shared" si="23"/>
        <v>5.5232005845816552</v>
      </c>
      <c r="S50" s="45" t="s">
        <v>32</v>
      </c>
      <c r="T50" s="55">
        <f t="shared" ref="T50:U50" si="28">(T44-T46+T45)/T45</f>
        <v>30.257425742574256</v>
      </c>
      <c r="U50" s="55">
        <f t="shared" si="28"/>
        <v>22.136363636363637</v>
      </c>
      <c r="V50" s="56">
        <f t="shared" si="25"/>
        <v>8.1210621062106192</v>
      </c>
    </row>
    <row r="51" spans="2:22" thickTop="1">
      <c r="B51" s="27" t="s">
        <v>109</v>
      </c>
      <c r="C51" s="59">
        <v>0.12</v>
      </c>
      <c r="D51" s="59">
        <v>0.12</v>
      </c>
      <c r="E51" s="59">
        <v>0.12</v>
      </c>
      <c r="F51" s="59">
        <f>AVERAGE(H37:H40)</f>
        <v>0.14265111066202343</v>
      </c>
      <c r="I51" s="60"/>
      <c r="J51" s="61"/>
      <c r="K51" s="61"/>
      <c r="L51" s="62"/>
      <c r="N51" s="60"/>
      <c r="O51" s="61"/>
      <c r="P51" s="61"/>
      <c r="Q51" s="62"/>
      <c r="S51" s="60"/>
      <c r="T51" s="61"/>
      <c r="U51" s="61"/>
      <c r="V51" s="62"/>
    </row>
    <row r="52" spans="2:22" thickBot="1">
      <c r="B52" s="30" t="s">
        <v>110</v>
      </c>
      <c r="C52" s="63">
        <v>0.08</v>
      </c>
      <c r="D52" s="63">
        <f>(D55/D33)-1</f>
        <v>0.28110399466488833</v>
      </c>
      <c r="E52" s="63">
        <v>0.28100000000000003</v>
      </c>
      <c r="F52" s="63">
        <f>G48</f>
        <v>0.186</v>
      </c>
      <c r="I52" s="34" t="s">
        <v>111</v>
      </c>
      <c r="J52" s="10" t="s">
        <v>112</v>
      </c>
      <c r="L52" s="35">
        <v>0.66</v>
      </c>
      <c r="N52" s="34" t="s">
        <v>111</v>
      </c>
      <c r="O52" s="10" t="s">
        <v>112</v>
      </c>
      <c r="Q52" s="35">
        <v>0.66</v>
      </c>
      <c r="S52" s="34" t="s">
        <v>111</v>
      </c>
      <c r="T52" s="10" t="s">
        <v>112</v>
      </c>
      <c r="V52" s="35">
        <v>0.66</v>
      </c>
    </row>
    <row r="53" spans="2:22" thickTop="1">
      <c r="B53" s="34"/>
      <c r="D53" s="29"/>
    </row>
    <row r="54" spans="2:22" ht="18">
      <c r="B54" s="24" t="s">
        <v>113</v>
      </c>
      <c r="C54" s="26" t="s">
        <v>43</v>
      </c>
      <c r="D54" s="26" t="s">
        <v>44</v>
      </c>
      <c r="E54" s="26" t="s">
        <v>46</v>
      </c>
      <c r="F54" s="26" t="s">
        <v>114</v>
      </c>
      <c r="G54" s="26" t="s">
        <v>115</v>
      </c>
      <c r="I54" s="64" t="s">
        <v>116</v>
      </c>
      <c r="J54" s="65" t="s">
        <v>117</v>
      </c>
      <c r="K54" s="65" t="s">
        <v>118</v>
      </c>
      <c r="L54" s="65" t="s">
        <v>119</v>
      </c>
      <c r="N54" s="39" t="s">
        <v>120</v>
      </c>
      <c r="O54" s="44" t="s">
        <v>89</v>
      </c>
      <c r="P54" s="44" t="s">
        <v>90</v>
      </c>
      <c r="Q54" s="44" t="s">
        <v>121</v>
      </c>
      <c r="R54" s="44" t="s">
        <v>91</v>
      </c>
    </row>
    <row r="55" spans="2:22" ht="14.4">
      <c r="B55" s="27" t="s">
        <v>122</v>
      </c>
      <c r="C55" s="66">
        <f>FV(C52,1,0,-C33,0)</f>
        <v>20656.080000000002</v>
      </c>
      <c r="D55" s="66">
        <f>C55*F52</f>
        <v>3842.0308800000003</v>
      </c>
      <c r="E55" s="66">
        <f>FV(E52,1,0,-G33,0)/10</f>
        <v>39.839100000000002</v>
      </c>
      <c r="F55" s="67">
        <f t="shared" ref="F55:F57" si="29">E55*50</f>
        <v>1991.9550000000002</v>
      </c>
      <c r="G55" s="67">
        <f t="shared" ref="G55:G57" si="30">E55*65%</f>
        <v>25.895415000000003</v>
      </c>
      <c r="I55" s="68">
        <v>31.1</v>
      </c>
      <c r="J55" s="69">
        <v>31.4</v>
      </c>
      <c r="K55" s="70">
        <v>40</v>
      </c>
      <c r="L55" s="71">
        <f ca="1">J57/27</f>
        <v>2.9488086812927579</v>
      </c>
      <c r="N55" s="46" t="s">
        <v>123</v>
      </c>
      <c r="O55" s="46">
        <v>2162</v>
      </c>
      <c r="P55" s="46">
        <v>2183</v>
      </c>
      <c r="Q55" s="47">
        <f t="shared" ref="Q55:Q64" si="31">O55/$O$66</f>
        <v>0.53343202566000492</v>
      </c>
      <c r="R55" s="72">
        <f t="shared" ref="R55:R64" si="32">(O55/P55)^(1/1)-1</f>
        <v>-9.6197892808062013E-3</v>
      </c>
    </row>
    <row r="56" spans="2:22" ht="18">
      <c r="B56" s="27" t="s">
        <v>124</v>
      </c>
      <c r="C56" s="66">
        <f>FV(C51,6,0,-C55,0)</f>
        <v>40771.439290975541</v>
      </c>
      <c r="D56" s="66">
        <f>C56*F51</f>
        <v>5816.0910981469224</v>
      </c>
      <c r="E56" s="66">
        <f>(D56*E55)/D55</f>
        <v>60.308686240487752</v>
      </c>
      <c r="F56" s="67">
        <f t="shared" si="29"/>
        <v>3015.4343120243875</v>
      </c>
      <c r="G56" s="67">
        <f t="shared" si="30"/>
        <v>39.200646056317041</v>
      </c>
      <c r="I56" s="73" t="s">
        <v>125</v>
      </c>
      <c r="J56" s="74" t="s">
        <v>126</v>
      </c>
      <c r="K56" s="74" t="s">
        <v>127</v>
      </c>
      <c r="L56" s="75"/>
      <c r="N56" s="46" t="s">
        <v>128</v>
      </c>
      <c r="O56" s="55">
        <v>1162</v>
      </c>
      <c r="P56" s="55">
        <v>1120</v>
      </c>
      <c r="Q56" s="47">
        <f t="shared" si="31"/>
        <v>0.28670120898100171</v>
      </c>
      <c r="R56" s="72">
        <f t="shared" si="32"/>
        <v>3.7500000000000089E-2</v>
      </c>
    </row>
    <row r="57" spans="2:22" thickBot="1">
      <c r="B57" s="30" t="s">
        <v>129</v>
      </c>
      <c r="C57" s="76">
        <f t="shared" ref="C57:E57" si="33">FV(C51,5,0,-C56,0)</f>
        <v>71853.206946544466</v>
      </c>
      <c r="D57" s="76">
        <f t="shared" si="33"/>
        <v>10249.939775552786</v>
      </c>
      <c r="E57" s="76">
        <f t="shared" si="33"/>
        <v>106.28451162064189</v>
      </c>
      <c r="F57" s="77">
        <f t="shared" si="29"/>
        <v>5314.2255810320949</v>
      </c>
      <c r="G57" s="77">
        <f t="shared" si="30"/>
        <v>69.084932553417232</v>
      </c>
      <c r="I57" s="78">
        <f>1960/I55</f>
        <v>63.022508038585208</v>
      </c>
      <c r="J57" s="79">
        <f ca="1">C3/J55</f>
        <v>79.617834394904463</v>
      </c>
      <c r="K57" s="80">
        <f ca="1">C3/K55</f>
        <v>62.5</v>
      </c>
      <c r="L57" s="75"/>
      <c r="N57" s="46" t="s">
        <v>130</v>
      </c>
      <c r="O57" s="46">
        <v>486</v>
      </c>
      <c r="P57" s="46">
        <v>454</v>
      </c>
      <c r="Q57" s="47">
        <f t="shared" si="31"/>
        <v>0.11991117690599556</v>
      </c>
      <c r="R57" s="72">
        <f t="shared" si="32"/>
        <v>7.0484581497797461E-2</v>
      </c>
    </row>
    <row r="58" spans="2:22" thickTop="1">
      <c r="N58" s="46" t="s">
        <v>131</v>
      </c>
      <c r="O58" s="46">
        <v>108</v>
      </c>
      <c r="P58" s="46">
        <v>101</v>
      </c>
      <c r="Q58" s="47">
        <f t="shared" si="31"/>
        <v>2.6646928201332347E-2</v>
      </c>
      <c r="R58" s="72">
        <f t="shared" si="32"/>
        <v>6.9306930693069368E-2</v>
      </c>
    </row>
    <row r="59" spans="2:22" ht="14.4">
      <c r="I59" s="81" t="s">
        <v>132</v>
      </c>
      <c r="J59" s="44" t="s">
        <v>89</v>
      </c>
      <c r="N59" s="46" t="s">
        <v>133</v>
      </c>
      <c r="O59" s="46">
        <v>120</v>
      </c>
      <c r="P59" s="46">
        <v>100</v>
      </c>
      <c r="Q59" s="47">
        <f t="shared" si="31"/>
        <v>2.9607698001480384E-2</v>
      </c>
      <c r="R59" s="72">
        <f t="shared" si="32"/>
        <v>0.19999999999999996</v>
      </c>
    </row>
    <row r="60" spans="2:22" ht="14.4">
      <c r="I60" s="10" t="s">
        <v>134</v>
      </c>
      <c r="J60" s="23">
        <v>0.40799999999999997</v>
      </c>
      <c r="N60" s="46" t="s">
        <v>135</v>
      </c>
      <c r="O60" s="46">
        <v>26</v>
      </c>
      <c r="P60" s="46">
        <v>37</v>
      </c>
      <c r="Q60" s="47">
        <f t="shared" si="31"/>
        <v>6.4150012336540831E-3</v>
      </c>
      <c r="R60" s="72">
        <f t="shared" si="32"/>
        <v>-0.29729729729729726</v>
      </c>
    </row>
    <row r="61" spans="2:22" ht="14.4">
      <c r="I61" s="10" t="s">
        <v>136</v>
      </c>
      <c r="J61" s="23">
        <v>0.30499999999999999</v>
      </c>
      <c r="N61" s="46" t="s">
        <v>137</v>
      </c>
      <c r="O61" s="46">
        <v>4</v>
      </c>
      <c r="P61" s="46">
        <v>14</v>
      </c>
      <c r="Q61" s="47">
        <f t="shared" si="31"/>
        <v>9.8692326671601278E-4</v>
      </c>
      <c r="R61" s="72">
        <f t="shared" si="32"/>
        <v>-0.7142857142857143</v>
      </c>
    </row>
    <row r="62" spans="2:22" ht="14.4">
      <c r="B62" s="34"/>
      <c r="I62" s="10" t="s">
        <v>138</v>
      </c>
      <c r="J62" s="23">
        <v>0.16300000000000001</v>
      </c>
      <c r="N62" s="46" t="s">
        <v>139</v>
      </c>
      <c r="O62" s="46">
        <v>-11</v>
      </c>
      <c r="P62" s="46">
        <v>3</v>
      </c>
      <c r="Q62" s="47">
        <f t="shared" si="31"/>
        <v>-2.7140389834690352E-3</v>
      </c>
      <c r="R62" s="72">
        <f t="shared" si="32"/>
        <v>-4.6666666666666661</v>
      </c>
    </row>
    <row r="63" spans="2:22" thickBot="1">
      <c r="B63" s="34"/>
      <c r="I63" s="7" t="s">
        <v>140</v>
      </c>
      <c r="J63" s="33">
        <v>0.124</v>
      </c>
      <c r="N63" s="46" t="s">
        <v>141</v>
      </c>
      <c r="O63" s="46">
        <v>1</v>
      </c>
      <c r="P63" s="46">
        <v>11</v>
      </c>
      <c r="Q63" s="47">
        <f t="shared" si="31"/>
        <v>2.467308166790032E-4</v>
      </c>
      <c r="R63" s="72">
        <f t="shared" si="32"/>
        <v>-0.90909090909090906</v>
      </c>
    </row>
    <row r="64" spans="2:22" ht="15.6" thickTop="1" thickBot="1">
      <c r="B64" s="34"/>
      <c r="J64" s="23"/>
      <c r="N64" s="46" t="s">
        <v>142</v>
      </c>
      <c r="O64" s="46">
        <v>-5</v>
      </c>
      <c r="P64" s="46">
        <v>-51</v>
      </c>
      <c r="Q64" s="47">
        <f t="shared" si="31"/>
        <v>-1.233654083395016E-3</v>
      </c>
      <c r="R64" s="72">
        <f t="shared" si="32"/>
        <v>-0.90196078431372551</v>
      </c>
    </row>
    <row r="65" spans="2:18" ht="15.6" thickTop="1" thickBot="1">
      <c r="B65" s="34"/>
      <c r="I65" s="82" t="s">
        <v>143</v>
      </c>
      <c r="J65" s="83">
        <f>SUM(J60:J63)</f>
        <v>1</v>
      </c>
      <c r="Q65" s="84"/>
      <c r="R65" s="84"/>
    </row>
    <row r="66" spans="2:18" thickTop="1">
      <c r="B66" s="34"/>
      <c r="N66" s="85" t="s">
        <v>143</v>
      </c>
      <c r="O66" s="85">
        <f t="shared" ref="O66:P66" si="34">SUM(O55:O64)</f>
        <v>4053</v>
      </c>
      <c r="P66" s="85">
        <f t="shared" si="34"/>
        <v>3972</v>
      </c>
      <c r="Q66" s="86">
        <f>O66/$O$66</f>
        <v>1</v>
      </c>
      <c r="R66" s="87">
        <f>(O66/P66)^(1/1)-1</f>
        <v>2.0392749244712904E-2</v>
      </c>
    </row>
    <row r="67" spans="2:18" ht="18">
      <c r="B67" s="34"/>
      <c r="I67" s="39" t="s">
        <v>144</v>
      </c>
      <c r="O67" s="10"/>
    </row>
    <row r="68" spans="2:18" ht="14.4">
      <c r="B68" s="34"/>
      <c r="I68" s="88" t="s">
        <v>145</v>
      </c>
      <c r="J68" s="44">
        <v>2022</v>
      </c>
      <c r="K68" s="44">
        <v>2016</v>
      </c>
      <c r="L68" s="44" t="s">
        <v>91</v>
      </c>
    </row>
    <row r="69" spans="2:18" ht="14.4">
      <c r="B69" s="34"/>
      <c r="I69" s="46" t="s">
        <v>146</v>
      </c>
      <c r="J69" s="46">
        <v>62.76</v>
      </c>
      <c r="K69" s="46">
        <v>62.76</v>
      </c>
      <c r="L69" s="72">
        <f t="shared" ref="L69:L72" si="35">(J69/K69)^(1/1)-1</f>
        <v>0</v>
      </c>
      <c r="O69" s="10"/>
    </row>
    <row r="70" spans="2:18" ht="14.4">
      <c r="B70" s="34"/>
      <c r="I70" s="46" t="s">
        <v>147</v>
      </c>
      <c r="J70" s="55">
        <f>3.88+0.15+0.27+3.82+0.49+1.96</f>
        <v>10.57</v>
      </c>
      <c r="K70" s="55">
        <f>0.87+0.11+4.69+2.17</f>
        <v>7.84</v>
      </c>
      <c r="L70" s="72">
        <f t="shared" si="35"/>
        <v>0.34821428571428581</v>
      </c>
    </row>
    <row r="71" spans="2:18" ht="14.4">
      <c r="B71" s="34"/>
      <c r="I71" s="46" t="s">
        <v>148</v>
      </c>
      <c r="J71" s="46">
        <f>12.01+0.86</f>
        <v>12.87</v>
      </c>
      <c r="K71" s="46">
        <f>14.37+0.67</f>
        <v>15.04</v>
      </c>
      <c r="L71" s="72">
        <f t="shared" si="35"/>
        <v>-0.14428191489361697</v>
      </c>
    </row>
    <row r="72" spans="2:18" ht="14.4">
      <c r="B72" s="34"/>
      <c r="I72" s="46" t="s">
        <v>149</v>
      </c>
      <c r="J72" s="46">
        <f>9.7+3.69</f>
        <v>13.389999999999999</v>
      </c>
      <c r="K72" s="46">
        <f>10.35+3.93</f>
        <v>14.28</v>
      </c>
      <c r="L72" s="72">
        <f t="shared" si="35"/>
        <v>-6.2324929971988796E-2</v>
      </c>
    </row>
    <row r="73" spans="2:18" ht="14.4">
      <c r="B73" s="34"/>
    </row>
    <row r="74" spans="2:18" ht="14.4">
      <c r="B74" s="34"/>
    </row>
    <row r="75" spans="2:18" ht="14.4">
      <c r="B75" s="34"/>
    </row>
    <row r="76" spans="2:18" ht="14.4">
      <c r="B76" s="34"/>
    </row>
    <row r="77" spans="2:18" ht="14.4">
      <c r="B77" s="34"/>
    </row>
    <row r="78" spans="2:18" ht="14.4">
      <c r="B78" s="34"/>
    </row>
    <row r="79" spans="2:18" ht="14.4">
      <c r="B79" s="34"/>
    </row>
    <row r="80" spans="2:18" ht="14.4">
      <c r="B80" s="34"/>
    </row>
    <row r="81" spans="2:2" ht="14.4">
      <c r="B81" s="34"/>
    </row>
    <row r="82" spans="2:2" ht="14.4">
      <c r="B82" s="34"/>
    </row>
    <row r="83" spans="2:2" ht="14.4">
      <c r="B83" s="34"/>
    </row>
    <row r="84" spans="2:2" ht="14.4">
      <c r="B84" s="34"/>
    </row>
    <row r="85" spans="2:2" ht="14.4">
      <c r="B85" s="34"/>
    </row>
    <row r="86" spans="2:2" ht="14.4">
      <c r="B86" s="34"/>
    </row>
    <row r="87" spans="2:2" ht="14.4">
      <c r="B87" s="34"/>
    </row>
    <row r="88" spans="2:2" ht="14.4">
      <c r="B88" s="34"/>
    </row>
    <row r="89" spans="2:2" ht="14.4">
      <c r="B89" s="34"/>
    </row>
    <row r="90" spans="2:2" ht="14.4">
      <c r="B90" s="34"/>
    </row>
    <row r="91" spans="2:2" ht="14.4">
      <c r="B91" s="34"/>
    </row>
    <row r="92" spans="2:2" ht="14.4">
      <c r="B92" s="34"/>
    </row>
    <row r="93" spans="2:2" ht="14.4">
      <c r="B93" s="34"/>
    </row>
    <row r="94" spans="2:2" ht="14.4">
      <c r="B94" s="34"/>
    </row>
    <row r="95" spans="2:2" ht="14.4">
      <c r="B95" s="34"/>
    </row>
    <row r="96" spans="2:2" ht="14.4">
      <c r="B96" s="34"/>
    </row>
    <row r="97" spans="2:2" ht="14.4">
      <c r="B97" s="34"/>
    </row>
    <row r="98" spans="2:2" ht="14.4">
      <c r="B98" s="34"/>
    </row>
    <row r="99" spans="2:2" ht="14.4">
      <c r="B99" s="34"/>
    </row>
    <row r="100" spans="2:2" ht="14.4">
      <c r="B100" s="34"/>
    </row>
    <row r="101" spans="2:2" ht="14.4">
      <c r="B101" s="34"/>
    </row>
    <row r="102" spans="2:2" ht="14.4">
      <c r="B102" s="34"/>
    </row>
    <row r="103" spans="2:2" ht="14.4">
      <c r="B103" s="34"/>
    </row>
    <row r="104" spans="2:2" ht="14.4">
      <c r="B104" s="34"/>
    </row>
    <row r="105" spans="2:2" ht="14.4">
      <c r="B105" s="34"/>
    </row>
    <row r="106" spans="2:2" ht="14.4">
      <c r="B106" s="34"/>
    </row>
    <row r="107" spans="2:2" ht="14.4">
      <c r="B107" s="34"/>
    </row>
    <row r="108" spans="2:2" ht="14.4">
      <c r="B108" s="34"/>
    </row>
    <row r="109" spans="2:2" ht="14.4">
      <c r="B109" s="34"/>
    </row>
    <row r="110" spans="2:2" ht="14.4">
      <c r="B110" s="34"/>
    </row>
    <row r="111" spans="2:2" ht="14.4">
      <c r="B111" s="34"/>
    </row>
    <row r="112" spans="2:2" ht="14.4">
      <c r="B112" s="34"/>
    </row>
    <row r="113" spans="2:2" ht="14.4">
      <c r="B113" s="34"/>
    </row>
    <row r="114" spans="2:2" ht="14.4">
      <c r="B114" s="34"/>
    </row>
    <row r="115" spans="2:2" ht="14.4">
      <c r="B115" s="34"/>
    </row>
    <row r="116" spans="2:2" ht="14.4">
      <c r="B116" s="34"/>
    </row>
    <row r="117" spans="2:2" ht="14.4">
      <c r="B117" s="34"/>
    </row>
    <row r="118" spans="2:2" ht="14.4">
      <c r="B118" s="34"/>
    </row>
    <row r="119" spans="2:2" ht="14.4">
      <c r="B119" s="34"/>
    </row>
    <row r="120" spans="2:2" ht="14.4">
      <c r="B120" s="34"/>
    </row>
    <row r="121" spans="2:2" ht="14.4">
      <c r="B121" s="34"/>
    </row>
    <row r="122" spans="2:2" ht="14.4">
      <c r="B122" s="34"/>
    </row>
    <row r="123" spans="2:2" ht="14.4">
      <c r="B123" s="34"/>
    </row>
    <row r="124" spans="2:2" ht="14.4">
      <c r="B124" s="34"/>
    </row>
    <row r="125" spans="2:2" ht="14.4">
      <c r="B125" s="34"/>
    </row>
    <row r="126" spans="2:2" ht="14.4">
      <c r="B126" s="34"/>
    </row>
    <row r="127" spans="2:2" ht="14.4">
      <c r="B127" s="34"/>
    </row>
    <row r="128" spans="2:2" ht="14.4">
      <c r="B128" s="34"/>
    </row>
    <row r="129" spans="2:2" ht="14.4">
      <c r="B129" s="34"/>
    </row>
    <row r="130" spans="2:2" ht="14.4">
      <c r="B130" s="34"/>
    </row>
    <row r="131" spans="2:2" ht="14.4">
      <c r="B131" s="34"/>
    </row>
    <row r="132" spans="2:2" ht="14.4">
      <c r="B132" s="34"/>
    </row>
    <row r="133" spans="2:2" ht="14.4">
      <c r="B133" s="34"/>
    </row>
    <row r="134" spans="2:2" ht="14.4">
      <c r="B134" s="34"/>
    </row>
    <row r="135" spans="2:2" ht="14.4">
      <c r="B135" s="34"/>
    </row>
    <row r="136" spans="2:2" ht="14.4">
      <c r="B136" s="34"/>
    </row>
    <row r="137" spans="2:2" ht="14.4">
      <c r="B137" s="34"/>
    </row>
    <row r="138" spans="2:2" ht="14.4">
      <c r="B138" s="34"/>
    </row>
    <row r="139" spans="2:2" ht="14.4">
      <c r="B139" s="34"/>
    </row>
    <row r="140" spans="2:2" ht="14.4">
      <c r="B140" s="34"/>
    </row>
    <row r="141" spans="2:2" ht="14.4">
      <c r="B141" s="34"/>
    </row>
    <row r="142" spans="2:2" ht="14.4">
      <c r="B142" s="34"/>
    </row>
    <row r="143" spans="2:2" ht="14.4">
      <c r="B143" s="34"/>
    </row>
    <row r="144" spans="2:2" ht="14.4">
      <c r="B144" s="34"/>
    </row>
    <row r="145" spans="2:2" ht="14.4">
      <c r="B145" s="34"/>
    </row>
    <row r="146" spans="2:2" ht="14.4">
      <c r="B146" s="34"/>
    </row>
    <row r="147" spans="2:2" ht="14.4">
      <c r="B147" s="34"/>
    </row>
    <row r="148" spans="2:2" ht="14.4">
      <c r="B148" s="34"/>
    </row>
    <row r="149" spans="2:2" ht="14.4">
      <c r="B149" s="34"/>
    </row>
    <row r="150" spans="2:2" ht="14.4">
      <c r="B150" s="34"/>
    </row>
    <row r="151" spans="2:2" ht="14.4">
      <c r="B151" s="34"/>
    </row>
    <row r="152" spans="2:2" ht="14.4">
      <c r="B152" s="34"/>
    </row>
    <row r="153" spans="2:2" ht="14.4">
      <c r="B153" s="34"/>
    </row>
    <row r="154" spans="2:2" ht="14.4">
      <c r="B154" s="34"/>
    </row>
    <row r="155" spans="2:2" ht="14.4">
      <c r="B155" s="34"/>
    </row>
    <row r="156" spans="2:2" ht="14.4">
      <c r="B156" s="34"/>
    </row>
    <row r="157" spans="2:2" ht="14.4">
      <c r="B157" s="34"/>
    </row>
    <row r="158" spans="2:2" ht="14.4">
      <c r="B158" s="34"/>
    </row>
    <row r="159" spans="2:2" ht="14.4">
      <c r="B159" s="34"/>
    </row>
    <row r="160" spans="2:2" ht="14.4">
      <c r="B160" s="34"/>
    </row>
    <row r="161" spans="2:2" ht="14.4">
      <c r="B161" s="34"/>
    </row>
    <row r="162" spans="2:2" ht="14.4">
      <c r="B162" s="34"/>
    </row>
    <row r="163" spans="2:2" ht="14.4">
      <c r="B163" s="34"/>
    </row>
    <row r="164" spans="2:2" ht="14.4">
      <c r="B164" s="34"/>
    </row>
    <row r="165" spans="2:2" ht="14.4">
      <c r="B165" s="34"/>
    </row>
    <row r="166" spans="2:2" ht="14.4">
      <c r="B166" s="34"/>
    </row>
    <row r="167" spans="2:2" ht="14.4">
      <c r="B167" s="34"/>
    </row>
    <row r="168" spans="2:2" ht="14.4">
      <c r="B168" s="34"/>
    </row>
    <row r="169" spans="2:2" ht="14.4">
      <c r="B169" s="34"/>
    </row>
    <row r="170" spans="2:2" ht="14.4">
      <c r="B170" s="34"/>
    </row>
    <row r="171" spans="2:2" ht="14.4">
      <c r="B171" s="34"/>
    </row>
    <row r="172" spans="2:2" ht="14.4">
      <c r="B172" s="34"/>
    </row>
    <row r="173" spans="2:2" ht="14.4">
      <c r="B173" s="34"/>
    </row>
    <row r="174" spans="2:2" ht="14.4">
      <c r="B174" s="34"/>
    </row>
    <row r="175" spans="2:2" ht="14.4">
      <c r="B175" s="34"/>
    </row>
    <row r="176" spans="2:2" ht="14.4">
      <c r="B176" s="34"/>
    </row>
    <row r="177" spans="2:2" ht="14.4">
      <c r="B177" s="34"/>
    </row>
    <row r="178" spans="2:2" ht="14.4">
      <c r="B178" s="34"/>
    </row>
    <row r="179" spans="2:2" ht="14.4">
      <c r="B179" s="34"/>
    </row>
    <row r="180" spans="2:2" ht="14.4">
      <c r="B180" s="34"/>
    </row>
    <row r="181" spans="2:2" ht="14.4">
      <c r="B181" s="34"/>
    </row>
    <row r="182" spans="2:2" ht="14.4">
      <c r="B182" s="34"/>
    </row>
    <row r="183" spans="2:2" ht="14.4">
      <c r="B183" s="34"/>
    </row>
    <row r="184" spans="2:2" ht="14.4">
      <c r="B184" s="34"/>
    </row>
    <row r="185" spans="2:2" ht="14.4">
      <c r="B185" s="34"/>
    </row>
    <row r="186" spans="2:2" ht="14.4">
      <c r="B186" s="34"/>
    </row>
    <row r="187" spans="2:2" ht="14.4">
      <c r="B187" s="34"/>
    </row>
    <row r="188" spans="2:2" ht="14.4">
      <c r="B188" s="34"/>
    </row>
    <row r="189" spans="2:2" ht="14.4">
      <c r="B189" s="34"/>
    </row>
    <row r="190" spans="2:2" ht="14.4">
      <c r="B190" s="34"/>
    </row>
    <row r="191" spans="2:2" ht="14.4">
      <c r="B191" s="34"/>
    </row>
    <row r="192" spans="2:2" ht="14.4">
      <c r="B192" s="34"/>
    </row>
    <row r="193" spans="2:2" ht="14.4">
      <c r="B193" s="34"/>
    </row>
    <row r="194" spans="2:2" ht="14.4">
      <c r="B194" s="34"/>
    </row>
    <row r="195" spans="2:2" ht="14.4">
      <c r="B195" s="34"/>
    </row>
    <row r="196" spans="2:2" ht="14.4">
      <c r="B196" s="34"/>
    </row>
    <row r="197" spans="2:2" ht="14.4">
      <c r="B197" s="34"/>
    </row>
    <row r="198" spans="2:2" ht="14.4">
      <c r="B198" s="34"/>
    </row>
    <row r="199" spans="2:2" ht="14.4">
      <c r="B199" s="34"/>
    </row>
    <row r="200" spans="2:2" ht="14.4">
      <c r="B200" s="34"/>
    </row>
    <row r="201" spans="2:2" ht="14.4">
      <c r="B201" s="34"/>
    </row>
    <row r="202" spans="2:2" ht="14.4">
      <c r="B202" s="34"/>
    </row>
    <row r="203" spans="2:2" ht="14.4">
      <c r="B203" s="34"/>
    </row>
    <row r="204" spans="2:2" ht="14.4">
      <c r="B204" s="34"/>
    </row>
    <row r="205" spans="2:2" ht="14.4">
      <c r="B205" s="34"/>
    </row>
    <row r="206" spans="2:2" ht="14.4">
      <c r="B206" s="34"/>
    </row>
    <row r="207" spans="2:2" ht="14.4">
      <c r="B207" s="34"/>
    </row>
    <row r="208" spans="2:2" ht="14.4">
      <c r="B208" s="34"/>
    </row>
    <row r="209" spans="2:2" ht="14.4">
      <c r="B209" s="34"/>
    </row>
    <row r="210" spans="2:2" ht="14.4">
      <c r="B210" s="34"/>
    </row>
    <row r="211" spans="2:2" ht="14.4">
      <c r="B211" s="34"/>
    </row>
    <row r="212" spans="2:2" ht="14.4">
      <c r="B212" s="34"/>
    </row>
    <row r="213" spans="2:2" ht="14.4">
      <c r="B213" s="34"/>
    </row>
    <row r="214" spans="2:2" ht="14.4">
      <c r="B214" s="34"/>
    </row>
    <row r="215" spans="2:2" ht="14.4">
      <c r="B215" s="34"/>
    </row>
    <row r="216" spans="2:2" ht="14.4">
      <c r="B216" s="34"/>
    </row>
    <row r="217" spans="2:2" ht="14.4">
      <c r="B217" s="34"/>
    </row>
    <row r="218" spans="2:2" ht="14.4">
      <c r="B218" s="34"/>
    </row>
    <row r="219" spans="2:2" ht="14.4">
      <c r="B219" s="34"/>
    </row>
    <row r="220" spans="2:2" ht="14.4">
      <c r="B220" s="34"/>
    </row>
    <row r="221" spans="2:2" ht="14.4">
      <c r="B221" s="34"/>
    </row>
    <row r="222" spans="2:2" ht="14.4">
      <c r="B222" s="34"/>
    </row>
    <row r="223" spans="2:2" ht="14.4">
      <c r="B223" s="34"/>
    </row>
    <row r="224" spans="2:2" ht="14.4">
      <c r="B224" s="34"/>
    </row>
    <row r="225" spans="2:2" ht="14.4">
      <c r="B225" s="34"/>
    </row>
    <row r="226" spans="2:2" ht="14.4">
      <c r="B226" s="34"/>
    </row>
    <row r="227" spans="2:2" ht="14.4">
      <c r="B227" s="34"/>
    </row>
    <row r="228" spans="2:2" ht="14.4">
      <c r="B228" s="34"/>
    </row>
    <row r="229" spans="2:2" ht="14.4">
      <c r="B229" s="34"/>
    </row>
    <row r="230" spans="2:2" ht="14.4">
      <c r="B230" s="34"/>
    </row>
    <row r="231" spans="2:2" ht="14.4">
      <c r="B231" s="34"/>
    </row>
    <row r="232" spans="2:2" ht="14.4">
      <c r="B232" s="34"/>
    </row>
    <row r="233" spans="2:2" ht="14.4">
      <c r="B233" s="34"/>
    </row>
    <row r="234" spans="2:2" ht="14.4">
      <c r="B234" s="34"/>
    </row>
    <row r="235" spans="2:2" ht="14.4">
      <c r="B235" s="34"/>
    </row>
    <row r="236" spans="2:2" ht="14.4">
      <c r="B236" s="34"/>
    </row>
    <row r="237" spans="2:2" ht="14.4">
      <c r="B237" s="34"/>
    </row>
    <row r="238" spans="2:2" ht="14.4">
      <c r="B238" s="34"/>
    </row>
    <row r="239" spans="2:2" ht="14.4">
      <c r="B239" s="34"/>
    </row>
    <row r="240" spans="2:2" ht="14.4">
      <c r="B240" s="34"/>
    </row>
    <row r="241" spans="2:2" ht="14.4">
      <c r="B241" s="34"/>
    </row>
    <row r="242" spans="2:2" ht="14.4">
      <c r="B242" s="34"/>
    </row>
    <row r="243" spans="2:2" ht="14.4">
      <c r="B243" s="34"/>
    </row>
    <row r="244" spans="2:2" ht="14.4">
      <c r="B244" s="34"/>
    </row>
    <row r="245" spans="2:2" ht="14.4">
      <c r="B245" s="34"/>
    </row>
    <row r="246" spans="2:2" ht="14.4">
      <c r="B246" s="34"/>
    </row>
    <row r="247" spans="2:2" ht="14.4">
      <c r="B247" s="34"/>
    </row>
    <row r="248" spans="2:2" ht="14.4">
      <c r="B248" s="34"/>
    </row>
    <row r="249" spans="2:2" ht="14.4">
      <c r="B249" s="34"/>
    </row>
    <row r="250" spans="2:2" ht="14.4">
      <c r="B250" s="34"/>
    </row>
    <row r="251" spans="2:2" ht="14.4">
      <c r="B251" s="34"/>
    </row>
    <row r="252" spans="2:2" ht="14.4">
      <c r="B252" s="34"/>
    </row>
    <row r="253" spans="2:2" ht="14.4">
      <c r="B253" s="34"/>
    </row>
    <row r="254" spans="2:2" ht="14.4">
      <c r="B254" s="34"/>
    </row>
    <row r="255" spans="2:2" ht="14.4">
      <c r="B255" s="34"/>
    </row>
    <row r="256" spans="2:2" ht="14.4">
      <c r="B256" s="34"/>
    </row>
    <row r="257" spans="2:2" ht="14.4">
      <c r="B257" s="34"/>
    </row>
    <row r="258" spans="2:2" ht="14.4">
      <c r="B258" s="34"/>
    </row>
    <row r="259" spans="2:2" ht="14.4">
      <c r="B259" s="34"/>
    </row>
    <row r="260" spans="2:2" ht="14.4">
      <c r="B260" s="34"/>
    </row>
    <row r="261" spans="2:2" ht="14.4">
      <c r="B261" s="34"/>
    </row>
    <row r="262" spans="2:2" ht="14.4">
      <c r="B262" s="34"/>
    </row>
    <row r="263" spans="2:2" ht="14.4">
      <c r="B263" s="34"/>
    </row>
    <row r="264" spans="2:2" ht="14.4">
      <c r="B264" s="34"/>
    </row>
    <row r="265" spans="2:2" ht="14.4">
      <c r="B265" s="34"/>
    </row>
    <row r="266" spans="2:2" ht="14.4">
      <c r="B266" s="34"/>
    </row>
    <row r="267" spans="2:2" ht="14.4">
      <c r="B267" s="34"/>
    </row>
    <row r="268" spans="2:2" ht="14.4">
      <c r="B268" s="34"/>
    </row>
    <row r="269" spans="2:2" ht="14.4">
      <c r="B269" s="34"/>
    </row>
    <row r="270" spans="2:2" ht="14.4">
      <c r="B270" s="34"/>
    </row>
    <row r="271" spans="2:2" ht="14.4">
      <c r="B271" s="34"/>
    </row>
    <row r="272" spans="2:2" ht="14.4">
      <c r="B272" s="34"/>
    </row>
    <row r="273" spans="2:2" ht="14.4">
      <c r="B273" s="34"/>
    </row>
    <row r="274" spans="2:2" ht="14.4">
      <c r="B274" s="34"/>
    </row>
    <row r="275" spans="2:2" ht="14.4">
      <c r="B275" s="34"/>
    </row>
    <row r="276" spans="2:2" ht="14.4">
      <c r="B276" s="34"/>
    </row>
    <row r="277" spans="2:2" ht="14.4">
      <c r="B277" s="34"/>
    </row>
    <row r="278" spans="2:2" ht="14.4">
      <c r="B278" s="34"/>
    </row>
    <row r="279" spans="2:2" ht="14.4">
      <c r="B279" s="34"/>
    </row>
    <row r="280" spans="2:2" ht="14.4">
      <c r="B280" s="34"/>
    </row>
    <row r="281" spans="2:2" ht="14.4">
      <c r="B281" s="34"/>
    </row>
    <row r="282" spans="2:2" ht="14.4">
      <c r="B282" s="34"/>
    </row>
    <row r="283" spans="2:2" ht="14.4">
      <c r="B283" s="34"/>
    </row>
    <row r="284" spans="2:2" ht="14.4">
      <c r="B284" s="34"/>
    </row>
    <row r="285" spans="2:2" ht="14.4">
      <c r="B285" s="34"/>
    </row>
    <row r="286" spans="2:2" ht="14.4">
      <c r="B286" s="34"/>
    </row>
    <row r="287" spans="2:2" ht="14.4">
      <c r="B287" s="34"/>
    </row>
    <row r="288" spans="2:2" ht="14.4">
      <c r="B288" s="34"/>
    </row>
    <row r="289" spans="2:2" ht="14.4">
      <c r="B289" s="34"/>
    </row>
    <row r="290" spans="2:2" ht="14.4">
      <c r="B290" s="34"/>
    </row>
    <row r="291" spans="2:2" ht="14.4">
      <c r="B291" s="34"/>
    </row>
    <row r="292" spans="2:2" ht="14.4">
      <c r="B292" s="34"/>
    </row>
    <row r="293" spans="2:2" ht="14.4">
      <c r="B293" s="34"/>
    </row>
    <row r="294" spans="2:2" ht="14.4">
      <c r="B294" s="34"/>
    </row>
    <row r="295" spans="2:2" ht="14.4">
      <c r="B295" s="34"/>
    </row>
    <row r="296" spans="2:2" ht="14.4">
      <c r="B296" s="34"/>
    </row>
    <row r="297" spans="2:2" ht="14.4">
      <c r="B297" s="34"/>
    </row>
    <row r="298" spans="2:2" ht="14.4">
      <c r="B298" s="34"/>
    </row>
    <row r="299" spans="2:2" ht="14.4">
      <c r="B299" s="34"/>
    </row>
    <row r="300" spans="2:2" ht="14.4">
      <c r="B300" s="34"/>
    </row>
    <row r="301" spans="2:2" ht="14.4">
      <c r="B301" s="34"/>
    </row>
    <row r="302" spans="2:2" ht="14.4">
      <c r="B302" s="34"/>
    </row>
    <row r="303" spans="2:2" ht="14.4">
      <c r="B303" s="34"/>
    </row>
    <row r="304" spans="2:2" ht="14.4">
      <c r="B304" s="34"/>
    </row>
    <row r="305" spans="2:2" ht="14.4">
      <c r="B305" s="34"/>
    </row>
    <row r="306" spans="2:2" ht="14.4">
      <c r="B306" s="34"/>
    </row>
    <row r="307" spans="2:2" ht="14.4">
      <c r="B307" s="34"/>
    </row>
    <row r="308" spans="2:2" ht="14.4">
      <c r="B308" s="34"/>
    </row>
    <row r="309" spans="2:2" ht="14.4">
      <c r="B309" s="34"/>
    </row>
    <row r="310" spans="2:2" ht="14.4">
      <c r="B310" s="34"/>
    </row>
    <row r="311" spans="2:2" ht="14.4">
      <c r="B311" s="34"/>
    </row>
    <row r="312" spans="2:2" ht="14.4">
      <c r="B312" s="34"/>
    </row>
    <row r="313" spans="2:2" ht="14.4">
      <c r="B313" s="34"/>
    </row>
    <row r="314" spans="2:2" ht="14.4">
      <c r="B314" s="34"/>
    </row>
    <row r="315" spans="2:2" ht="14.4">
      <c r="B315" s="34"/>
    </row>
    <row r="316" spans="2:2" ht="14.4">
      <c r="B316" s="34"/>
    </row>
    <row r="317" spans="2:2" ht="14.4">
      <c r="B317" s="34"/>
    </row>
    <row r="318" spans="2:2" ht="14.4">
      <c r="B318" s="34"/>
    </row>
    <row r="319" spans="2:2" ht="14.4">
      <c r="B319" s="34"/>
    </row>
    <row r="320" spans="2:2" ht="14.4">
      <c r="B320" s="34"/>
    </row>
    <row r="321" spans="2:2" ht="14.4">
      <c r="B321" s="34"/>
    </row>
    <row r="322" spans="2:2" ht="14.4">
      <c r="B322" s="34"/>
    </row>
    <row r="323" spans="2:2" ht="14.4">
      <c r="B323" s="34"/>
    </row>
    <row r="324" spans="2:2" ht="14.4">
      <c r="B324" s="34"/>
    </row>
    <row r="325" spans="2:2" ht="14.4">
      <c r="B325" s="34"/>
    </row>
    <row r="326" spans="2:2" ht="14.4">
      <c r="B326" s="34"/>
    </row>
    <row r="327" spans="2:2" ht="14.4">
      <c r="B327" s="34"/>
    </row>
    <row r="328" spans="2:2" ht="14.4">
      <c r="B328" s="34"/>
    </row>
    <row r="329" spans="2:2" ht="14.4">
      <c r="B329" s="34"/>
    </row>
    <row r="330" spans="2:2" ht="14.4">
      <c r="B330" s="34"/>
    </row>
    <row r="331" spans="2:2" ht="14.4">
      <c r="B331" s="34"/>
    </row>
    <row r="332" spans="2:2" ht="14.4">
      <c r="B332" s="34"/>
    </row>
    <row r="333" spans="2:2" ht="14.4">
      <c r="B333" s="34"/>
    </row>
    <row r="334" spans="2:2" ht="14.4">
      <c r="B334" s="34"/>
    </row>
    <row r="335" spans="2:2" ht="14.4">
      <c r="B335" s="34"/>
    </row>
    <row r="336" spans="2:2" ht="14.4">
      <c r="B336" s="34"/>
    </row>
    <row r="337" spans="2:2" ht="14.4">
      <c r="B337" s="34"/>
    </row>
    <row r="338" spans="2:2" ht="14.4">
      <c r="B338" s="34"/>
    </row>
    <row r="339" spans="2:2" ht="14.4">
      <c r="B339" s="34"/>
    </row>
    <row r="340" spans="2:2" ht="14.4">
      <c r="B340" s="34"/>
    </row>
    <row r="341" spans="2:2" ht="14.4">
      <c r="B341" s="34"/>
    </row>
    <row r="342" spans="2:2" ht="14.4">
      <c r="B342" s="34"/>
    </row>
    <row r="343" spans="2:2" ht="14.4">
      <c r="B343" s="34"/>
    </row>
    <row r="344" spans="2:2" ht="14.4">
      <c r="B344" s="34"/>
    </row>
    <row r="345" spans="2:2" ht="14.4">
      <c r="B345" s="34"/>
    </row>
    <row r="346" spans="2:2" ht="14.4">
      <c r="B346" s="34"/>
    </row>
    <row r="347" spans="2:2" ht="14.4">
      <c r="B347" s="34"/>
    </row>
    <row r="348" spans="2:2" ht="14.4">
      <c r="B348" s="34"/>
    </row>
    <row r="349" spans="2:2" ht="14.4">
      <c r="B349" s="34"/>
    </row>
    <row r="350" spans="2:2" ht="14.4">
      <c r="B350" s="34"/>
    </row>
    <row r="351" spans="2:2" ht="14.4">
      <c r="B351" s="34"/>
    </row>
    <row r="352" spans="2:2" ht="14.4">
      <c r="B352" s="34"/>
    </row>
    <row r="353" spans="2:2" ht="14.4">
      <c r="B353" s="34"/>
    </row>
    <row r="354" spans="2:2" ht="14.4">
      <c r="B354" s="34"/>
    </row>
    <row r="355" spans="2:2" ht="14.4">
      <c r="B355" s="34"/>
    </row>
    <row r="356" spans="2:2" ht="14.4">
      <c r="B356" s="34"/>
    </row>
    <row r="357" spans="2:2" ht="14.4">
      <c r="B357" s="34"/>
    </row>
    <row r="358" spans="2:2" ht="14.4">
      <c r="B358" s="34"/>
    </row>
    <row r="359" spans="2:2" ht="14.4">
      <c r="B359" s="34"/>
    </row>
    <row r="360" spans="2:2" ht="14.4">
      <c r="B360" s="34"/>
    </row>
    <row r="361" spans="2:2" ht="14.4">
      <c r="B361" s="34"/>
    </row>
    <row r="362" spans="2:2" ht="14.4">
      <c r="B362" s="34"/>
    </row>
    <row r="363" spans="2:2" ht="14.4">
      <c r="B363" s="34"/>
    </row>
    <row r="364" spans="2:2" ht="14.4">
      <c r="B364" s="34"/>
    </row>
    <row r="365" spans="2:2" ht="14.4">
      <c r="B365" s="34"/>
    </row>
    <row r="366" spans="2:2" ht="14.4">
      <c r="B366" s="34"/>
    </row>
    <row r="367" spans="2:2" ht="14.4">
      <c r="B367" s="34"/>
    </row>
    <row r="368" spans="2:2" ht="14.4">
      <c r="B368" s="34"/>
    </row>
    <row r="369" spans="2:2" ht="14.4">
      <c r="B369" s="34"/>
    </row>
    <row r="370" spans="2:2" ht="14.4">
      <c r="B370" s="34"/>
    </row>
    <row r="371" spans="2:2" ht="14.4">
      <c r="B371" s="34"/>
    </row>
    <row r="372" spans="2:2" ht="14.4">
      <c r="B372" s="34"/>
    </row>
    <row r="373" spans="2:2" ht="14.4">
      <c r="B373" s="34"/>
    </row>
    <row r="374" spans="2:2" ht="14.4">
      <c r="B374" s="34"/>
    </row>
    <row r="375" spans="2:2" ht="14.4">
      <c r="B375" s="34"/>
    </row>
    <row r="376" spans="2:2" ht="14.4">
      <c r="B376" s="34"/>
    </row>
    <row r="377" spans="2:2" ht="14.4">
      <c r="B377" s="34"/>
    </row>
    <row r="378" spans="2:2" ht="14.4">
      <c r="B378" s="34"/>
    </row>
    <row r="379" spans="2:2" ht="14.4">
      <c r="B379" s="34"/>
    </row>
    <row r="380" spans="2:2" ht="14.4">
      <c r="B380" s="34"/>
    </row>
    <row r="381" spans="2:2" ht="14.4">
      <c r="B381" s="34"/>
    </row>
    <row r="382" spans="2:2" ht="14.4">
      <c r="B382" s="34"/>
    </row>
    <row r="383" spans="2:2" ht="14.4">
      <c r="B383" s="34"/>
    </row>
    <row r="384" spans="2:2" ht="14.4">
      <c r="B384" s="34"/>
    </row>
    <row r="385" spans="2:2" ht="14.4">
      <c r="B385" s="34"/>
    </row>
    <row r="386" spans="2:2" ht="14.4">
      <c r="B386" s="34"/>
    </row>
    <row r="387" spans="2:2" ht="14.4">
      <c r="B387" s="34"/>
    </row>
    <row r="388" spans="2:2" ht="14.4">
      <c r="B388" s="34"/>
    </row>
    <row r="389" spans="2:2" ht="14.4">
      <c r="B389" s="34"/>
    </row>
    <row r="390" spans="2:2" ht="14.4">
      <c r="B390" s="34"/>
    </row>
    <row r="391" spans="2:2" ht="14.4">
      <c r="B391" s="34"/>
    </row>
    <row r="392" spans="2:2" ht="14.4">
      <c r="B392" s="34"/>
    </row>
    <row r="393" spans="2:2" ht="14.4">
      <c r="B393" s="34"/>
    </row>
    <row r="394" spans="2:2" ht="14.4">
      <c r="B394" s="34"/>
    </row>
    <row r="395" spans="2:2" ht="14.4">
      <c r="B395" s="34"/>
    </row>
    <row r="396" spans="2:2" ht="14.4">
      <c r="B396" s="34"/>
    </row>
    <row r="397" spans="2:2" ht="14.4">
      <c r="B397" s="34"/>
    </row>
    <row r="398" spans="2:2" ht="14.4">
      <c r="B398" s="34"/>
    </row>
    <row r="399" spans="2:2" ht="14.4">
      <c r="B399" s="34"/>
    </row>
    <row r="400" spans="2:2" ht="14.4">
      <c r="B400" s="34"/>
    </row>
    <row r="401" spans="2:2" ht="14.4">
      <c r="B401" s="34"/>
    </row>
    <row r="402" spans="2:2" ht="14.4">
      <c r="B402" s="34"/>
    </row>
    <row r="403" spans="2:2" ht="14.4">
      <c r="B403" s="34"/>
    </row>
    <row r="404" spans="2:2" ht="14.4">
      <c r="B404" s="34"/>
    </row>
    <row r="405" spans="2:2" ht="14.4">
      <c r="B405" s="34"/>
    </row>
    <row r="406" spans="2:2" ht="14.4">
      <c r="B406" s="34"/>
    </row>
    <row r="407" spans="2:2" ht="14.4">
      <c r="B407" s="34"/>
    </row>
    <row r="408" spans="2:2" ht="14.4">
      <c r="B408" s="34"/>
    </row>
    <row r="409" spans="2:2" ht="14.4">
      <c r="B409" s="34"/>
    </row>
    <row r="410" spans="2:2" ht="14.4">
      <c r="B410" s="34"/>
    </row>
    <row r="411" spans="2:2" ht="14.4">
      <c r="B411" s="34"/>
    </row>
    <row r="412" spans="2:2" ht="14.4">
      <c r="B412" s="34"/>
    </row>
    <row r="413" spans="2:2" ht="14.4">
      <c r="B413" s="34"/>
    </row>
    <row r="414" spans="2:2" ht="14.4">
      <c r="B414" s="34"/>
    </row>
    <row r="415" spans="2:2" ht="14.4">
      <c r="B415" s="34"/>
    </row>
    <row r="416" spans="2:2" ht="14.4">
      <c r="B416" s="34"/>
    </row>
    <row r="417" spans="2:2" ht="14.4">
      <c r="B417" s="34"/>
    </row>
    <row r="418" spans="2:2" ht="14.4">
      <c r="B418" s="34"/>
    </row>
    <row r="419" spans="2:2" ht="14.4">
      <c r="B419" s="34"/>
    </row>
    <row r="420" spans="2:2" ht="14.4">
      <c r="B420" s="34"/>
    </row>
    <row r="421" spans="2:2" ht="14.4">
      <c r="B421" s="34"/>
    </row>
    <row r="422" spans="2:2" ht="14.4">
      <c r="B422" s="34"/>
    </row>
    <row r="423" spans="2:2" ht="14.4">
      <c r="B423" s="34"/>
    </row>
    <row r="424" spans="2:2" ht="14.4">
      <c r="B424" s="34"/>
    </row>
    <row r="425" spans="2:2" ht="14.4">
      <c r="B425" s="34"/>
    </row>
    <row r="426" spans="2:2" ht="14.4">
      <c r="B426" s="34"/>
    </row>
    <row r="427" spans="2:2" ht="14.4">
      <c r="B427" s="34"/>
    </row>
    <row r="428" spans="2:2" ht="14.4">
      <c r="B428" s="34"/>
    </row>
    <row r="429" spans="2:2" ht="14.4">
      <c r="B429" s="34"/>
    </row>
    <row r="430" spans="2:2" ht="14.4">
      <c r="B430" s="34"/>
    </row>
    <row r="431" spans="2:2" ht="14.4">
      <c r="B431" s="34"/>
    </row>
    <row r="432" spans="2:2" ht="14.4">
      <c r="B432" s="34"/>
    </row>
    <row r="433" spans="2:2" ht="14.4">
      <c r="B433" s="34"/>
    </row>
    <row r="434" spans="2:2" ht="14.4">
      <c r="B434" s="34"/>
    </row>
    <row r="435" spans="2:2" ht="14.4">
      <c r="B435" s="34"/>
    </row>
    <row r="436" spans="2:2" ht="14.4">
      <c r="B436" s="34"/>
    </row>
    <row r="437" spans="2:2" ht="14.4">
      <c r="B437" s="34"/>
    </row>
    <row r="438" spans="2:2" ht="14.4">
      <c r="B438" s="34"/>
    </row>
    <row r="439" spans="2:2" ht="14.4">
      <c r="B439" s="34"/>
    </row>
    <row r="440" spans="2:2" ht="14.4">
      <c r="B440" s="34"/>
    </row>
    <row r="441" spans="2:2" ht="14.4">
      <c r="B441" s="34"/>
    </row>
    <row r="442" spans="2:2" ht="14.4">
      <c r="B442" s="34"/>
    </row>
    <row r="443" spans="2:2" ht="14.4">
      <c r="B443" s="34"/>
    </row>
    <row r="444" spans="2:2" ht="14.4">
      <c r="B444" s="34"/>
    </row>
    <row r="445" spans="2:2" ht="14.4">
      <c r="B445" s="34"/>
    </row>
    <row r="446" spans="2:2" ht="14.4">
      <c r="B446" s="34"/>
    </row>
    <row r="447" spans="2:2" ht="14.4">
      <c r="B447" s="34"/>
    </row>
    <row r="448" spans="2:2" ht="14.4">
      <c r="B448" s="34"/>
    </row>
    <row r="449" spans="2:2" ht="14.4">
      <c r="B449" s="34"/>
    </row>
    <row r="450" spans="2:2" ht="14.4">
      <c r="B450" s="34"/>
    </row>
    <row r="451" spans="2:2" ht="14.4">
      <c r="B451" s="34"/>
    </row>
    <row r="452" spans="2:2" ht="14.4">
      <c r="B452" s="34"/>
    </row>
    <row r="453" spans="2:2" ht="14.4">
      <c r="B453" s="34"/>
    </row>
    <row r="454" spans="2:2" ht="14.4">
      <c r="B454" s="34"/>
    </row>
    <row r="455" spans="2:2" ht="14.4">
      <c r="B455" s="34"/>
    </row>
    <row r="456" spans="2:2" ht="14.4">
      <c r="B456" s="34"/>
    </row>
    <row r="457" spans="2:2" ht="14.4">
      <c r="B457" s="34"/>
    </row>
    <row r="458" spans="2:2" ht="14.4">
      <c r="B458" s="34"/>
    </row>
    <row r="459" spans="2:2" ht="14.4">
      <c r="B459" s="34"/>
    </row>
    <row r="460" spans="2:2" ht="14.4">
      <c r="B460" s="34"/>
    </row>
    <row r="461" spans="2:2" ht="14.4">
      <c r="B461" s="34"/>
    </row>
    <row r="462" spans="2:2" ht="14.4">
      <c r="B462" s="34"/>
    </row>
    <row r="463" spans="2:2" ht="14.4">
      <c r="B463" s="34"/>
    </row>
    <row r="464" spans="2:2" ht="14.4">
      <c r="B464" s="34"/>
    </row>
    <row r="465" spans="2:2" ht="14.4">
      <c r="B465" s="34"/>
    </row>
    <row r="466" spans="2:2" ht="14.4">
      <c r="B466" s="34"/>
    </row>
    <row r="467" spans="2:2" ht="14.4">
      <c r="B467" s="34"/>
    </row>
    <row r="468" spans="2:2" ht="14.4">
      <c r="B468" s="34"/>
    </row>
    <row r="469" spans="2:2" ht="14.4">
      <c r="B469" s="34"/>
    </row>
    <row r="470" spans="2:2" ht="14.4">
      <c r="B470" s="34"/>
    </row>
    <row r="471" spans="2:2" ht="14.4">
      <c r="B471" s="34"/>
    </row>
    <row r="472" spans="2:2" ht="14.4">
      <c r="B472" s="34"/>
    </row>
    <row r="473" spans="2:2" ht="14.4">
      <c r="B473" s="34"/>
    </row>
    <row r="474" spans="2:2" ht="14.4">
      <c r="B474" s="34"/>
    </row>
    <row r="475" spans="2:2" ht="14.4">
      <c r="B475" s="34"/>
    </row>
    <row r="476" spans="2:2" ht="14.4">
      <c r="B476" s="34"/>
    </row>
    <row r="477" spans="2:2" ht="14.4">
      <c r="B477" s="34"/>
    </row>
    <row r="478" spans="2:2" ht="14.4">
      <c r="B478" s="34"/>
    </row>
    <row r="479" spans="2:2" ht="14.4">
      <c r="B479" s="34"/>
    </row>
    <row r="480" spans="2:2" ht="14.4">
      <c r="B480" s="34"/>
    </row>
    <row r="481" spans="2:2" ht="14.4">
      <c r="B481" s="34"/>
    </row>
    <row r="482" spans="2:2" ht="14.4">
      <c r="B482" s="34"/>
    </row>
    <row r="483" spans="2:2" ht="14.4">
      <c r="B483" s="34"/>
    </row>
    <row r="484" spans="2:2" ht="14.4">
      <c r="B484" s="34"/>
    </row>
    <row r="485" spans="2:2" ht="14.4">
      <c r="B485" s="34"/>
    </row>
    <row r="486" spans="2:2" ht="14.4">
      <c r="B486" s="34"/>
    </row>
    <row r="487" spans="2:2" ht="14.4">
      <c r="B487" s="34"/>
    </row>
    <row r="488" spans="2:2" ht="14.4">
      <c r="B488" s="34"/>
    </row>
    <row r="489" spans="2:2" ht="14.4">
      <c r="B489" s="34"/>
    </row>
    <row r="490" spans="2:2" ht="14.4">
      <c r="B490" s="34"/>
    </row>
    <row r="491" spans="2:2" ht="14.4">
      <c r="B491" s="34"/>
    </row>
    <row r="492" spans="2:2" ht="14.4">
      <c r="B492" s="34"/>
    </row>
    <row r="493" spans="2:2" ht="14.4">
      <c r="B493" s="34"/>
    </row>
    <row r="494" spans="2:2" ht="14.4">
      <c r="B494" s="34"/>
    </row>
    <row r="495" spans="2:2" ht="14.4">
      <c r="B495" s="34"/>
    </row>
    <row r="496" spans="2:2" ht="14.4">
      <c r="B496" s="34"/>
    </row>
    <row r="497" spans="2:2" ht="14.4">
      <c r="B497" s="34"/>
    </row>
    <row r="498" spans="2:2" ht="14.4">
      <c r="B498" s="34"/>
    </row>
    <row r="499" spans="2:2" ht="14.4">
      <c r="B499" s="34"/>
    </row>
    <row r="500" spans="2:2" ht="14.4">
      <c r="B500" s="34"/>
    </row>
    <row r="501" spans="2:2" ht="14.4">
      <c r="B501" s="34"/>
    </row>
    <row r="502" spans="2:2" ht="14.4">
      <c r="B502" s="34"/>
    </row>
    <row r="503" spans="2:2" ht="14.4">
      <c r="B503" s="34"/>
    </row>
    <row r="504" spans="2:2" ht="14.4">
      <c r="B504" s="34"/>
    </row>
    <row r="505" spans="2:2" ht="14.4">
      <c r="B505" s="34"/>
    </row>
    <row r="506" spans="2:2" ht="14.4">
      <c r="B506" s="34"/>
    </row>
    <row r="507" spans="2:2" ht="14.4">
      <c r="B507" s="34"/>
    </row>
    <row r="508" spans="2:2" ht="14.4">
      <c r="B508" s="34"/>
    </row>
    <row r="509" spans="2:2" ht="14.4">
      <c r="B509" s="34"/>
    </row>
    <row r="510" spans="2:2" ht="14.4">
      <c r="B510" s="34"/>
    </row>
    <row r="511" spans="2:2" ht="14.4">
      <c r="B511" s="34"/>
    </row>
    <row r="512" spans="2:2" ht="14.4">
      <c r="B512" s="34"/>
    </row>
    <row r="513" spans="2:2" ht="14.4">
      <c r="B513" s="34"/>
    </row>
    <row r="514" spans="2:2" ht="14.4">
      <c r="B514" s="34"/>
    </row>
    <row r="515" spans="2:2" ht="14.4">
      <c r="B515" s="34"/>
    </row>
    <row r="516" spans="2:2" ht="14.4">
      <c r="B516" s="34"/>
    </row>
    <row r="517" spans="2:2" ht="14.4">
      <c r="B517" s="34"/>
    </row>
    <row r="518" spans="2:2" ht="14.4">
      <c r="B518" s="34"/>
    </row>
    <row r="519" spans="2:2" ht="14.4">
      <c r="B519" s="34"/>
    </row>
    <row r="520" spans="2:2" ht="14.4">
      <c r="B520" s="34"/>
    </row>
    <row r="521" spans="2:2" ht="14.4">
      <c r="B521" s="34"/>
    </row>
    <row r="522" spans="2:2" ht="14.4">
      <c r="B522" s="34"/>
    </row>
    <row r="523" spans="2:2" ht="14.4">
      <c r="B523" s="34"/>
    </row>
    <row r="524" spans="2:2" ht="14.4">
      <c r="B524" s="34"/>
    </row>
    <row r="525" spans="2:2" ht="14.4">
      <c r="B525" s="34"/>
    </row>
    <row r="526" spans="2:2" ht="14.4">
      <c r="B526" s="34"/>
    </row>
    <row r="527" spans="2:2" ht="14.4">
      <c r="B527" s="34"/>
    </row>
    <row r="528" spans="2:2" ht="14.4">
      <c r="B528" s="34"/>
    </row>
    <row r="529" spans="2:2" ht="14.4">
      <c r="B529" s="34"/>
    </row>
    <row r="530" spans="2:2" ht="14.4">
      <c r="B530" s="34"/>
    </row>
    <row r="531" spans="2:2" ht="14.4">
      <c r="B531" s="34"/>
    </row>
    <row r="532" spans="2:2" ht="14.4">
      <c r="B532" s="34"/>
    </row>
    <row r="533" spans="2:2" ht="14.4">
      <c r="B533" s="34"/>
    </row>
    <row r="534" spans="2:2" ht="14.4">
      <c r="B534" s="34"/>
    </row>
    <row r="535" spans="2:2" ht="14.4">
      <c r="B535" s="34"/>
    </row>
    <row r="536" spans="2:2" ht="14.4">
      <c r="B536" s="34"/>
    </row>
    <row r="537" spans="2:2" ht="14.4">
      <c r="B537" s="34"/>
    </row>
    <row r="538" spans="2:2" ht="14.4">
      <c r="B538" s="34"/>
    </row>
    <row r="539" spans="2:2" ht="14.4">
      <c r="B539" s="34"/>
    </row>
    <row r="540" spans="2:2" ht="14.4">
      <c r="B540" s="34"/>
    </row>
    <row r="541" spans="2:2" ht="14.4">
      <c r="B541" s="34"/>
    </row>
    <row r="542" spans="2:2" ht="14.4">
      <c r="B542" s="34"/>
    </row>
    <row r="543" spans="2:2" ht="14.4">
      <c r="B543" s="34"/>
    </row>
    <row r="544" spans="2:2" ht="14.4">
      <c r="B544" s="34"/>
    </row>
    <row r="545" spans="2:2" ht="14.4">
      <c r="B545" s="34"/>
    </row>
    <row r="546" spans="2:2" ht="14.4">
      <c r="B546" s="34"/>
    </row>
    <row r="547" spans="2:2" ht="14.4">
      <c r="B547" s="34"/>
    </row>
    <row r="548" spans="2:2" ht="14.4">
      <c r="B548" s="34"/>
    </row>
    <row r="549" spans="2:2" ht="14.4">
      <c r="B549" s="34"/>
    </row>
    <row r="550" spans="2:2" ht="14.4">
      <c r="B550" s="34"/>
    </row>
    <row r="551" spans="2:2" ht="14.4">
      <c r="B551" s="34"/>
    </row>
    <row r="552" spans="2:2" ht="14.4">
      <c r="B552" s="34"/>
    </row>
    <row r="553" spans="2:2" ht="14.4">
      <c r="B553" s="34"/>
    </row>
    <row r="554" spans="2:2" ht="14.4">
      <c r="B554" s="34"/>
    </row>
    <row r="555" spans="2:2" ht="14.4">
      <c r="B555" s="34"/>
    </row>
    <row r="556" spans="2:2" ht="14.4">
      <c r="B556" s="34"/>
    </row>
    <row r="557" spans="2:2" ht="14.4">
      <c r="B557" s="34"/>
    </row>
    <row r="558" spans="2:2" ht="14.4">
      <c r="B558" s="34"/>
    </row>
    <row r="559" spans="2:2" ht="14.4">
      <c r="B559" s="34"/>
    </row>
    <row r="560" spans="2:2" ht="14.4">
      <c r="B560" s="34"/>
    </row>
    <row r="561" spans="2:2" ht="14.4">
      <c r="B561" s="34"/>
    </row>
    <row r="562" spans="2:2" ht="14.4">
      <c r="B562" s="34"/>
    </row>
    <row r="563" spans="2:2" ht="14.4">
      <c r="B563" s="34"/>
    </row>
    <row r="564" spans="2:2" ht="14.4">
      <c r="B564" s="34"/>
    </row>
    <row r="565" spans="2:2" ht="14.4">
      <c r="B565" s="34"/>
    </row>
    <row r="566" spans="2:2" ht="14.4">
      <c r="B566" s="34"/>
    </row>
    <row r="567" spans="2:2" ht="14.4">
      <c r="B567" s="34"/>
    </row>
    <row r="568" spans="2:2" ht="14.4">
      <c r="B568" s="34"/>
    </row>
    <row r="569" spans="2:2" ht="14.4">
      <c r="B569" s="34"/>
    </row>
    <row r="570" spans="2:2" ht="14.4">
      <c r="B570" s="34"/>
    </row>
    <row r="571" spans="2:2" ht="14.4">
      <c r="B571" s="34"/>
    </row>
    <row r="572" spans="2:2" ht="14.4">
      <c r="B572" s="34"/>
    </row>
    <row r="573" spans="2:2" ht="14.4">
      <c r="B573" s="34"/>
    </row>
    <row r="574" spans="2:2" ht="14.4">
      <c r="B574" s="34"/>
    </row>
    <row r="575" spans="2:2" ht="14.4">
      <c r="B575" s="34"/>
    </row>
    <row r="576" spans="2:2" ht="14.4">
      <c r="B576" s="34"/>
    </row>
    <row r="577" spans="2:2" ht="14.4">
      <c r="B577" s="34"/>
    </row>
    <row r="578" spans="2:2" ht="14.4">
      <c r="B578" s="34"/>
    </row>
    <row r="579" spans="2:2" ht="14.4">
      <c r="B579" s="34"/>
    </row>
    <row r="580" spans="2:2" ht="14.4">
      <c r="B580" s="34"/>
    </row>
    <row r="581" spans="2:2" ht="14.4">
      <c r="B581" s="34"/>
    </row>
    <row r="582" spans="2:2" ht="14.4">
      <c r="B582" s="34"/>
    </row>
    <row r="583" spans="2:2" ht="14.4">
      <c r="B583" s="34"/>
    </row>
    <row r="584" spans="2:2" ht="14.4">
      <c r="B584" s="34"/>
    </row>
    <row r="585" spans="2:2" ht="14.4">
      <c r="B585" s="34"/>
    </row>
    <row r="586" spans="2:2" ht="14.4">
      <c r="B586" s="34"/>
    </row>
    <row r="587" spans="2:2" ht="14.4">
      <c r="B587" s="34"/>
    </row>
    <row r="588" spans="2:2" ht="14.4">
      <c r="B588" s="34"/>
    </row>
    <row r="589" spans="2:2" ht="14.4">
      <c r="B589" s="34"/>
    </row>
    <row r="590" spans="2:2" ht="14.4">
      <c r="B590" s="34"/>
    </row>
    <row r="591" spans="2:2" ht="14.4">
      <c r="B591" s="34"/>
    </row>
    <row r="592" spans="2:2" ht="14.4">
      <c r="B592" s="34"/>
    </row>
    <row r="593" spans="2:2" ht="14.4">
      <c r="B593" s="34"/>
    </row>
    <row r="594" spans="2:2" ht="14.4">
      <c r="B594" s="34"/>
    </row>
    <row r="595" spans="2:2" ht="14.4">
      <c r="B595" s="34"/>
    </row>
    <row r="596" spans="2:2" ht="14.4">
      <c r="B596" s="34"/>
    </row>
    <row r="597" spans="2:2" ht="14.4">
      <c r="B597" s="34"/>
    </row>
    <row r="598" spans="2:2" ht="14.4">
      <c r="B598" s="34"/>
    </row>
    <row r="599" spans="2:2" ht="14.4">
      <c r="B599" s="34"/>
    </row>
    <row r="600" spans="2:2" ht="14.4">
      <c r="B600" s="34"/>
    </row>
    <row r="601" spans="2:2" ht="14.4">
      <c r="B601" s="34"/>
    </row>
    <row r="602" spans="2:2" ht="14.4">
      <c r="B602" s="34"/>
    </row>
    <row r="603" spans="2:2" ht="14.4">
      <c r="B603" s="34"/>
    </row>
    <row r="604" spans="2:2" ht="14.4">
      <c r="B604" s="34"/>
    </row>
    <row r="605" spans="2:2" ht="14.4">
      <c r="B605" s="34"/>
    </row>
    <row r="606" spans="2:2" ht="14.4">
      <c r="B606" s="34"/>
    </row>
    <row r="607" spans="2:2" ht="14.4">
      <c r="B607" s="34"/>
    </row>
    <row r="608" spans="2:2" ht="14.4">
      <c r="B608" s="34"/>
    </row>
    <row r="609" spans="2:2" ht="14.4">
      <c r="B609" s="34"/>
    </row>
    <row r="610" spans="2:2" ht="14.4">
      <c r="B610" s="34"/>
    </row>
    <row r="611" spans="2:2" ht="14.4">
      <c r="B611" s="34"/>
    </row>
    <row r="612" spans="2:2" ht="14.4">
      <c r="B612" s="34"/>
    </row>
    <row r="613" spans="2:2" ht="14.4">
      <c r="B613" s="34"/>
    </row>
    <row r="614" spans="2:2" ht="14.4">
      <c r="B614" s="34"/>
    </row>
    <row r="615" spans="2:2" ht="14.4">
      <c r="B615" s="34"/>
    </row>
    <row r="616" spans="2:2" ht="14.4">
      <c r="B616" s="34"/>
    </row>
    <row r="617" spans="2:2" ht="14.4">
      <c r="B617" s="34"/>
    </row>
    <row r="618" spans="2:2" ht="14.4">
      <c r="B618" s="34"/>
    </row>
    <row r="619" spans="2:2" ht="14.4">
      <c r="B619" s="34"/>
    </row>
    <row r="620" spans="2:2" ht="14.4">
      <c r="B620" s="34"/>
    </row>
    <row r="621" spans="2:2" ht="14.4">
      <c r="B621" s="34"/>
    </row>
    <row r="622" spans="2:2" ht="14.4">
      <c r="B622" s="34"/>
    </row>
    <row r="623" spans="2:2" ht="14.4">
      <c r="B623" s="34"/>
    </row>
    <row r="624" spans="2:2" ht="14.4">
      <c r="B624" s="34"/>
    </row>
    <row r="625" spans="2:2" ht="14.4">
      <c r="B625" s="34"/>
    </row>
    <row r="626" spans="2:2" ht="14.4">
      <c r="B626" s="34"/>
    </row>
    <row r="627" spans="2:2" ht="14.4">
      <c r="B627" s="34"/>
    </row>
    <row r="628" spans="2:2" ht="14.4">
      <c r="B628" s="34"/>
    </row>
    <row r="629" spans="2:2" ht="14.4">
      <c r="B629" s="34"/>
    </row>
    <row r="630" spans="2:2" ht="14.4">
      <c r="B630" s="34"/>
    </row>
    <row r="631" spans="2:2" ht="14.4">
      <c r="B631" s="34"/>
    </row>
    <row r="632" spans="2:2" ht="14.4">
      <c r="B632" s="34"/>
    </row>
    <row r="633" spans="2:2" ht="14.4">
      <c r="B633" s="34"/>
    </row>
    <row r="634" spans="2:2" ht="14.4">
      <c r="B634" s="34"/>
    </row>
    <row r="635" spans="2:2" ht="14.4">
      <c r="B635" s="34"/>
    </row>
    <row r="636" spans="2:2" ht="14.4">
      <c r="B636" s="34"/>
    </row>
    <row r="637" spans="2:2" ht="14.4">
      <c r="B637" s="34"/>
    </row>
    <row r="638" spans="2:2" ht="14.4">
      <c r="B638" s="34"/>
    </row>
    <row r="639" spans="2:2" ht="14.4">
      <c r="B639" s="34"/>
    </row>
    <row r="640" spans="2:2" ht="14.4">
      <c r="B640" s="34"/>
    </row>
    <row r="641" spans="2:2" ht="14.4">
      <c r="B641" s="34"/>
    </row>
    <row r="642" spans="2:2" ht="14.4">
      <c r="B642" s="34"/>
    </row>
    <row r="643" spans="2:2" ht="14.4">
      <c r="B643" s="34"/>
    </row>
    <row r="644" spans="2:2" ht="14.4">
      <c r="B644" s="34"/>
    </row>
    <row r="645" spans="2:2" ht="14.4">
      <c r="B645" s="34"/>
    </row>
    <row r="646" spans="2:2" ht="14.4">
      <c r="B646" s="34"/>
    </row>
    <row r="647" spans="2:2" ht="14.4">
      <c r="B647" s="34"/>
    </row>
    <row r="648" spans="2:2" ht="14.4">
      <c r="B648" s="34"/>
    </row>
    <row r="649" spans="2:2" ht="14.4">
      <c r="B649" s="34"/>
    </row>
    <row r="650" spans="2:2" ht="14.4">
      <c r="B650" s="34"/>
    </row>
    <row r="651" spans="2:2" ht="14.4">
      <c r="B651" s="34"/>
    </row>
    <row r="652" spans="2:2" ht="14.4">
      <c r="B652" s="34"/>
    </row>
    <row r="653" spans="2:2" ht="14.4">
      <c r="B653" s="34"/>
    </row>
    <row r="654" spans="2:2" ht="14.4">
      <c r="B654" s="34"/>
    </row>
    <row r="655" spans="2:2" ht="14.4">
      <c r="B655" s="34"/>
    </row>
    <row r="656" spans="2:2" ht="14.4">
      <c r="B656" s="34"/>
    </row>
    <row r="657" spans="2:2" ht="14.4">
      <c r="B657" s="34"/>
    </row>
    <row r="658" spans="2:2" ht="14.4">
      <c r="B658" s="34"/>
    </row>
    <row r="659" spans="2:2" ht="14.4">
      <c r="B659" s="34"/>
    </row>
    <row r="660" spans="2:2" ht="14.4">
      <c r="B660" s="34"/>
    </row>
    <row r="661" spans="2:2" ht="14.4">
      <c r="B661" s="34"/>
    </row>
    <row r="662" spans="2:2" ht="14.4">
      <c r="B662" s="34"/>
    </row>
    <row r="663" spans="2:2" ht="14.4">
      <c r="B663" s="34"/>
    </row>
    <row r="664" spans="2:2" ht="14.4">
      <c r="B664" s="34"/>
    </row>
    <row r="665" spans="2:2" ht="14.4">
      <c r="B665" s="34"/>
    </row>
    <row r="666" spans="2:2" ht="14.4">
      <c r="B666" s="34"/>
    </row>
    <row r="667" spans="2:2" ht="14.4">
      <c r="B667" s="34"/>
    </row>
    <row r="668" spans="2:2" ht="14.4">
      <c r="B668" s="34"/>
    </row>
    <row r="669" spans="2:2" ht="14.4">
      <c r="B669" s="34"/>
    </row>
    <row r="670" spans="2:2" ht="14.4">
      <c r="B670" s="34"/>
    </row>
    <row r="671" spans="2:2" ht="14.4">
      <c r="B671" s="34"/>
    </row>
    <row r="672" spans="2:2" ht="14.4">
      <c r="B672" s="34"/>
    </row>
    <row r="673" spans="2:2" ht="14.4">
      <c r="B673" s="34"/>
    </row>
    <row r="674" spans="2:2" ht="14.4">
      <c r="B674" s="34"/>
    </row>
    <row r="675" spans="2:2" ht="14.4">
      <c r="B675" s="34"/>
    </row>
    <row r="676" spans="2:2" ht="14.4">
      <c r="B676" s="34"/>
    </row>
    <row r="677" spans="2:2" ht="14.4">
      <c r="B677" s="34"/>
    </row>
    <row r="678" spans="2:2" ht="14.4">
      <c r="B678" s="34"/>
    </row>
    <row r="679" spans="2:2" ht="14.4">
      <c r="B679" s="34"/>
    </row>
    <row r="680" spans="2:2" ht="14.4">
      <c r="B680" s="34"/>
    </row>
    <row r="681" spans="2:2" ht="14.4">
      <c r="B681" s="34"/>
    </row>
    <row r="682" spans="2:2" ht="14.4">
      <c r="B682" s="34"/>
    </row>
    <row r="683" spans="2:2" ht="14.4">
      <c r="B683" s="34"/>
    </row>
    <row r="684" spans="2:2" ht="14.4">
      <c r="B684" s="34"/>
    </row>
    <row r="685" spans="2:2" ht="14.4">
      <c r="B685" s="34"/>
    </row>
    <row r="686" spans="2:2" ht="14.4">
      <c r="B686" s="34"/>
    </row>
    <row r="687" spans="2:2" ht="14.4">
      <c r="B687" s="34"/>
    </row>
    <row r="688" spans="2:2" ht="14.4">
      <c r="B688" s="34"/>
    </row>
    <row r="689" spans="2:2" ht="14.4">
      <c r="B689" s="34"/>
    </row>
    <row r="690" spans="2:2" ht="14.4">
      <c r="B690" s="34"/>
    </row>
    <row r="691" spans="2:2" ht="14.4">
      <c r="B691" s="34"/>
    </row>
    <row r="692" spans="2:2" ht="14.4">
      <c r="B692" s="34"/>
    </row>
    <row r="693" spans="2:2" ht="14.4">
      <c r="B693" s="34"/>
    </row>
    <row r="694" spans="2:2" ht="14.4">
      <c r="B694" s="34"/>
    </row>
    <row r="695" spans="2:2" ht="14.4">
      <c r="B695" s="34"/>
    </row>
    <row r="696" spans="2:2" ht="14.4">
      <c r="B696" s="34"/>
    </row>
    <row r="697" spans="2:2" ht="14.4">
      <c r="B697" s="34"/>
    </row>
    <row r="698" spans="2:2" ht="14.4">
      <c r="B698" s="34"/>
    </row>
    <row r="699" spans="2:2" ht="14.4">
      <c r="B699" s="34"/>
    </row>
    <row r="700" spans="2:2" ht="14.4">
      <c r="B700" s="34"/>
    </row>
    <row r="701" spans="2:2" ht="14.4">
      <c r="B701" s="34"/>
    </row>
    <row r="702" spans="2:2" ht="14.4">
      <c r="B702" s="34"/>
    </row>
    <row r="703" spans="2:2" ht="14.4">
      <c r="B703" s="34"/>
    </row>
    <row r="704" spans="2:2" ht="14.4">
      <c r="B704" s="34"/>
    </row>
    <row r="705" spans="2:2" ht="14.4">
      <c r="B705" s="34"/>
    </row>
    <row r="706" spans="2:2" ht="14.4">
      <c r="B706" s="34"/>
    </row>
    <row r="707" spans="2:2" ht="14.4">
      <c r="B707" s="34"/>
    </row>
    <row r="708" spans="2:2" ht="14.4">
      <c r="B708" s="34"/>
    </row>
    <row r="709" spans="2:2" ht="14.4">
      <c r="B709" s="34"/>
    </row>
    <row r="710" spans="2:2" ht="14.4">
      <c r="B710" s="34"/>
    </row>
    <row r="711" spans="2:2" ht="14.4">
      <c r="B711" s="34"/>
    </row>
    <row r="712" spans="2:2" ht="14.4">
      <c r="B712" s="34"/>
    </row>
    <row r="713" spans="2:2" ht="14.4">
      <c r="B713" s="34"/>
    </row>
    <row r="714" spans="2:2" ht="14.4">
      <c r="B714" s="34"/>
    </row>
    <row r="715" spans="2:2" ht="14.4">
      <c r="B715" s="34"/>
    </row>
    <row r="716" spans="2:2" ht="14.4">
      <c r="B716" s="34"/>
    </row>
    <row r="717" spans="2:2" ht="14.4">
      <c r="B717" s="34"/>
    </row>
    <row r="718" spans="2:2" ht="14.4">
      <c r="B718" s="34"/>
    </row>
    <row r="719" spans="2:2" ht="14.4">
      <c r="B719" s="34"/>
    </row>
    <row r="720" spans="2:2" ht="14.4">
      <c r="B720" s="34"/>
    </row>
    <row r="721" spans="2:2" ht="14.4">
      <c r="B721" s="34"/>
    </row>
    <row r="722" spans="2:2" ht="14.4">
      <c r="B722" s="34"/>
    </row>
    <row r="723" spans="2:2" ht="14.4">
      <c r="B723" s="34"/>
    </row>
    <row r="724" spans="2:2" ht="14.4">
      <c r="B724" s="34"/>
    </row>
    <row r="725" spans="2:2" ht="14.4">
      <c r="B725" s="34"/>
    </row>
    <row r="726" spans="2:2" ht="14.4">
      <c r="B726" s="34"/>
    </row>
    <row r="727" spans="2:2" ht="14.4">
      <c r="B727" s="34"/>
    </row>
    <row r="728" spans="2:2" ht="14.4">
      <c r="B728" s="34"/>
    </row>
    <row r="729" spans="2:2" ht="14.4">
      <c r="B729" s="34"/>
    </row>
    <row r="730" spans="2:2" ht="14.4">
      <c r="B730" s="34"/>
    </row>
    <row r="731" spans="2:2" ht="14.4">
      <c r="B731" s="34"/>
    </row>
    <row r="732" spans="2:2" ht="14.4">
      <c r="B732" s="34"/>
    </row>
    <row r="733" spans="2:2" ht="14.4">
      <c r="B733" s="34"/>
    </row>
    <row r="734" spans="2:2" ht="14.4">
      <c r="B734" s="34"/>
    </row>
    <row r="735" spans="2:2" ht="14.4">
      <c r="B735" s="34"/>
    </row>
    <row r="736" spans="2:2" ht="14.4">
      <c r="B736" s="34"/>
    </row>
    <row r="737" spans="2:2" ht="14.4">
      <c r="B737" s="34"/>
    </row>
    <row r="738" spans="2:2" ht="14.4">
      <c r="B738" s="34"/>
    </row>
    <row r="739" spans="2:2" ht="14.4">
      <c r="B739" s="34"/>
    </row>
    <row r="740" spans="2:2" ht="14.4">
      <c r="B740" s="34"/>
    </row>
    <row r="741" spans="2:2" ht="14.4">
      <c r="B741" s="34"/>
    </row>
    <row r="742" spans="2:2" ht="14.4">
      <c r="B742" s="34"/>
    </row>
    <row r="743" spans="2:2" ht="14.4">
      <c r="B743" s="34"/>
    </row>
    <row r="744" spans="2:2" ht="14.4">
      <c r="B744" s="34"/>
    </row>
    <row r="745" spans="2:2" ht="14.4">
      <c r="B745" s="34"/>
    </row>
    <row r="746" spans="2:2" ht="14.4">
      <c r="B746" s="34"/>
    </row>
    <row r="747" spans="2:2" ht="14.4">
      <c r="B747" s="34"/>
    </row>
    <row r="748" spans="2:2" ht="14.4">
      <c r="B748" s="34"/>
    </row>
    <row r="749" spans="2:2" ht="14.4">
      <c r="B749" s="34"/>
    </row>
    <row r="750" spans="2:2" ht="14.4">
      <c r="B750" s="34"/>
    </row>
    <row r="751" spans="2:2" ht="14.4">
      <c r="B751" s="34"/>
    </row>
    <row r="752" spans="2:2" ht="14.4">
      <c r="B752" s="34"/>
    </row>
    <row r="753" spans="2:2" ht="14.4">
      <c r="B753" s="34"/>
    </row>
    <row r="754" spans="2:2" ht="14.4">
      <c r="B754" s="34"/>
    </row>
    <row r="755" spans="2:2" ht="14.4">
      <c r="B755" s="34"/>
    </row>
    <row r="756" spans="2:2" ht="14.4">
      <c r="B756" s="34"/>
    </row>
    <row r="757" spans="2:2" ht="14.4">
      <c r="B757" s="34"/>
    </row>
    <row r="758" spans="2:2" ht="14.4">
      <c r="B758" s="34"/>
    </row>
    <row r="759" spans="2:2" ht="14.4">
      <c r="B759" s="34"/>
    </row>
    <row r="760" spans="2:2" ht="14.4">
      <c r="B760" s="34"/>
    </row>
    <row r="761" spans="2:2" ht="14.4">
      <c r="B761" s="34"/>
    </row>
    <row r="762" spans="2:2" ht="14.4">
      <c r="B762" s="34"/>
    </row>
    <row r="763" spans="2:2" ht="14.4">
      <c r="B763" s="34"/>
    </row>
    <row r="764" spans="2:2" ht="14.4">
      <c r="B764" s="34"/>
    </row>
    <row r="765" spans="2:2" ht="14.4">
      <c r="B765" s="34"/>
    </row>
    <row r="766" spans="2:2" ht="14.4">
      <c r="B766" s="34"/>
    </row>
    <row r="767" spans="2:2" ht="14.4">
      <c r="B767" s="34"/>
    </row>
    <row r="768" spans="2:2" ht="14.4">
      <c r="B768" s="34"/>
    </row>
    <row r="769" spans="2:2" ht="14.4">
      <c r="B769" s="34"/>
    </row>
    <row r="770" spans="2:2" ht="14.4">
      <c r="B770" s="34"/>
    </row>
    <row r="771" spans="2:2" ht="14.4">
      <c r="B771" s="34"/>
    </row>
    <row r="772" spans="2:2" ht="14.4">
      <c r="B772" s="34"/>
    </row>
    <row r="773" spans="2:2" ht="14.4">
      <c r="B773" s="34"/>
    </row>
    <row r="774" spans="2:2" ht="14.4">
      <c r="B774" s="34"/>
    </row>
    <row r="775" spans="2:2" ht="14.4">
      <c r="B775" s="34"/>
    </row>
    <row r="776" spans="2:2" ht="14.4">
      <c r="B776" s="34"/>
    </row>
    <row r="777" spans="2:2" ht="14.4">
      <c r="B777" s="34"/>
    </row>
    <row r="778" spans="2:2" ht="14.4">
      <c r="B778" s="34"/>
    </row>
    <row r="779" spans="2:2" ht="14.4">
      <c r="B779" s="34"/>
    </row>
    <row r="780" spans="2:2" ht="14.4">
      <c r="B780" s="34"/>
    </row>
    <row r="781" spans="2:2" ht="14.4">
      <c r="B781" s="34"/>
    </row>
    <row r="782" spans="2:2" ht="14.4">
      <c r="B782" s="34"/>
    </row>
    <row r="783" spans="2:2" ht="14.4">
      <c r="B783" s="34"/>
    </row>
    <row r="784" spans="2:2" ht="14.4">
      <c r="B784" s="34"/>
    </row>
    <row r="785" spans="2:2" ht="14.4">
      <c r="B785" s="34"/>
    </row>
    <row r="786" spans="2:2" ht="14.4">
      <c r="B786" s="34"/>
    </row>
    <row r="787" spans="2:2" ht="14.4">
      <c r="B787" s="34"/>
    </row>
    <row r="788" spans="2:2" ht="14.4">
      <c r="B788" s="34"/>
    </row>
    <row r="789" spans="2:2" ht="14.4">
      <c r="B789" s="34"/>
    </row>
    <row r="790" spans="2:2" ht="14.4">
      <c r="B790" s="34"/>
    </row>
    <row r="791" spans="2:2" ht="14.4">
      <c r="B791" s="34"/>
    </row>
    <row r="792" spans="2:2" ht="14.4">
      <c r="B792" s="34"/>
    </row>
    <row r="793" spans="2:2" ht="14.4">
      <c r="B793" s="34"/>
    </row>
    <row r="794" spans="2:2" ht="14.4">
      <c r="B794" s="34"/>
    </row>
    <row r="795" spans="2:2" ht="14.4">
      <c r="B795" s="34"/>
    </row>
    <row r="796" spans="2:2" ht="14.4">
      <c r="B796" s="34"/>
    </row>
    <row r="797" spans="2:2" ht="14.4">
      <c r="B797" s="34"/>
    </row>
    <row r="798" spans="2:2" ht="14.4">
      <c r="B798" s="34"/>
    </row>
    <row r="799" spans="2:2" ht="14.4">
      <c r="B799" s="34"/>
    </row>
    <row r="800" spans="2:2" ht="14.4">
      <c r="B800" s="34"/>
    </row>
    <row r="801" spans="2:2" ht="14.4">
      <c r="B801" s="34"/>
    </row>
    <row r="802" spans="2:2" ht="14.4">
      <c r="B802" s="34"/>
    </row>
    <row r="803" spans="2:2" ht="14.4">
      <c r="B803" s="34"/>
    </row>
    <row r="804" spans="2:2" ht="14.4">
      <c r="B804" s="34"/>
    </row>
    <row r="805" spans="2:2" ht="14.4">
      <c r="B805" s="34"/>
    </row>
    <row r="806" spans="2:2" ht="14.4">
      <c r="B806" s="34"/>
    </row>
    <row r="807" spans="2:2" ht="14.4">
      <c r="B807" s="34"/>
    </row>
    <row r="808" spans="2:2" ht="14.4">
      <c r="B808" s="34"/>
    </row>
    <row r="809" spans="2:2" ht="14.4">
      <c r="B809" s="34"/>
    </row>
    <row r="810" spans="2:2" ht="14.4">
      <c r="B810" s="34"/>
    </row>
    <row r="811" spans="2:2" ht="14.4">
      <c r="B811" s="34"/>
    </row>
    <row r="812" spans="2:2" ht="14.4">
      <c r="B812" s="34"/>
    </row>
    <row r="813" spans="2:2" ht="14.4">
      <c r="B813" s="34"/>
    </row>
    <row r="814" spans="2:2" ht="14.4">
      <c r="B814" s="34"/>
    </row>
    <row r="815" spans="2:2" ht="14.4">
      <c r="B815" s="34"/>
    </row>
    <row r="816" spans="2:2" ht="14.4">
      <c r="B816" s="34"/>
    </row>
    <row r="817" spans="2:2" ht="14.4">
      <c r="B817" s="34"/>
    </row>
    <row r="818" spans="2:2" ht="14.4">
      <c r="B818" s="34"/>
    </row>
    <row r="819" spans="2:2" ht="14.4">
      <c r="B819" s="34"/>
    </row>
    <row r="820" spans="2:2" ht="14.4">
      <c r="B820" s="34"/>
    </row>
    <row r="821" spans="2:2" ht="14.4">
      <c r="B821" s="34"/>
    </row>
    <row r="822" spans="2:2" ht="14.4">
      <c r="B822" s="34"/>
    </row>
    <row r="823" spans="2:2" ht="14.4">
      <c r="B823" s="34"/>
    </row>
    <row r="824" spans="2:2" ht="14.4">
      <c r="B824" s="34"/>
    </row>
    <row r="825" spans="2:2" ht="14.4">
      <c r="B825" s="34"/>
    </row>
    <row r="826" spans="2:2" ht="14.4">
      <c r="B826" s="34"/>
    </row>
    <row r="827" spans="2:2" ht="14.4">
      <c r="B827" s="34"/>
    </row>
    <row r="828" spans="2:2" ht="14.4">
      <c r="B828" s="34"/>
    </row>
    <row r="829" spans="2:2" ht="14.4">
      <c r="B829" s="34"/>
    </row>
    <row r="830" spans="2:2" ht="14.4">
      <c r="B830" s="34"/>
    </row>
    <row r="831" spans="2:2" ht="14.4">
      <c r="B831" s="34"/>
    </row>
    <row r="832" spans="2:2" ht="14.4">
      <c r="B832" s="34"/>
    </row>
    <row r="833" spans="2:2" ht="14.4">
      <c r="B833" s="34"/>
    </row>
    <row r="834" spans="2:2" ht="14.4">
      <c r="B834" s="34"/>
    </row>
    <row r="835" spans="2:2" ht="14.4">
      <c r="B835" s="34"/>
    </row>
    <row r="836" spans="2:2" ht="14.4">
      <c r="B836" s="34"/>
    </row>
    <row r="837" spans="2:2" ht="14.4">
      <c r="B837" s="34"/>
    </row>
    <row r="838" spans="2:2" ht="14.4">
      <c r="B838" s="34"/>
    </row>
    <row r="839" spans="2:2" ht="14.4">
      <c r="B839" s="34"/>
    </row>
    <row r="840" spans="2:2" ht="14.4">
      <c r="B840" s="34"/>
    </row>
    <row r="841" spans="2:2" ht="14.4">
      <c r="B841" s="34"/>
    </row>
    <row r="842" spans="2:2" ht="14.4">
      <c r="B842" s="34"/>
    </row>
    <row r="843" spans="2:2" ht="14.4">
      <c r="B843" s="34"/>
    </row>
    <row r="844" spans="2:2" ht="14.4">
      <c r="B844" s="34"/>
    </row>
    <row r="845" spans="2:2" ht="14.4">
      <c r="B845" s="34"/>
    </row>
    <row r="846" spans="2:2" ht="14.4">
      <c r="B846" s="34"/>
    </row>
    <row r="847" spans="2:2" ht="14.4">
      <c r="B847" s="34"/>
    </row>
    <row r="848" spans="2:2" ht="14.4">
      <c r="B848" s="34"/>
    </row>
    <row r="849" spans="2:2" ht="14.4">
      <c r="B849" s="34"/>
    </row>
    <row r="850" spans="2:2" ht="14.4">
      <c r="B850" s="34"/>
    </row>
    <row r="851" spans="2:2" ht="14.4">
      <c r="B851" s="34"/>
    </row>
    <row r="852" spans="2:2" ht="14.4">
      <c r="B852" s="34"/>
    </row>
    <row r="853" spans="2:2" ht="14.4">
      <c r="B853" s="34"/>
    </row>
    <row r="854" spans="2:2" ht="14.4">
      <c r="B854" s="34"/>
    </row>
    <row r="855" spans="2:2" ht="14.4">
      <c r="B855" s="34"/>
    </row>
    <row r="856" spans="2:2" ht="14.4">
      <c r="B856" s="34"/>
    </row>
    <row r="857" spans="2:2" ht="14.4">
      <c r="B857" s="34"/>
    </row>
    <row r="858" spans="2:2" ht="14.4">
      <c r="B858" s="34"/>
    </row>
    <row r="859" spans="2:2" ht="14.4">
      <c r="B859" s="34"/>
    </row>
    <row r="860" spans="2:2" ht="14.4">
      <c r="B860" s="34"/>
    </row>
    <row r="861" spans="2:2" ht="14.4">
      <c r="B861" s="34"/>
    </row>
    <row r="862" spans="2:2" ht="14.4">
      <c r="B862" s="34"/>
    </row>
    <row r="863" spans="2:2" ht="14.4">
      <c r="B863" s="34"/>
    </row>
    <row r="864" spans="2:2" ht="14.4">
      <c r="B864" s="34"/>
    </row>
    <row r="865" spans="2:2" ht="14.4">
      <c r="B865" s="34"/>
    </row>
    <row r="866" spans="2:2" ht="14.4">
      <c r="B866" s="34"/>
    </row>
    <row r="867" spans="2:2" ht="14.4">
      <c r="B867" s="34"/>
    </row>
    <row r="868" spans="2:2" ht="14.4">
      <c r="B868" s="34"/>
    </row>
    <row r="869" spans="2:2" ht="14.4">
      <c r="B869" s="34"/>
    </row>
    <row r="870" spans="2:2" ht="14.4">
      <c r="B870" s="34"/>
    </row>
    <row r="871" spans="2:2" ht="14.4">
      <c r="B871" s="34"/>
    </row>
    <row r="872" spans="2:2" ht="14.4">
      <c r="B872" s="34"/>
    </row>
    <row r="873" spans="2:2" ht="14.4">
      <c r="B873" s="34"/>
    </row>
    <row r="874" spans="2:2" ht="14.4">
      <c r="B874" s="34"/>
    </row>
    <row r="875" spans="2:2" ht="14.4">
      <c r="B875" s="34"/>
    </row>
    <row r="876" spans="2:2" ht="14.4">
      <c r="B876" s="34"/>
    </row>
    <row r="877" spans="2:2" ht="14.4">
      <c r="B877" s="34"/>
    </row>
    <row r="878" spans="2:2" ht="14.4">
      <c r="B878" s="34"/>
    </row>
    <row r="879" spans="2:2" ht="14.4">
      <c r="B879" s="34"/>
    </row>
    <row r="880" spans="2:2" ht="14.4">
      <c r="B880" s="34"/>
    </row>
    <row r="881" spans="2:2" ht="14.4">
      <c r="B881" s="34"/>
    </row>
    <row r="882" spans="2:2" ht="14.4">
      <c r="B882" s="34"/>
    </row>
    <row r="883" spans="2:2" ht="14.4">
      <c r="B883" s="34"/>
    </row>
    <row r="884" spans="2:2" ht="14.4">
      <c r="B884" s="34"/>
    </row>
    <row r="885" spans="2:2" ht="14.4">
      <c r="B885" s="34"/>
    </row>
    <row r="886" spans="2:2" ht="14.4">
      <c r="B886" s="34"/>
    </row>
    <row r="887" spans="2:2" ht="14.4">
      <c r="B887" s="34"/>
    </row>
    <row r="888" spans="2:2" ht="14.4">
      <c r="B888" s="34"/>
    </row>
    <row r="889" spans="2:2" ht="14.4">
      <c r="B889" s="34"/>
    </row>
    <row r="890" spans="2:2" ht="14.4">
      <c r="B890" s="34"/>
    </row>
    <row r="891" spans="2:2" ht="14.4">
      <c r="B891" s="34"/>
    </row>
    <row r="892" spans="2:2" ht="14.4">
      <c r="B892" s="34"/>
    </row>
    <row r="893" spans="2:2" ht="14.4">
      <c r="B893" s="34"/>
    </row>
    <row r="894" spans="2:2" ht="14.4">
      <c r="B894" s="34"/>
    </row>
    <row r="895" spans="2:2" ht="14.4">
      <c r="B895" s="34"/>
    </row>
    <row r="896" spans="2:2" ht="14.4">
      <c r="B896" s="34"/>
    </row>
    <row r="897" spans="2:2" ht="14.4">
      <c r="B897" s="34"/>
    </row>
    <row r="898" spans="2:2" ht="14.4">
      <c r="B898" s="34"/>
    </row>
    <row r="899" spans="2:2" ht="14.4">
      <c r="B899" s="34"/>
    </row>
    <row r="900" spans="2:2" ht="14.4">
      <c r="B900" s="34"/>
    </row>
    <row r="901" spans="2:2" ht="14.4">
      <c r="B901" s="34"/>
    </row>
    <row r="902" spans="2:2" ht="14.4">
      <c r="B902" s="34"/>
    </row>
    <row r="903" spans="2:2" ht="14.4">
      <c r="B903" s="34"/>
    </row>
    <row r="904" spans="2:2" ht="14.4">
      <c r="B904" s="34"/>
    </row>
    <row r="905" spans="2:2" ht="14.4">
      <c r="B905" s="34"/>
    </row>
    <row r="906" spans="2:2" ht="14.4">
      <c r="B906" s="34"/>
    </row>
    <row r="907" spans="2:2" ht="14.4">
      <c r="B907" s="34"/>
    </row>
    <row r="908" spans="2:2" ht="14.4">
      <c r="B908" s="34"/>
    </row>
    <row r="909" spans="2:2" ht="14.4">
      <c r="B909" s="34"/>
    </row>
    <row r="910" spans="2:2" ht="14.4">
      <c r="B910" s="34"/>
    </row>
    <row r="911" spans="2:2" ht="14.4">
      <c r="B911" s="34"/>
    </row>
    <row r="912" spans="2:2" ht="14.4">
      <c r="B912" s="34"/>
    </row>
    <row r="913" spans="2:2" ht="14.4">
      <c r="B913" s="34"/>
    </row>
    <row r="914" spans="2:2" ht="14.4">
      <c r="B914" s="34"/>
    </row>
    <row r="915" spans="2:2" ht="14.4">
      <c r="B915" s="34"/>
    </row>
    <row r="916" spans="2:2" ht="14.4">
      <c r="B916" s="34"/>
    </row>
    <row r="917" spans="2:2" ht="14.4">
      <c r="B917" s="34"/>
    </row>
    <row r="918" spans="2:2" ht="14.4">
      <c r="B918" s="34"/>
    </row>
    <row r="919" spans="2:2" ht="14.4">
      <c r="B919" s="34"/>
    </row>
    <row r="920" spans="2:2" ht="14.4">
      <c r="B920" s="34"/>
    </row>
    <row r="921" spans="2:2" ht="14.4">
      <c r="B921" s="34"/>
    </row>
    <row r="922" spans="2:2" ht="14.4">
      <c r="B922" s="34"/>
    </row>
    <row r="923" spans="2:2" ht="14.4">
      <c r="B923" s="34"/>
    </row>
    <row r="924" spans="2:2" ht="14.4">
      <c r="B924" s="34"/>
    </row>
    <row r="925" spans="2:2" ht="14.4">
      <c r="B925" s="34"/>
    </row>
    <row r="926" spans="2:2" ht="14.4">
      <c r="B926" s="34"/>
    </row>
    <row r="927" spans="2:2" ht="14.4">
      <c r="B927" s="34"/>
    </row>
    <row r="928" spans="2:2" ht="14.4">
      <c r="B928" s="34"/>
    </row>
    <row r="929" spans="2:2" ht="14.4">
      <c r="B929" s="34"/>
    </row>
    <row r="930" spans="2:2" ht="14.4">
      <c r="B930" s="34"/>
    </row>
    <row r="931" spans="2:2" ht="14.4">
      <c r="B931" s="34"/>
    </row>
    <row r="932" spans="2:2" ht="14.4">
      <c r="B932" s="34"/>
    </row>
    <row r="933" spans="2:2" ht="14.4">
      <c r="B933" s="34"/>
    </row>
    <row r="934" spans="2:2" ht="14.4">
      <c r="B934" s="34"/>
    </row>
    <row r="935" spans="2:2" ht="14.4">
      <c r="B935" s="34"/>
    </row>
    <row r="936" spans="2:2" ht="14.4">
      <c r="B936" s="34"/>
    </row>
    <row r="937" spans="2:2" ht="14.4">
      <c r="B937" s="34"/>
    </row>
    <row r="938" spans="2:2" ht="14.4">
      <c r="B938" s="34"/>
    </row>
    <row r="939" spans="2:2" ht="14.4">
      <c r="B939" s="34"/>
    </row>
    <row r="940" spans="2:2" ht="14.4">
      <c r="B940" s="34"/>
    </row>
    <row r="941" spans="2:2" ht="14.4">
      <c r="B941" s="34"/>
    </row>
    <row r="942" spans="2:2" ht="14.4">
      <c r="B942" s="34"/>
    </row>
    <row r="943" spans="2:2" ht="14.4">
      <c r="B943" s="34"/>
    </row>
    <row r="944" spans="2:2" ht="14.4">
      <c r="B944" s="34"/>
    </row>
    <row r="945" spans="2:2" ht="14.4">
      <c r="B945" s="34"/>
    </row>
    <row r="946" spans="2:2" ht="14.4">
      <c r="B946" s="34"/>
    </row>
    <row r="947" spans="2:2" ht="14.4">
      <c r="B947" s="34"/>
    </row>
    <row r="948" spans="2:2" ht="14.4">
      <c r="B948" s="34"/>
    </row>
    <row r="949" spans="2:2" ht="14.4">
      <c r="B949" s="34"/>
    </row>
    <row r="950" spans="2:2" ht="14.4">
      <c r="B950" s="34"/>
    </row>
    <row r="951" spans="2:2" ht="14.4">
      <c r="B951" s="34"/>
    </row>
    <row r="952" spans="2:2" ht="14.4">
      <c r="B952" s="34"/>
    </row>
    <row r="953" spans="2:2" ht="14.4">
      <c r="B953" s="34"/>
    </row>
    <row r="954" spans="2:2" ht="14.4">
      <c r="B954" s="34"/>
    </row>
    <row r="955" spans="2:2" ht="14.4">
      <c r="B955" s="34"/>
    </row>
    <row r="956" spans="2:2" ht="14.4">
      <c r="B956" s="34"/>
    </row>
    <row r="957" spans="2:2" ht="14.4">
      <c r="B957" s="34"/>
    </row>
    <row r="958" spans="2:2" ht="14.4">
      <c r="B958" s="34"/>
    </row>
    <row r="959" spans="2:2" ht="14.4">
      <c r="B959" s="34"/>
    </row>
    <row r="960" spans="2:2" ht="14.4">
      <c r="B960" s="34"/>
    </row>
    <row r="961" spans="2:2" ht="14.4">
      <c r="B961" s="34"/>
    </row>
    <row r="962" spans="2:2" ht="14.4">
      <c r="B962" s="34"/>
    </row>
    <row r="963" spans="2:2" ht="14.4">
      <c r="B963" s="34"/>
    </row>
    <row r="964" spans="2:2" ht="14.4">
      <c r="B964" s="34"/>
    </row>
    <row r="965" spans="2:2" ht="14.4">
      <c r="B965" s="34"/>
    </row>
    <row r="966" spans="2:2" ht="14.4">
      <c r="B966" s="34"/>
    </row>
    <row r="967" spans="2:2" ht="14.4">
      <c r="B967" s="34"/>
    </row>
    <row r="968" spans="2:2" ht="14.4">
      <c r="B968" s="34"/>
    </row>
    <row r="969" spans="2:2" ht="14.4">
      <c r="B969" s="34"/>
    </row>
    <row r="970" spans="2:2" ht="14.4">
      <c r="B970" s="34"/>
    </row>
    <row r="971" spans="2:2" ht="14.4">
      <c r="B971" s="34"/>
    </row>
    <row r="972" spans="2:2" ht="14.4">
      <c r="B972" s="34"/>
    </row>
    <row r="973" spans="2:2" ht="14.4">
      <c r="B973" s="34"/>
    </row>
    <row r="974" spans="2:2" ht="14.4">
      <c r="B974" s="34"/>
    </row>
    <row r="975" spans="2:2" ht="14.4">
      <c r="B975" s="34"/>
    </row>
    <row r="976" spans="2:2" ht="14.4">
      <c r="B976" s="34"/>
    </row>
    <row r="977" spans="2:2" ht="14.4">
      <c r="B977" s="34"/>
    </row>
    <row r="978" spans="2:2" ht="14.4">
      <c r="B978" s="34"/>
    </row>
    <row r="979" spans="2:2" ht="14.4">
      <c r="B979" s="34"/>
    </row>
    <row r="980" spans="2:2" ht="14.4">
      <c r="B980" s="34"/>
    </row>
    <row r="981" spans="2:2" ht="14.4">
      <c r="B981" s="34"/>
    </row>
    <row r="982" spans="2:2" ht="14.4">
      <c r="B982" s="34"/>
    </row>
    <row r="983" spans="2:2" ht="14.4">
      <c r="B983" s="34"/>
    </row>
    <row r="984" spans="2:2" ht="14.4">
      <c r="B984" s="34"/>
    </row>
    <row r="985" spans="2:2" ht="14.4">
      <c r="B985" s="34"/>
    </row>
    <row r="986" spans="2:2" ht="14.4">
      <c r="B986" s="34"/>
    </row>
    <row r="987" spans="2:2" ht="14.4">
      <c r="B987" s="34"/>
    </row>
    <row r="988" spans="2:2" ht="14.4">
      <c r="B988" s="34"/>
    </row>
    <row r="989" spans="2:2" ht="14.4">
      <c r="B989" s="34"/>
    </row>
    <row r="990" spans="2:2" ht="14.4">
      <c r="B990" s="34"/>
    </row>
    <row r="991" spans="2:2" ht="14.4">
      <c r="B991" s="34"/>
    </row>
    <row r="992" spans="2:2" ht="14.4">
      <c r="B992" s="34"/>
    </row>
    <row r="993" spans="2:2" ht="14.4">
      <c r="B993" s="34"/>
    </row>
    <row r="994" spans="2:2" ht="14.4">
      <c r="B994" s="34"/>
    </row>
    <row r="995" spans="2:2" ht="14.4">
      <c r="B995" s="34"/>
    </row>
    <row r="996" spans="2:2" ht="14.4">
      <c r="B996" s="34"/>
    </row>
    <row r="997" spans="2:2" ht="14.4">
      <c r="B997" s="34"/>
    </row>
    <row r="998" spans="2:2" ht="14.4">
      <c r="B998" s="34"/>
    </row>
    <row r="999" spans="2:2" ht="14.4">
      <c r="B999" s="34"/>
    </row>
    <row r="1000" spans="2:2" ht="14.4">
      <c r="B1000" s="34"/>
    </row>
    <row r="1001" spans="2:2" ht="14.4">
      <c r="B1001" s="34"/>
    </row>
    <row r="1002" spans="2:2" ht="14.4">
      <c r="B1002" s="34"/>
    </row>
    <row r="1003" spans="2:2" ht="14.4">
      <c r="B1003" s="34"/>
    </row>
    <row r="1004" spans="2:2" ht="14.4">
      <c r="B1004" s="34"/>
    </row>
    <row r="1005" spans="2:2" ht="14.4">
      <c r="B1005" s="34"/>
    </row>
    <row r="1006" spans="2:2" ht="14.4">
      <c r="B1006" s="34"/>
    </row>
    <row r="1007" spans="2:2" ht="14.4">
      <c r="B1007" s="34"/>
    </row>
  </sheetData>
  <autoFilter ref="N54:R64" xr:uid="{00000000-0009-0000-0000-000003000000}">
    <sortState xmlns:xlrd2="http://schemas.microsoft.com/office/spreadsheetml/2017/richdata2" ref="N54:R64">
      <sortCondition descending="1" ref="Q54:Q64"/>
    </sortState>
  </autoFilter>
  <mergeCells count="1">
    <mergeCell ref="L55:L57"/>
  </mergeCells>
  <conditionalFormatting sqref="C11:C34">
    <cfRule type="colorScale" priority="10">
      <colorScale>
        <cfvo type="min"/>
        <cfvo type="max"/>
        <color rgb="FFFFFFFF"/>
        <color rgb="FF57BB8A"/>
      </colorScale>
    </cfRule>
  </conditionalFormatting>
  <conditionalFormatting sqref="C37:E40 F37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51:E52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3:F43">
    <cfRule type="colorScale" priority="2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6:F47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8:F48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7:G40 I37:J40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1:D34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1:F34">
    <cfRule type="colorScale" priority="12">
      <colorScale>
        <cfvo type="min"/>
        <cfvo type="max"/>
        <color rgb="FFFFFFFF"/>
        <color rgb="FF57BB8A"/>
      </colorScale>
    </cfRule>
  </conditionalFormatting>
  <conditionalFormatting sqref="F37:F40">
    <cfRule type="colorScale" priority="7">
      <colorScale>
        <cfvo type="min"/>
        <cfvo type="max"/>
        <color rgb="FFFFFFFF"/>
        <color rgb="FF57BB8A"/>
      </colorScale>
    </cfRule>
  </conditionalFormatting>
  <conditionalFormatting sqref="F51:F52">
    <cfRule type="colorScale" priority="2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1:G34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1:H34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37:H40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1:J34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60:J63">
    <cfRule type="colorScale" priority="2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1:L34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37:L40">
    <cfRule type="colorScale" priority="19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L69:L72">
    <cfRule type="colorScale" priority="2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M17:M34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M37:M40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11:N34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37:N40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Q55:Q64 Q66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R55:R64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S29:S35 L44:L50 Q44:Q50 V44:V50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6F823-E196-4430-88CC-81E7440D31E9}">
  <sheetPr>
    <outlinePr summaryBelow="0" summaryRight="0"/>
  </sheetPr>
  <dimension ref="A2:AL228"/>
  <sheetViews>
    <sheetView showGridLines="0" workbookViewId="0"/>
  </sheetViews>
  <sheetFormatPr defaultColWidth="14.44140625" defaultRowHeight="15" customHeight="1"/>
  <cols>
    <col min="1" max="1" width="8.6640625" customWidth="1"/>
  </cols>
  <sheetData>
    <row r="2" spans="2:14" ht="14.4">
      <c r="B2" s="89" t="s">
        <v>150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2:14" ht="15" customHeight="1"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2:14" ht="15" customHeight="1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6" spans="2:14" ht="14.4">
      <c r="B6" s="90" t="s">
        <v>151</v>
      </c>
    </row>
    <row r="7" spans="2:14" ht="14.4">
      <c r="B7" s="90" t="s">
        <v>152</v>
      </c>
      <c r="C7" s="90" t="s">
        <v>153</v>
      </c>
      <c r="F7" s="90" t="s">
        <v>152</v>
      </c>
      <c r="G7" s="90" t="s">
        <v>154</v>
      </c>
      <c r="J7" s="90" t="s">
        <v>152</v>
      </c>
      <c r="K7" s="90" t="s">
        <v>155</v>
      </c>
    </row>
    <row r="8" spans="2:14" ht="14.4">
      <c r="B8" s="91" t="s">
        <v>20</v>
      </c>
      <c r="C8" s="92">
        <v>252834</v>
      </c>
      <c r="F8" s="91" t="s">
        <v>20</v>
      </c>
      <c r="G8" s="92">
        <v>16789</v>
      </c>
      <c r="J8" s="91" t="s">
        <v>20</v>
      </c>
      <c r="K8" s="92">
        <v>2390</v>
      </c>
    </row>
    <row r="9" spans="2:14" ht="14.4">
      <c r="B9" s="91" t="s">
        <v>156</v>
      </c>
      <c r="C9" s="92">
        <v>119083</v>
      </c>
      <c r="F9" s="91" t="s">
        <v>156</v>
      </c>
      <c r="G9" s="92">
        <v>16301</v>
      </c>
      <c r="J9" s="91" t="s">
        <v>156</v>
      </c>
      <c r="K9" s="92">
        <v>2316</v>
      </c>
    </row>
    <row r="10" spans="2:14" ht="14.4">
      <c r="B10" s="91" t="s">
        <v>157</v>
      </c>
      <c r="C10" s="92">
        <v>12276</v>
      </c>
      <c r="F10" s="91" t="s">
        <v>157</v>
      </c>
      <c r="G10" s="92">
        <v>1966</v>
      </c>
      <c r="J10" s="91" t="s">
        <v>157</v>
      </c>
      <c r="K10" s="92">
        <v>126</v>
      </c>
    </row>
    <row r="11" spans="2:14" ht="14.4">
      <c r="B11" s="91" t="s">
        <v>158</v>
      </c>
      <c r="C11" s="92">
        <v>10919</v>
      </c>
      <c r="F11" s="91" t="s">
        <v>158</v>
      </c>
      <c r="G11" s="92">
        <v>18622</v>
      </c>
      <c r="J11" s="91" t="s">
        <v>158</v>
      </c>
      <c r="K11" s="92">
        <v>-533</v>
      </c>
    </row>
    <row r="12" spans="2:14" ht="14.4">
      <c r="B12" s="91" t="s">
        <v>159</v>
      </c>
      <c r="C12" s="92">
        <v>9356</v>
      </c>
      <c r="F12" s="91" t="s">
        <v>159</v>
      </c>
      <c r="G12" s="92">
        <v>2254</v>
      </c>
      <c r="J12" s="91" t="s">
        <v>159</v>
      </c>
      <c r="K12" s="92">
        <v>310</v>
      </c>
    </row>
    <row r="13" spans="2:14" ht="14.4">
      <c r="B13" s="91" t="s">
        <v>160</v>
      </c>
      <c r="C13" s="92">
        <v>6455</v>
      </c>
      <c r="F13" s="91" t="s">
        <v>160</v>
      </c>
      <c r="G13" s="92">
        <v>1362</v>
      </c>
      <c r="J13" s="91" t="s">
        <v>160</v>
      </c>
      <c r="K13" s="92">
        <v>90</v>
      </c>
    </row>
    <row r="14" spans="2:14" ht="14.4">
      <c r="B14" s="93" t="s">
        <v>161</v>
      </c>
      <c r="C14" s="92">
        <v>4464</v>
      </c>
      <c r="F14" s="93" t="s">
        <v>161</v>
      </c>
      <c r="G14" s="92">
        <v>1394</v>
      </c>
      <c r="J14" s="93" t="s">
        <v>161</v>
      </c>
      <c r="K14" s="92">
        <v>112</v>
      </c>
    </row>
    <row r="15" spans="2:14" ht="14.4">
      <c r="B15" s="91" t="s">
        <v>162</v>
      </c>
      <c r="C15" s="92">
        <v>3131</v>
      </c>
      <c r="F15" s="91" t="s">
        <v>162</v>
      </c>
      <c r="G15" s="92">
        <v>475</v>
      </c>
      <c r="J15" s="91" t="s">
        <v>162</v>
      </c>
      <c r="K15" s="92">
        <v>30</v>
      </c>
    </row>
    <row r="16" spans="2:14" ht="14.4">
      <c r="B16" s="91" t="s">
        <v>163</v>
      </c>
      <c r="C16" s="92">
        <v>2192</v>
      </c>
      <c r="F16" s="91" t="s">
        <v>163</v>
      </c>
      <c r="G16" s="94">
        <v>1652</v>
      </c>
      <c r="J16" s="91" t="s">
        <v>163</v>
      </c>
      <c r="K16" s="94">
        <v>20</v>
      </c>
    </row>
    <row r="17" spans="2:11" ht="14.4">
      <c r="B17" s="91" t="s">
        <v>164</v>
      </c>
      <c r="C17" s="92">
        <v>2042</v>
      </c>
      <c r="F17" s="91" t="s">
        <v>164</v>
      </c>
      <c r="G17" s="94">
        <v>450</v>
      </c>
      <c r="J17" s="91" t="s">
        <v>164</v>
      </c>
      <c r="K17" s="94">
        <v>55</v>
      </c>
    </row>
    <row r="18" spans="2:11" thickBot="1">
      <c r="B18" s="91" t="s">
        <v>165</v>
      </c>
      <c r="C18" s="92">
        <v>1868</v>
      </c>
      <c r="F18" s="3" t="s">
        <v>165</v>
      </c>
      <c r="G18" s="95">
        <v>650</v>
      </c>
      <c r="J18" s="3" t="s">
        <v>165</v>
      </c>
      <c r="K18" s="95">
        <v>50</v>
      </c>
    </row>
    <row r="19" spans="2:11" ht="15.6" thickTop="1" thickBot="1">
      <c r="B19" s="7" t="s">
        <v>166</v>
      </c>
      <c r="C19" s="7">
        <v>3027</v>
      </c>
    </row>
    <row r="21" spans="2:11" thickTop="1">
      <c r="B21" s="82" t="s">
        <v>151</v>
      </c>
      <c r="C21" s="82">
        <f>SUM(C7:C19)</f>
        <v>427647</v>
      </c>
      <c r="F21" s="82" t="s">
        <v>151</v>
      </c>
      <c r="G21" s="82">
        <f>SUM(G7:G19)</f>
        <v>61915</v>
      </c>
      <c r="J21" s="82" t="s">
        <v>151</v>
      </c>
      <c r="K21" s="82">
        <f>SUM(K7:K19)</f>
        <v>4966</v>
      </c>
    </row>
    <row r="37" spans="2:7" ht="14.4">
      <c r="B37" s="90" t="s">
        <v>21</v>
      </c>
    </row>
    <row r="38" spans="2:7" ht="14.4">
      <c r="B38" s="90" t="s">
        <v>152</v>
      </c>
      <c r="C38" s="90" t="s">
        <v>167</v>
      </c>
      <c r="F38" s="90" t="s">
        <v>152</v>
      </c>
      <c r="G38" s="90" t="s">
        <v>168</v>
      </c>
    </row>
    <row r="39" spans="2:7" ht="14.4">
      <c r="B39" s="91" t="s">
        <v>20</v>
      </c>
      <c r="C39" s="96">
        <v>8.4020176609259201E-2</v>
      </c>
      <c r="F39" s="91" t="s">
        <v>20</v>
      </c>
      <c r="G39" s="96">
        <v>0.13919828459110128</v>
      </c>
    </row>
    <row r="40" spans="2:7" ht="14.4">
      <c r="B40" s="91" t="s">
        <v>156</v>
      </c>
      <c r="C40" s="96">
        <v>0.10477020613521582</v>
      </c>
      <c r="F40" s="91" t="s">
        <v>156</v>
      </c>
      <c r="G40" s="96">
        <v>2.5887982332372328E-2</v>
      </c>
    </row>
    <row r="41" spans="2:7" ht="14.4">
      <c r="B41" s="91" t="s">
        <v>157</v>
      </c>
      <c r="C41" s="96">
        <v>0.20278082516485596</v>
      </c>
      <c r="F41" s="91" t="s">
        <v>157</v>
      </c>
      <c r="G41" s="96">
        <v>9.2065106815869768E-2</v>
      </c>
    </row>
    <row r="42" spans="2:7" ht="14.4">
      <c r="B42" s="91" t="s">
        <v>158</v>
      </c>
      <c r="C42" s="96">
        <v>0.12709945405576506</v>
      </c>
      <c r="F42" s="91" t="s">
        <v>158</v>
      </c>
      <c r="G42" s="96">
        <v>-8.4147782193104925E-2</v>
      </c>
    </row>
    <row r="43" spans="2:7" ht="14.4">
      <c r="B43" s="91" t="s">
        <v>159</v>
      </c>
      <c r="C43" s="96">
        <v>0.34982412326456203</v>
      </c>
      <c r="F43" s="91" t="s">
        <v>159</v>
      </c>
      <c r="G43" s="96">
        <v>1.7746228926354135E-3</v>
      </c>
    </row>
    <row r="44" spans="2:7" ht="14.4">
      <c r="B44" s="91" t="s">
        <v>160</v>
      </c>
      <c r="C44" s="96">
        <v>0.14469233461264874</v>
      </c>
      <c r="F44" s="91" t="s">
        <v>160</v>
      </c>
      <c r="G44" s="96">
        <v>0.14831130690161531</v>
      </c>
    </row>
    <row r="45" spans="2:7" ht="14.4">
      <c r="B45" s="93" t="s">
        <v>161</v>
      </c>
      <c r="C45" s="97"/>
      <c r="F45" s="93" t="s">
        <v>161</v>
      </c>
      <c r="G45" s="96">
        <v>-3.0129124820659992E-2</v>
      </c>
    </row>
    <row r="46" spans="2:7" ht="14.4">
      <c r="B46" s="91" t="s">
        <v>162</v>
      </c>
      <c r="C46" s="96">
        <v>9.920926349885395E-2</v>
      </c>
      <c r="F46" s="91" t="s">
        <v>162</v>
      </c>
      <c r="G46" s="96">
        <v>0.13894736842105271</v>
      </c>
    </row>
    <row r="47" spans="2:7" ht="14.4">
      <c r="B47" s="91" t="s">
        <v>163</v>
      </c>
      <c r="C47" s="96">
        <v>9.7605456381603561E-2</v>
      </c>
      <c r="F47" s="91" t="s">
        <v>163</v>
      </c>
      <c r="G47" s="96">
        <v>6.0532687651337902E-4</v>
      </c>
    </row>
    <row r="48" spans="2:7" ht="14.4">
      <c r="B48" s="91" t="s">
        <v>164</v>
      </c>
      <c r="C48" s="96">
        <v>0.16688977891407952</v>
      </c>
      <c r="F48" s="91" t="s">
        <v>164</v>
      </c>
      <c r="G48" s="96">
        <v>8.8888888888888795E-2</v>
      </c>
    </row>
    <row r="49" spans="2:7" thickBot="1">
      <c r="B49" s="3" t="s">
        <v>165</v>
      </c>
      <c r="C49" s="98">
        <v>5.814078782077714E-2</v>
      </c>
      <c r="F49" s="3" t="s">
        <v>165</v>
      </c>
      <c r="G49" s="98">
        <v>0.71076923076923082</v>
      </c>
    </row>
    <row r="51" spans="2:7" thickTop="1">
      <c r="B51" s="82" t="s">
        <v>151</v>
      </c>
      <c r="C51" s="99">
        <v>0.113</v>
      </c>
      <c r="F51" s="82" t="s">
        <v>151</v>
      </c>
      <c r="G51" s="99">
        <v>3.4000000000000002E-2</v>
      </c>
    </row>
    <row r="67" spans="2:11" ht="14.4">
      <c r="B67" s="90" t="s">
        <v>23</v>
      </c>
    </row>
    <row r="68" spans="2:11" ht="14.4">
      <c r="B68" s="90" t="s">
        <v>152</v>
      </c>
      <c r="C68" s="90" t="s">
        <v>30</v>
      </c>
      <c r="F68" s="90" t="s">
        <v>152</v>
      </c>
      <c r="G68" s="90" t="s">
        <v>32</v>
      </c>
      <c r="J68" s="90" t="s">
        <v>152</v>
      </c>
      <c r="K68" s="90" t="s">
        <v>31</v>
      </c>
    </row>
    <row r="69" spans="2:11" ht="14.4">
      <c r="B69" s="91" t="s">
        <v>20</v>
      </c>
      <c r="C69" s="100">
        <v>1.1204481792717087E-2</v>
      </c>
      <c r="F69" s="91" t="s">
        <v>20</v>
      </c>
      <c r="G69" s="101">
        <v>38.571428571428569</v>
      </c>
      <c r="J69" s="91" t="s">
        <v>20</v>
      </c>
      <c r="K69" s="100">
        <v>0.69773592890393565</v>
      </c>
    </row>
    <row r="70" spans="2:11" ht="14.4">
      <c r="B70" s="91" t="s">
        <v>156</v>
      </c>
      <c r="C70" s="100">
        <v>0.96101635920640449</v>
      </c>
      <c r="F70" s="91" t="s">
        <v>156</v>
      </c>
      <c r="G70" s="101">
        <v>19.494186046511629</v>
      </c>
      <c r="J70" s="91" t="s">
        <v>156</v>
      </c>
      <c r="K70" s="100">
        <v>0.67150531489313059</v>
      </c>
    </row>
    <row r="71" spans="2:11" ht="14.4">
      <c r="B71" s="91" t="s">
        <v>157</v>
      </c>
      <c r="C71" s="100">
        <v>0.14832535885167464</v>
      </c>
      <c r="F71" s="91" t="s">
        <v>157</v>
      </c>
      <c r="G71" s="101">
        <v>37</v>
      </c>
      <c r="J71" s="91" t="s">
        <v>157</v>
      </c>
      <c r="K71" s="100">
        <v>0.27631578947368424</v>
      </c>
    </row>
    <row r="72" spans="2:11" ht="14.4">
      <c r="B72" s="91" t="s">
        <v>158</v>
      </c>
      <c r="C72" s="100">
        <v>0</v>
      </c>
      <c r="F72" s="91" t="s">
        <v>158</v>
      </c>
      <c r="G72" s="101">
        <v>6.8080357142857144</v>
      </c>
      <c r="J72" s="91" t="s">
        <v>158</v>
      </c>
      <c r="K72" s="100">
        <v>0.61745628877608572</v>
      </c>
    </row>
    <row r="73" spans="2:11" ht="14.4">
      <c r="B73" s="91" t="s">
        <v>159</v>
      </c>
      <c r="C73" s="100">
        <v>6.6833109275974648E-2</v>
      </c>
      <c r="F73" s="91" t="s">
        <v>159</v>
      </c>
      <c r="G73" s="101">
        <v>13.608695652173912</v>
      </c>
      <c r="J73" s="91" t="s">
        <v>159</v>
      </c>
      <c r="K73" s="100">
        <v>0.10684273709483794</v>
      </c>
    </row>
    <row r="74" spans="2:11" ht="14.4">
      <c r="B74" s="91" t="s">
        <v>160</v>
      </c>
      <c r="C74" s="100">
        <v>0</v>
      </c>
      <c r="F74" s="91" t="s">
        <v>160</v>
      </c>
      <c r="G74" s="101">
        <v>24.2</v>
      </c>
      <c r="J74" s="91" t="s">
        <v>160</v>
      </c>
      <c r="K74" s="100">
        <v>0.36940686784599375</v>
      </c>
    </row>
    <row r="75" spans="2:11" ht="14.4">
      <c r="B75" s="93" t="s">
        <v>161</v>
      </c>
      <c r="C75" s="100">
        <v>0.38848920863309355</v>
      </c>
      <c r="F75" s="93" t="s">
        <v>161</v>
      </c>
      <c r="G75" s="101">
        <v>15</v>
      </c>
      <c r="J75" s="93" t="s">
        <v>161</v>
      </c>
      <c r="K75" s="100">
        <v>0.37093275488069416</v>
      </c>
    </row>
    <row r="76" spans="2:11" ht="14.4">
      <c r="B76" s="91" t="s">
        <v>162</v>
      </c>
      <c r="C76" s="100">
        <v>0.18705035971223022</v>
      </c>
      <c r="F76" s="91" t="s">
        <v>162</v>
      </c>
      <c r="G76" s="101">
        <v>11.5</v>
      </c>
      <c r="J76" s="91" t="s">
        <v>162</v>
      </c>
      <c r="K76" s="100">
        <v>0.3930131004366812</v>
      </c>
    </row>
    <row r="77" spans="2:11" ht="14.4">
      <c r="B77" s="91" t="s">
        <v>163</v>
      </c>
      <c r="C77" s="100">
        <v>8.5106382978723402E-2</v>
      </c>
      <c r="F77" s="91" t="s">
        <v>163</v>
      </c>
      <c r="G77" s="101">
        <v>10</v>
      </c>
      <c r="J77" s="91" t="s">
        <v>163</v>
      </c>
      <c r="K77" s="100">
        <v>0.24840085287846481</v>
      </c>
    </row>
    <row r="78" spans="2:11" ht="14.4">
      <c r="B78" s="91" t="s">
        <v>164</v>
      </c>
      <c r="C78" s="100">
        <v>1.5837104072398189E-2</v>
      </c>
      <c r="F78" s="91" t="s">
        <v>164</v>
      </c>
      <c r="G78" s="101">
        <v>49.5</v>
      </c>
      <c r="J78" s="91" t="s">
        <v>164</v>
      </c>
      <c r="K78" s="100">
        <v>0.2078853046594982</v>
      </c>
    </row>
    <row r="79" spans="2:11" thickBot="1">
      <c r="B79" s="3" t="s">
        <v>165</v>
      </c>
      <c r="C79" s="102">
        <v>0.17647058823529413</v>
      </c>
      <c r="F79" s="3" t="s">
        <v>165</v>
      </c>
      <c r="G79" s="41">
        <v>57.6</v>
      </c>
      <c r="J79" s="3" t="s">
        <v>165</v>
      </c>
      <c r="K79" s="102">
        <v>0.25365853658536586</v>
      </c>
    </row>
    <row r="81" spans="2:11" thickTop="1">
      <c r="B81" s="82" t="s">
        <v>151</v>
      </c>
      <c r="C81" s="82">
        <v>0.18</v>
      </c>
      <c r="F81" s="82" t="s">
        <v>151</v>
      </c>
      <c r="G81" s="82">
        <v>15.4</v>
      </c>
      <c r="J81" s="82" t="s">
        <v>151</v>
      </c>
      <c r="K81" s="82">
        <v>0.54</v>
      </c>
    </row>
    <row r="97" spans="2:12" ht="14.4">
      <c r="B97" s="90" t="s">
        <v>22</v>
      </c>
    </row>
    <row r="98" spans="2:12" ht="14.4">
      <c r="B98" s="90" t="s">
        <v>152</v>
      </c>
      <c r="C98" s="90" t="s">
        <v>169</v>
      </c>
      <c r="D98" s="90" t="s">
        <v>170</v>
      </c>
      <c r="G98" s="90" t="s">
        <v>152</v>
      </c>
      <c r="H98" s="90" t="s">
        <v>171</v>
      </c>
      <c r="K98" s="90" t="s">
        <v>152</v>
      </c>
      <c r="L98" s="90" t="s">
        <v>172</v>
      </c>
    </row>
    <row r="99" spans="2:12" ht="14.4">
      <c r="B99" s="91" t="s">
        <v>20</v>
      </c>
      <c r="C99" s="96">
        <v>0.1423551134671511</v>
      </c>
      <c r="D99" s="103">
        <v>0.15680225870542716</v>
      </c>
      <c r="G99" s="91" t="s">
        <v>20</v>
      </c>
      <c r="H99" s="101">
        <v>1.2135126270908494</v>
      </c>
      <c r="K99" s="91" t="s">
        <v>20</v>
      </c>
      <c r="L99" s="101">
        <v>5.6106870229007635</v>
      </c>
    </row>
    <row r="100" spans="2:12" ht="14.4">
      <c r="B100" s="91" t="s">
        <v>156</v>
      </c>
      <c r="C100" s="96">
        <v>0.14207717317955953</v>
      </c>
      <c r="D100" s="103">
        <v>0.12886443819888777</v>
      </c>
      <c r="G100" s="91" t="s">
        <v>156</v>
      </c>
      <c r="H100" s="101">
        <v>0.86582176624421647</v>
      </c>
      <c r="K100" s="91" t="s">
        <v>156</v>
      </c>
      <c r="L100" s="101">
        <v>8.9924056688393232</v>
      </c>
    </row>
    <row r="101" spans="2:12" ht="14.4">
      <c r="B101" s="91" t="s">
        <v>157</v>
      </c>
      <c r="C101" s="96">
        <v>6.4089521871820959E-2</v>
      </c>
      <c r="D101" s="103">
        <v>8.9427107591988825E-2</v>
      </c>
      <c r="G101" s="91" t="s">
        <v>157</v>
      </c>
      <c r="H101" s="101">
        <v>1.8076923076923077</v>
      </c>
      <c r="K101" s="91" t="s">
        <v>157</v>
      </c>
      <c r="L101" s="101">
        <v>20.230554261760599</v>
      </c>
    </row>
    <row r="102" spans="2:12" ht="14.4">
      <c r="B102" s="91" t="s">
        <v>158</v>
      </c>
      <c r="C102" s="96">
        <v>-2.8622059929116098E-2</v>
      </c>
      <c r="D102" s="103">
        <v>-8.032834945763706E-3</v>
      </c>
      <c r="G102" s="91" t="s">
        <v>158</v>
      </c>
      <c r="H102" s="101">
        <v>1.3762488218661639</v>
      </c>
      <c r="K102" s="91" t="s">
        <v>158</v>
      </c>
      <c r="L102" s="101">
        <v>10.315450014658458</v>
      </c>
    </row>
    <row r="103" spans="2:12" ht="14.4">
      <c r="B103" s="91" t="s">
        <v>159</v>
      </c>
      <c r="C103" s="96">
        <v>0.13753327417923691</v>
      </c>
      <c r="D103" s="103">
        <v>0.11603188662533215</v>
      </c>
      <c r="G103" s="91" t="s">
        <v>159</v>
      </c>
      <c r="H103" s="101">
        <v>1.4727272727272727</v>
      </c>
      <c r="K103" s="91" t="s">
        <v>159</v>
      </c>
      <c r="L103" s="101">
        <v>20.690876882196633</v>
      </c>
    </row>
    <row r="104" spans="2:12" ht="14.4">
      <c r="B104" s="91" t="s">
        <v>160</v>
      </c>
      <c r="C104" s="96">
        <v>6.6079295154185022E-2</v>
      </c>
      <c r="D104" s="103">
        <v>8.5677749360613814E-2</v>
      </c>
      <c r="G104" s="91" t="s">
        <v>160</v>
      </c>
      <c r="H104" s="101">
        <v>1.808411214953271</v>
      </c>
      <c r="K104" s="91" t="s">
        <v>160</v>
      </c>
      <c r="L104" s="101">
        <v>24.737851662404093</v>
      </c>
    </row>
    <row r="105" spans="2:12" ht="14.4">
      <c r="B105" s="93" t="s">
        <v>161</v>
      </c>
      <c r="C105" s="96">
        <v>8.0344332855093251E-2</v>
      </c>
      <c r="D105" s="103">
        <v>8.2840236686390539E-2</v>
      </c>
      <c r="G105" s="93" t="s">
        <v>161</v>
      </c>
      <c r="H105" s="104" t="e">
        <v>#DIV/0!</v>
      </c>
      <c r="K105" s="93" t="s">
        <v>161</v>
      </c>
      <c r="L105" s="101">
        <v>2.9696745562130178</v>
      </c>
    </row>
    <row r="106" spans="2:12" ht="14.4">
      <c r="B106" s="91" t="s">
        <v>162</v>
      </c>
      <c r="C106" s="96">
        <v>6.3157894736842107E-2</v>
      </c>
      <c r="D106" s="103">
        <v>8.8724584103512014E-2</v>
      </c>
      <c r="G106" s="91" t="s">
        <v>162</v>
      </c>
      <c r="H106" s="101">
        <v>2</v>
      </c>
      <c r="K106" s="91" t="s">
        <v>162</v>
      </c>
      <c r="L106" s="101">
        <v>36.432532347504619</v>
      </c>
    </row>
    <row r="107" spans="2:12" ht="14.4">
      <c r="B107" s="91" t="s">
        <v>163</v>
      </c>
      <c r="C107" s="96">
        <v>1.2106537530266344E-2</v>
      </c>
      <c r="D107" s="103">
        <v>1.2099213551119177E-2</v>
      </c>
      <c r="G107" s="91" t="s">
        <v>163</v>
      </c>
      <c r="H107" s="101">
        <v>1.6265822784810127</v>
      </c>
      <c r="K107" s="91" t="s">
        <v>163</v>
      </c>
      <c r="L107" s="101">
        <v>3.0913490623109499</v>
      </c>
    </row>
    <row r="108" spans="2:12" ht="14.4">
      <c r="B108" s="91" t="s">
        <v>164</v>
      </c>
      <c r="C108" s="96">
        <v>0.12222222222222222</v>
      </c>
      <c r="D108" s="103">
        <v>0.1326530612244898</v>
      </c>
      <c r="G108" s="91" t="s">
        <v>164</v>
      </c>
      <c r="H108" s="101">
        <v>6.8269230769230766</v>
      </c>
      <c r="K108" s="91" t="s">
        <v>164</v>
      </c>
      <c r="L108" s="101">
        <v>61.081632653061227</v>
      </c>
    </row>
    <row r="109" spans="2:12" thickBot="1">
      <c r="B109" s="3" t="s">
        <v>165</v>
      </c>
      <c r="C109" s="98">
        <v>7.6923076923076927E-2</v>
      </c>
      <c r="D109" s="105">
        <v>0.23741007194244604</v>
      </c>
      <c r="G109" s="3" t="s">
        <v>165</v>
      </c>
      <c r="H109" s="41">
        <v>4.1020408163265305</v>
      </c>
      <c r="K109" s="3" t="s">
        <v>165</v>
      </c>
      <c r="L109" s="41">
        <v>124.40197841726618</v>
      </c>
    </row>
    <row r="111" spans="2:12" thickTop="1">
      <c r="B111" s="82" t="s">
        <v>151</v>
      </c>
      <c r="C111" s="99">
        <v>0.08</v>
      </c>
      <c r="D111" s="99">
        <v>9.5000000000000001E-2</v>
      </c>
      <c r="G111" s="82" t="s">
        <v>151</v>
      </c>
      <c r="H111" s="82">
        <v>1.2</v>
      </c>
      <c r="K111" s="82" t="s">
        <v>151</v>
      </c>
      <c r="L111" s="82">
        <v>11.9</v>
      </c>
    </row>
    <row r="128" spans="2:2" ht="14.4">
      <c r="B128" s="90" t="s">
        <v>24</v>
      </c>
    </row>
    <row r="129" spans="2:11" ht="14.4">
      <c r="B129" s="90" t="s">
        <v>152</v>
      </c>
      <c r="C129" s="90" t="s">
        <v>33</v>
      </c>
      <c r="F129" s="90" t="s">
        <v>152</v>
      </c>
      <c r="G129" s="90" t="s">
        <v>34</v>
      </c>
      <c r="J129" s="90" t="s">
        <v>152</v>
      </c>
      <c r="K129" s="90" t="s">
        <v>35</v>
      </c>
    </row>
    <row r="130" spans="2:11" ht="14.4">
      <c r="B130" s="91" t="s">
        <v>20</v>
      </c>
      <c r="C130" s="96">
        <v>1.0500700280112045</v>
      </c>
      <c r="F130" s="91" t="s">
        <v>20</v>
      </c>
      <c r="G130" s="92">
        <v>31.239583333333332</v>
      </c>
      <c r="J130" s="91" t="s">
        <v>20</v>
      </c>
      <c r="K130" s="51">
        <v>0.31728734659331359</v>
      </c>
    </row>
    <row r="131" spans="2:11" ht="14.4">
      <c r="B131" s="91" t="s">
        <v>156</v>
      </c>
      <c r="C131" s="96">
        <v>0.75008701705534286</v>
      </c>
      <c r="F131" s="91" t="s">
        <v>156</v>
      </c>
      <c r="G131" s="92">
        <v>89.791666666666671</v>
      </c>
      <c r="J131" s="91" t="s">
        <v>156</v>
      </c>
      <c r="K131" s="51">
        <v>0.24631386444165049</v>
      </c>
    </row>
    <row r="132" spans="2:11" ht="14.4">
      <c r="B132" s="91" t="s">
        <v>157</v>
      </c>
      <c r="C132" s="96">
        <v>0.18373205741626794</v>
      </c>
      <c r="F132" s="91" t="s">
        <v>157</v>
      </c>
      <c r="G132" s="92">
        <v>7.68</v>
      </c>
      <c r="J132" s="91" t="s">
        <v>157</v>
      </c>
      <c r="K132" s="51">
        <v>0.1329639889196676</v>
      </c>
    </row>
    <row r="133" spans="2:11" ht="14.4">
      <c r="B133" s="91" t="s">
        <v>158</v>
      </c>
      <c r="C133" s="96">
        <v>-2.5248802064135642E-2</v>
      </c>
      <c r="F133" s="91" t="s">
        <v>158</v>
      </c>
      <c r="G133" s="92">
        <v>-10.538461538461538</v>
      </c>
      <c r="J133" s="91" t="s">
        <v>158</v>
      </c>
      <c r="K133" s="51">
        <v>-9.6587704455724753E-3</v>
      </c>
    </row>
    <row r="134" spans="2:11" ht="14.4">
      <c r="B134" s="91" t="s">
        <v>159</v>
      </c>
      <c r="C134" s="96">
        <v>5.0316881121567118E-2</v>
      </c>
      <c r="F134" s="91" t="s">
        <v>159</v>
      </c>
      <c r="G134" s="92">
        <v>4.1587301587301591</v>
      </c>
      <c r="J134" s="91" t="s">
        <v>159</v>
      </c>
      <c r="K134" s="51">
        <v>4.4932258617732805E-2</v>
      </c>
    </row>
    <row r="135" spans="2:11" ht="14.4">
      <c r="B135" s="91" t="s">
        <v>160</v>
      </c>
      <c r="C135" s="96">
        <v>0.22112211221122113</v>
      </c>
      <c r="F135" s="91" t="s">
        <v>160</v>
      </c>
      <c r="G135" s="92">
        <v>2.3103448275862069</v>
      </c>
      <c r="J135" s="91" t="s">
        <v>160</v>
      </c>
      <c r="K135" s="51">
        <v>0.13943808532778357</v>
      </c>
    </row>
    <row r="136" spans="2:11" ht="14.4">
      <c r="B136" s="93" t="s">
        <v>161</v>
      </c>
      <c r="C136" s="96">
        <v>0.40287769784172661</v>
      </c>
      <c r="F136" s="93" t="s">
        <v>161</v>
      </c>
      <c r="G136" s="92">
        <v>9.3333333333333339</v>
      </c>
      <c r="J136" s="93" t="s">
        <v>161</v>
      </c>
      <c r="K136" s="51">
        <v>0.24295010845986983</v>
      </c>
    </row>
    <row r="137" spans="2:11" ht="14.4">
      <c r="B137" s="91" t="s">
        <v>162</v>
      </c>
      <c r="C137" s="96">
        <v>0.17266187050359713</v>
      </c>
      <c r="F137" s="91" t="s">
        <v>162</v>
      </c>
      <c r="G137" s="92">
        <v>16</v>
      </c>
      <c r="J137" s="91" t="s">
        <v>162</v>
      </c>
      <c r="K137" s="51">
        <v>0.10480349344978165</v>
      </c>
    </row>
    <row r="138" spans="2:11" ht="14.4">
      <c r="B138" s="91" t="s">
        <v>163</v>
      </c>
      <c r="C138" s="96">
        <v>2.8368794326241134E-2</v>
      </c>
      <c r="F138" s="91" t="s">
        <v>163</v>
      </c>
      <c r="G138" s="92">
        <v>1.6666666666666667</v>
      </c>
      <c r="J138" s="91" t="s">
        <v>163</v>
      </c>
      <c r="K138" s="51">
        <v>2.1321961620469083E-2</v>
      </c>
    </row>
    <row r="139" spans="2:11" ht="14.4">
      <c r="B139" s="91" t="s">
        <v>164</v>
      </c>
      <c r="C139" s="96">
        <v>0.14705882352941177</v>
      </c>
      <c r="F139" s="91" t="s">
        <v>164</v>
      </c>
      <c r="G139" s="92">
        <v>2.9545454545454546</v>
      </c>
      <c r="J139" s="91" t="s">
        <v>164</v>
      </c>
      <c r="K139" s="51">
        <v>0.11648745519713262</v>
      </c>
    </row>
    <row r="140" spans="2:11" thickBot="1">
      <c r="B140" s="3" t="s">
        <v>165</v>
      </c>
      <c r="C140" s="98">
        <v>0.16300000000000001</v>
      </c>
      <c r="F140" s="3" t="s">
        <v>165</v>
      </c>
      <c r="G140" s="106">
        <v>2.64</v>
      </c>
      <c r="J140" s="3" t="s">
        <v>165</v>
      </c>
      <c r="K140" s="107">
        <v>0.12</v>
      </c>
    </row>
    <row r="142" spans="2:11" thickTop="1">
      <c r="B142" s="82" t="s">
        <v>151</v>
      </c>
      <c r="C142" s="108">
        <v>0.30536409949056037</v>
      </c>
      <c r="F142" s="82" t="s">
        <v>151</v>
      </c>
      <c r="G142" s="109">
        <v>14.285046728971963</v>
      </c>
      <c r="J142" s="82" t="s">
        <v>151</v>
      </c>
      <c r="K142" s="110">
        <v>0.14072641900290014</v>
      </c>
    </row>
    <row r="158" spans="2:11" ht="14.4">
      <c r="B158" s="90" t="s">
        <v>25</v>
      </c>
    </row>
    <row r="159" spans="2:11" ht="14.4">
      <c r="B159" s="111" t="s">
        <v>152</v>
      </c>
      <c r="C159" s="111" t="s">
        <v>173</v>
      </c>
      <c r="F159" s="111" t="s">
        <v>152</v>
      </c>
      <c r="G159" s="111" t="s">
        <v>174</v>
      </c>
      <c r="J159" s="111" t="s">
        <v>152</v>
      </c>
      <c r="K159" s="111" t="s">
        <v>39</v>
      </c>
    </row>
    <row r="160" spans="2:11" ht="13.5" customHeight="1">
      <c r="B160" s="91" t="s">
        <v>20</v>
      </c>
      <c r="C160" s="112">
        <v>84.59</v>
      </c>
      <c r="F160" s="91" t="s">
        <v>20</v>
      </c>
      <c r="G160" s="96">
        <v>1.1855296763618343E-2</v>
      </c>
      <c r="J160" s="91" t="s">
        <v>20</v>
      </c>
      <c r="K160" s="112">
        <v>88.178151260504208</v>
      </c>
    </row>
    <row r="161" spans="2:11" ht="13.5" customHeight="1">
      <c r="B161" s="91" t="s">
        <v>156</v>
      </c>
      <c r="C161" s="112">
        <v>55.11</v>
      </c>
      <c r="F161" s="91" t="s">
        <v>156</v>
      </c>
      <c r="G161" s="96">
        <v>1.8346541234214427E-2</v>
      </c>
      <c r="J161" s="91" t="s">
        <v>156</v>
      </c>
      <c r="K161" s="112">
        <v>40.847198050817958</v>
      </c>
    </row>
    <row r="162" spans="2:11" ht="13.5" customHeight="1">
      <c r="B162" s="91" t="s">
        <v>157</v>
      </c>
      <c r="C162" s="112">
        <v>65.73</v>
      </c>
      <c r="F162" s="91" t="s">
        <v>157</v>
      </c>
      <c r="G162" s="96">
        <v>1.5255965735264124E-2</v>
      </c>
      <c r="J162" s="91" t="s">
        <v>157</v>
      </c>
      <c r="K162" s="112">
        <v>11.729665071770336</v>
      </c>
    </row>
    <row r="163" spans="2:11" ht="13.5" customHeight="1">
      <c r="B163" s="91" t="s">
        <v>158</v>
      </c>
      <c r="C163" s="112"/>
      <c r="F163" s="91" t="s">
        <v>158</v>
      </c>
      <c r="G163" s="96">
        <v>-0.10903180121024848</v>
      </c>
      <c r="J163" s="91" t="s">
        <v>158</v>
      </c>
      <c r="K163" s="112">
        <v>1.8608735716918543</v>
      </c>
    </row>
    <row r="164" spans="2:11" ht="13.5" customHeight="1">
      <c r="B164" s="91" t="s">
        <v>159</v>
      </c>
      <c r="C164" s="112">
        <v>35.72</v>
      </c>
      <c r="F164" s="91" t="s">
        <v>159</v>
      </c>
      <c r="G164" s="96">
        <v>2.8095563139931737E-2</v>
      </c>
      <c r="J164" s="91" t="s">
        <v>159</v>
      </c>
      <c r="K164" s="112">
        <v>1.7725177645477241</v>
      </c>
    </row>
    <row r="165" spans="2:11" ht="13.5" customHeight="1">
      <c r="B165" s="91" t="s">
        <v>160</v>
      </c>
      <c r="C165" s="112">
        <v>49</v>
      </c>
      <c r="F165" s="91" t="s">
        <v>160</v>
      </c>
      <c r="G165" s="96">
        <v>2.0791628753412193E-2</v>
      </c>
      <c r="J165" s="91" t="s">
        <v>160</v>
      </c>
      <c r="K165" s="112">
        <v>10.518481848184818</v>
      </c>
    </row>
    <row r="166" spans="2:11" ht="13.5" customHeight="1">
      <c r="B166" s="93" t="s">
        <v>161</v>
      </c>
      <c r="C166" s="112">
        <v>38.369999999999997</v>
      </c>
      <c r="F166" s="93" t="s">
        <v>161</v>
      </c>
      <c r="G166" s="96">
        <v>2.5933147632311981E-2</v>
      </c>
      <c r="J166" s="93" t="s">
        <v>161</v>
      </c>
      <c r="K166" s="112">
        <v>15.496402877697841</v>
      </c>
    </row>
    <row r="167" spans="2:11" ht="13.5" customHeight="1">
      <c r="B167" s="91" t="s">
        <v>162</v>
      </c>
      <c r="C167" s="112">
        <v>79.540000000000006</v>
      </c>
      <c r="F167" s="91" t="s">
        <v>162</v>
      </c>
      <c r="G167" s="96">
        <v>1.4561389139159636E-2</v>
      </c>
      <c r="J167" s="91" t="s">
        <v>162</v>
      </c>
      <c r="K167" s="112">
        <v>13.175179856115108</v>
      </c>
    </row>
    <row r="168" spans="2:11" ht="13.5" customHeight="1">
      <c r="B168" s="91" t="s">
        <v>163</v>
      </c>
      <c r="C168" s="112">
        <v>35.4</v>
      </c>
      <c r="F168" s="91" t="s">
        <v>163</v>
      </c>
      <c r="G168" s="96">
        <v>2.8173003595162872E-2</v>
      </c>
      <c r="J168" s="91" t="s">
        <v>163</v>
      </c>
      <c r="K168" s="112">
        <v>3.1247659574468085</v>
      </c>
    </row>
    <row r="169" spans="2:11" ht="13.5" customHeight="1">
      <c r="B169" s="91" t="s">
        <v>164</v>
      </c>
      <c r="C169" s="112">
        <v>31.05</v>
      </c>
      <c r="F169" s="91" t="s">
        <v>164</v>
      </c>
      <c r="G169" s="96">
        <v>3.2334682860998651E-2</v>
      </c>
      <c r="J169" s="91" t="s">
        <v>164</v>
      </c>
      <c r="K169" s="112">
        <v>4.6102941176470589</v>
      </c>
    </row>
    <row r="170" spans="2:11" ht="13.5" customHeight="1" thickBot="1">
      <c r="B170" s="3" t="s">
        <v>165</v>
      </c>
      <c r="C170" s="4">
        <v>6.72</v>
      </c>
      <c r="F170" s="3" t="s">
        <v>165</v>
      </c>
      <c r="G170" s="98">
        <v>0.14903299203640502</v>
      </c>
      <c r="J170" s="3" t="s">
        <v>165</v>
      </c>
      <c r="K170" s="4">
        <v>5.7450980392156854</v>
      </c>
    </row>
    <row r="171" spans="2:11" ht="13.5" customHeight="1" thickTop="1" thickBot="1"/>
    <row r="172" spans="2:11" thickTop="1">
      <c r="B172" s="82" t="s">
        <v>151</v>
      </c>
      <c r="C172" s="113">
        <f>MEDIAN(C160:C170)</f>
        <v>43.685000000000002</v>
      </c>
      <c r="F172" s="82" t="s">
        <v>151</v>
      </c>
      <c r="G172" s="114">
        <f>MEDIAN(G160:G170)</f>
        <v>2.0791628753412193E-2</v>
      </c>
      <c r="J172" s="82" t="s">
        <v>151</v>
      </c>
      <c r="K172" s="113">
        <f>MEDIAN(K160:K170)</f>
        <v>10.518481848184818</v>
      </c>
    </row>
    <row r="193" spans="1:38" ht="14.4">
      <c r="A193" s="90" t="s">
        <v>175</v>
      </c>
      <c r="B193" s="90" t="s">
        <v>152</v>
      </c>
      <c r="C193" s="90" t="s">
        <v>1</v>
      </c>
      <c r="D193" s="90" t="s">
        <v>153</v>
      </c>
      <c r="E193" s="90" t="s">
        <v>176</v>
      </c>
      <c r="F193" s="90" t="s">
        <v>177</v>
      </c>
      <c r="G193" s="90" t="s">
        <v>178</v>
      </c>
      <c r="H193" s="90" t="s">
        <v>179</v>
      </c>
      <c r="I193" s="90" t="s">
        <v>180</v>
      </c>
      <c r="J193" s="90" t="s">
        <v>181</v>
      </c>
      <c r="K193" s="90" t="s">
        <v>182</v>
      </c>
      <c r="L193" s="90" t="s">
        <v>183</v>
      </c>
      <c r="M193" s="90" t="s">
        <v>6</v>
      </c>
      <c r="N193" s="90" t="s">
        <v>184</v>
      </c>
      <c r="O193" s="90" t="s">
        <v>185</v>
      </c>
      <c r="P193" s="90" t="s">
        <v>186</v>
      </c>
      <c r="Q193" s="90" t="s">
        <v>154</v>
      </c>
      <c r="R193" s="90" t="s">
        <v>155</v>
      </c>
      <c r="S193" s="90" t="s">
        <v>187</v>
      </c>
      <c r="T193" s="90" t="s">
        <v>188</v>
      </c>
      <c r="U193" s="90" t="s">
        <v>189</v>
      </c>
      <c r="V193" s="90" t="s">
        <v>190</v>
      </c>
      <c r="W193" s="90" t="s">
        <v>167</v>
      </c>
      <c r="X193" s="90" t="s">
        <v>168</v>
      </c>
      <c r="Y193" s="90" t="s">
        <v>169</v>
      </c>
      <c r="Z193" s="90" t="s">
        <v>170</v>
      </c>
      <c r="AA193" s="90" t="s">
        <v>32</v>
      </c>
      <c r="AB193" s="90" t="s">
        <v>171</v>
      </c>
      <c r="AC193" s="90" t="s">
        <v>172</v>
      </c>
      <c r="AD193" s="90" t="s">
        <v>30</v>
      </c>
      <c r="AE193" s="90" t="s">
        <v>31</v>
      </c>
      <c r="AF193" s="90" t="s">
        <v>33</v>
      </c>
      <c r="AG193" s="90" t="s">
        <v>34</v>
      </c>
      <c r="AH193" s="90" t="s">
        <v>35</v>
      </c>
      <c r="AI193" s="90" t="s">
        <v>173</v>
      </c>
      <c r="AJ193" s="90" t="s">
        <v>174</v>
      </c>
      <c r="AK193" s="90" t="s">
        <v>38</v>
      </c>
      <c r="AL193" s="90" t="s">
        <v>39</v>
      </c>
    </row>
    <row r="194" spans="1:38" ht="14.4">
      <c r="A194" s="115">
        <v>500790</v>
      </c>
      <c r="B194" s="116" t="s">
        <v>20</v>
      </c>
      <c r="C194" s="117">
        <v>2623.3</v>
      </c>
      <c r="D194" s="118">
        <v>252834</v>
      </c>
      <c r="E194" s="92">
        <v>3700</v>
      </c>
      <c r="F194" s="92">
        <v>3049</v>
      </c>
      <c r="G194" s="92">
        <v>9452</v>
      </c>
      <c r="H194" s="92">
        <v>6595</v>
      </c>
      <c r="I194" s="92">
        <v>96</v>
      </c>
      <c r="J194" s="92">
        <v>2856</v>
      </c>
      <c r="K194" s="94">
        <v>32</v>
      </c>
      <c r="L194" s="92">
        <v>294</v>
      </c>
      <c r="M194" s="94">
        <v>1</v>
      </c>
      <c r="N194" s="119" t="str">
        <f ca="1">IFERROR(__xludf.DUMMYFUNCTION("GOOGLEFINANCE(""NSE:""&amp;B194,""EPS"")"),"#N/A")</f>
        <v>#N/A</v>
      </c>
      <c r="O194" s="92">
        <v>11216</v>
      </c>
      <c r="P194" s="92">
        <v>1606</v>
      </c>
      <c r="Q194" s="92">
        <v>16789</v>
      </c>
      <c r="R194" s="92">
        <v>2390</v>
      </c>
      <c r="S194" s="92">
        <v>19126</v>
      </c>
      <c r="T194" s="92">
        <v>2999</v>
      </c>
      <c r="U194" s="94">
        <v>119</v>
      </c>
      <c r="V194" s="94">
        <v>14655</v>
      </c>
      <c r="W194" s="120">
        <f t="shared" ref="W194:W204" si="0">(Q194/O194)^(1/5)-1</f>
        <v>8.4020176609259201E-2</v>
      </c>
      <c r="X194" s="120">
        <f t="shared" ref="X194:X204" si="1">(S194/Q194)-1</f>
        <v>0.13919828459110128</v>
      </c>
      <c r="Y194" s="120">
        <f t="shared" ref="Y194:Y204" si="2">R194/Q194</f>
        <v>0.1423551134671511</v>
      </c>
      <c r="Z194" s="29">
        <f t="shared" ref="Z194:Z204" si="3">T194/S194</f>
        <v>0.15680225870542716</v>
      </c>
      <c r="AA194" s="121">
        <f t="shared" ref="AA194:AA204" si="4">(S194-V194+U194)/U194</f>
        <v>38.571428571428569</v>
      </c>
      <c r="AB194" s="121">
        <f t="shared" ref="AB194:AB204" si="5">E194/F194</f>
        <v>1.2135126270908494</v>
      </c>
      <c r="AC194" s="121">
        <f t="shared" ref="AC194:AC204" si="6">(L194/S194)*365</f>
        <v>5.6106870229007635</v>
      </c>
      <c r="AD194" s="122">
        <f t="shared" ref="AD194:AD204" si="7">K194/J194</f>
        <v>1.1204481792717087E-2</v>
      </c>
      <c r="AE194" s="122">
        <f t="shared" ref="AE194:AE204" si="8">H194/G194</f>
        <v>0.69773592890393565</v>
      </c>
      <c r="AF194" s="120">
        <f t="shared" ref="AF194:AF203" si="9">T194/J194</f>
        <v>1.0500700280112045</v>
      </c>
      <c r="AG194" s="123">
        <f t="shared" ref="AG194:AG204" si="10">T194/I194</f>
        <v>31.239583333333332</v>
      </c>
      <c r="AH194" s="52">
        <f t="shared" ref="AH194:AH203" si="11">T194/G194</f>
        <v>0.31728734659331359</v>
      </c>
      <c r="AI194" s="119" t="str">
        <f ca="1">IFERROR(__xludf.DUMMYFUNCTION("GOOGLEFINANCE(""NSE:""&amp;B194,""PE"")"),"#N/A")</f>
        <v>#N/A</v>
      </c>
      <c r="AJ194" s="120" t="e">
        <f t="shared" ref="AJ194:AJ204" ca="1" si="12">N194/C194</f>
        <v>#VALUE!</v>
      </c>
      <c r="AK194" s="121">
        <f t="shared" ref="AK194:AK204" si="13">J194/(I194/M194)</f>
        <v>29.75</v>
      </c>
      <c r="AL194" s="16">
        <f t="shared" ref="AL194:AL204" si="14">C194/AK194</f>
        <v>88.178151260504208</v>
      </c>
    </row>
    <row r="195" spans="1:38" ht="14.4">
      <c r="A195" s="115">
        <v>500825</v>
      </c>
      <c r="B195" s="116" t="s">
        <v>156</v>
      </c>
      <c r="C195" s="117">
        <v>4889.75</v>
      </c>
      <c r="D195" s="118">
        <v>119083</v>
      </c>
      <c r="E195" s="92">
        <v>4304</v>
      </c>
      <c r="F195" s="92">
        <v>4971</v>
      </c>
      <c r="G195" s="92">
        <v>8749</v>
      </c>
      <c r="H195" s="92">
        <v>5875</v>
      </c>
      <c r="I195" s="92">
        <v>24</v>
      </c>
      <c r="J195" s="92">
        <v>2873</v>
      </c>
      <c r="K195" s="94">
        <v>2761</v>
      </c>
      <c r="L195" s="92">
        <v>412</v>
      </c>
      <c r="M195" s="94">
        <v>1</v>
      </c>
      <c r="N195" s="119">
        <f ca="1">IFERROR(__xludf.DUMMYFUNCTION("GOOGLEFINANCE(""NSE:""&amp;B195,""EPS"")"),88.84)</f>
        <v>88.84</v>
      </c>
      <c r="O195" s="92">
        <v>9905</v>
      </c>
      <c r="P195" s="92">
        <v>1004</v>
      </c>
      <c r="Q195" s="92">
        <v>16301</v>
      </c>
      <c r="R195" s="92">
        <v>2316</v>
      </c>
      <c r="S195" s="92">
        <v>16723</v>
      </c>
      <c r="T195" s="92">
        <v>2155</v>
      </c>
      <c r="U195" s="94">
        <v>172</v>
      </c>
      <c r="V195" s="94">
        <v>13542</v>
      </c>
      <c r="W195" s="120">
        <f t="shared" si="0"/>
        <v>0.10477020613521582</v>
      </c>
      <c r="X195" s="120">
        <f t="shared" si="1"/>
        <v>2.5887982332372328E-2</v>
      </c>
      <c r="Y195" s="120">
        <f t="shared" si="2"/>
        <v>0.14207717317955953</v>
      </c>
      <c r="Z195" s="29">
        <f t="shared" si="3"/>
        <v>0.12886443819888777</v>
      </c>
      <c r="AA195" s="121">
        <f t="shared" si="4"/>
        <v>19.494186046511629</v>
      </c>
      <c r="AB195" s="121">
        <f t="shared" si="5"/>
        <v>0.86582176624421647</v>
      </c>
      <c r="AC195" s="121">
        <f t="shared" si="6"/>
        <v>8.9924056688393232</v>
      </c>
      <c r="AD195" s="122">
        <f t="shared" si="7"/>
        <v>0.96101635920640449</v>
      </c>
      <c r="AE195" s="122">
        <f t="shared" si="8"/>
        <v>0.67150531489313059</v>
      </c>
      <c r="AF195" s="120">
        <f t="shared" si="9"/>
        <v>0.75008701705534286</v>
      </c>
      <c r="AG195" s="123">
        <f t="shared" si="10"/>
        <v>89.791666666666671</v>
      </c>
      <c r="AH195" s="52">
        <f t="shared" si="11"/>
        <v>0.24631386444165049</v>
      </c>
      <c r="AI195" s="119">
        <f ca="1">IFERROR(__xludf.DUMMYFUNCTION("GOOGLEFINANCE(""NSE:""&amp;B195,""PE"")"),57.52)</f>
        <v>57.52</v>
      </c>
      <c r="AJ195" s="120">
        <f t="shared" ca="1" si="12"/>
        <v>1.8168618027506519E-2</v>
      </c>
      <c r="AK195" s="121">
        <f t="shared" si="13"/>
        <v>119.70833333333333</v>
      </c>
      <c r="AL195" s="16">
        <f t="shared" si="14"/>
        <v>40.847198050817958</v>
      </c>
    </row>
    <row r="196" spans="1:38" ht="14.4">
      <c r="A196" s="115">
        <v>543653</v>
      </c>
      <c r="B196" s="116" t="s">
        <v>157</v>
      </c>
      <c r="C196" s="117">
        <v>490.3</v>
      </c>
      <c r="D196" s="118">
        <v>12276</v>
      </c>
      <c r="E196" s="92">
        <v>517</v>
      </c>
      <c r="F196" s="92">
        <v>286</v>
      </c>
      <c r="G196" s="92">
        <v>1444</v>
      </c>
      <c r="H196" s="92">
        <v>399</v>
      </c>
      <c r="I196" s="92">
        <v>25</v>
      </c>
      <c r="J196" s="92">
        <v>1045</v>
      </c>
      <c r="K196" s="94">
        <v>155</v>
      </c>
      <c r="L196" s="92">
        <v>119</v>
      </c>
      <c r="M196" s="94">
        <v>1</v>
      </c>
      <c r="N196" s="119">
        <f ca="1">IFERROR(__xludf.DUMMYFUNCTION("GOOGLEFINANCE(""NSE:""&amp;B196,""EPS"")"),7.48)</f>
        <v>7.48</v>
      </c>
      <c r="O196" s="92">
        <v>781</v>
      </c>
      <c r="P196" s="92">
        <v>53</v>
      </c>
      <c r="Q196" s="92">
        <v>1966</v>
      </c>
      <c r="R196" s="124">
        <v>126</v>
      </c>
      <c r="S196" s="92">
        <v>2147</v>
      </c>
      <c r="T196" s="92">
        <v>192</v>
      </c>
      <c r="U196" s="94">
        <v>8</v>
      </c>
      <c r="V196" s="94">
        <v>1859</v>
      </c>
      <c r="W196" s="120">
        <f t="shared" si="0"/>
        <v>0.20278082516485596</v>
      </c>
      <c r="X196" s="120">
        <f t="shared" si="1"/>
        <v>9.2065106815869768E-2</v>
      </c>
      <c r="Y196" s="120">
        <f t="shared" si="2"/>
        <v>6.4089521871820959E-2</v>
      </c>
      <c r="Z196" s="29">
        <f t="shared" si="3"/>
        <v>8.9427107591988825E-2</v>
      </c>
      <c r="AA196" s="121">
        <f t="shared" si="4"/>
        <v>37</v>
      </c>
      <c r="AB196" s="121">
        <f t="shared" si="5"/>
        <v>1.8076923076923077</v>
      </c>
      <c r="AC196" s="121">
        <f t="shared" si="6"/>
        <v>20.230554261760599</v>
      </c>
      <c r="AD196" s="122">
        <f t="shared" si="7"/>
        <v>0.14832535885167464</v>
      </c>
      <c r="AE196" s="122">
        <f t="shared" si="8"/>
        <v>0.27631578947368424</v>
      </c>
      <c r="AF196" s="120">
        <f t="shared" si="9"/>
        <v>0.18373205741626794</v>
      </c>
      <c r="AG196" s="123">
        <f t="shared" si="10"/>
        <v>7.68</v>
      </c>
      <c r="AH196" s="52">
        <f t="shared" si="11"/>
        <v>0.1329639889196676</v>
      </c>
      <c r="AI196" s="119">
        <f ca="1">IFERROR(__xludf.DUMMYFUNCTION("GOOGLEFINANCE(""NSE:""&amp;B196,""PE"")"),72.8)</f>
        <v>72.8</v>
      </c>
      <c r="AJ196" s="120">
        <f t="shared" ca="1" si="12"/>
        <v>1.5255965735264124E-2</v>
      </c>
      <c r="AK196" s="121">
        <f t="shared" si="13"/>
        <v>41.8</v>
      </c>
      <c r="AL196" s="16">
        <f t="shared" si="14"/>
        <v>11.729665071770336</v>
      </c>
    </row>
    <row r="197" spans="1:38" ht="14.4">
      <c r="A197" s="115">
        <v>501425</v>
      </c>
      <c r="B197" s="116" t="s">
        <v>158</v>
      </c>
      <c r="C197" s="117">
        <v>1553.4</v>
      </c>
      <c r="D197" s="118">
        <v>10919</v>
      </c>
      <c r="E197" s="92">
        <v>7301</v>
      </c>
      <c r="F197" s="92">
        <v>5305</v>
      </c>
      <c r="G197" s="92">
        <v>14184</v>
      </c>
      <c r="H197" s="92">
        <v>8758</v>
      </c>
      <c r="I197" s="92">
        <v>13</v>
      </c>
      <c r="J197" s="92">
        <v>5426</v>
      </c>
      <c r="K197" s="94">
        <v>0</v>
      </c>
      <c r="L197" s="92">
        <v>482</v>
      </c>
      <c r="M197" s="94">
        <v>2</v>
      </c>
      <c r="N197" s="119">
        <f ca="1">IFERROR(__xludf.DUMMYFUNCTION("GOOGLEFINANCE(""NSE:""&amp;B197,""EPS"")"),-169.37)</f>
        <v>-169.37</v>
      </c>
      <c r="O197" s="92">
        <v>10238</v>
      </c>
      <c r="P197" s="92">
        <v>773</v>
      </c>
      <c r="Q197" s="92">
        <v>18622</v>
      </c>
      <c r="R197" s="92">
        <v>-533</v>
      </c>
      <c r="S197" s="92">
        <v>17055</v>
      </c>
      <c r="T197" s="92">
        <v>-137</v>
      </c>
      <c r="U197" s="94">
        <v>448</v>
      </c>
      <c r="V197" s="94">
        <v>14453</v>
      </c>
      <c r="W197" s="120">
        <f t="shared" si="0"/>
        <v>0.12709945405576506</v>
      </c>
      <c r="X197" s="120">
        <f t="shared" si="1"/>
        <v>-8.4147782193104925E-2</v>
      </c>
      <c r="Y197" s="120">
        <f t="shared" si="2"/>
        <v>-2.8622059929116098E-2</v>
      </c>
      <c r="Z197" s="29">
        <f t="shared" si="3"/>
        <v>-8.032834945763706E-3</v>
      </c>
      <c r="AA197" s="121">
        <f t="shared" si="4"/>
        <v>6.8080357142857144</v>
      </c>
      <c r="AB197" s="121">
        <f t="shared" si="5"/>
        <v>1.3762488218661639</v>
      </c>
      <c r="AC197" s="121">
        <f t="shared" si="6"/>
        <v>10.315450014658458</v>
      </c>
      <c r="AD197" s="122">
        <f t="shared" si="7"/>
        <v>0</v>
      </c>
      <c r="AE197" s="122">
        <f t="shared" si="8"/>
        <v>0.61745628877608572</v>
      </c>
      <c r="AF197" s="120">
        <f t="shared" si="9"/>
        <v>-2.5248802064135642E-2</v>
      </c>
      <c r="AG197" s="123">
        <f t="shared" si="10"/>
        <v>-10.538461538461538</v>
      </c>
      <c r="AH197" s="52">
        <f t="shared" si="11"/>
        <v>-9.6587704455724753E-3</v>
      </c>
      <c r="AI197" s="119" t="str">
        <f ca="1">IFERROR(__xludf.DUMMYFUNCTION("GOOGLEFINANCE(""BOM:""&amp;A197,""PE"")"),"#N/A")</f>
        <v>#N/A</v>
      </c>
      <c r="AJ197" s="120">
        <f t="shared" ca="1" si="12"/>
        <v>-0.10903180121024848</v>
      </c>
      <c r="AK197" s="121">
        <f t="shared" si="13"/>
        <v>834.76923076923072</v>
      </c>
      <c r="AL197" s="16">
        <f t="shared" si="14"/>
        <v>1.8608735716918543</v>
      </c>
    </row>
    <row r="198" spans="1:38" ht="14.4">
      <c r="A198" s="115">
        <v>531335</v>
      </c>
      <c r="B198" s="116" t="s">
        <v>159</v>
      </c>
      <c r="C198" s="117">
        <v>1465</v>
      </c>
      <c r="D198" s="118">
        <v>9356</v>
      </c>
      <c r="E198" s="92">
        <v>891</v>
      </c>
      <c r="F198" s="92">
        <v>605</v>
      </c>
      <c r="G198" s="92">
        <v>5831</v>
      </c>
      <c r="H198" s="92">
        <v>623</v>
      </c>
      <c r="I198" s="92">
        <v>63</v>
      </c>
      <c r="J198" s="92">
        <v>5207</v>
      </c>
      <c r="K198" s="94">
        <v>348</v>
      </c>
      <c r="L198" s="92">
        <v>128</v>
      </c>
      <c r="M198" s="94">
        <v>10</v>
      </c>
      <c r="N198" s="119">
        <f ca="1">IFERROR(__xludf.DUMMYFUNCTION("GOOGLEFINANCE(""NSE:""&amp;B198,""EPS"")"),41.94)</f>
        <v>41.94</v>
      </c>
      <c r="O198" s="92">
        <v>503</v>
      </c>
      <c r="P198" s="92">
        <v>136</v>
      </c>
      <c r="Q198" s="92">
        <v>2254</v>
      </c>
      <c r="R198" s="92">
        <v>310</v>
      </c>
      <c r="S198" s="92">
        <v>2258</v>
      </c>
      <c r="T198" s="92">
        <v>262</v>
      </c>
      <c r="U198" s="94">
        <v>23</v>
      </c>
      <c r="V198" s="94">
        <v>1968</v>
      </c>
      <c r="W198" s="120">
        <f t="shared" si="0"/>
        <v>0.34982412326456225</v>
      </c>
      <c r="X198" s="120">
        <f t="shared" si="1"/>
        <v>1.7746228926354135E-3</v>
      </c>
      <c r="Y198" s="120">
        <f t="shared" si="2"/>
        <v>0.13753327417923691</v>
      </c>
      <c r="Z198" s="29">
        <f t="shared" si="3"/>
        <v>0.11603188662533215</v>
      </c>
      <c r="AA198" s="121">
        <f t="shared" si="4"/>
        <v>13.608695652173912</v>
      </c>
      <c r="AB198" s="121">
        <f t="shared" si="5"/>
        <v>1.4727272727272727</v>
      </c>
      <c r="AC198" s="121">
        <f t="shared" si="6"/>
        <v>20.690876882196633</v>
      </c>
      <c r="AD198" s="122">
        <f t="shared" si="7"/>
        <v>6.6833109275974648E-2</v>
      </c>
      <c r="AE198" s="122">
        <f t="shared" si="8"/>
        <v>0.10684273709483794</v>
      </c>
      <c r="AF198" s="120">
        <f t="shared" si="9"/>
        <v>5.0316881121567118E-2</v>
      </c>
      <c r="AG198" s="123">
        <f t="shared" si="10"/>
        <v>4.1587301587301591</v>
      </c>
      <c r="AH198" s="52">
        <f t="shared" si="11"/>
        <v>4.4932258617732805E-2</v>
      </c>
      <c r="AI198" s="119">
        <f ca="1">IFERROR(__xludf.DUMMYFUNCTION("GOOGLEFINANCE(""NSE:""&amp;B198,""PE"")"),42.5)</f>
        <v>42.5</v>
      </c>
      <c r="AJ198" s="120">
        <f t="shared" ca="1" si="12"/>
        <v>2.8627986348122865E-2</v>
      </c>
      <c r="AK198" s="121">
        <f t="shared" si="13"/>
        <v>826.50793650793651</v>
      </c>
      <c r="AL198" s="16">
        <f t="shared" si="14"/>
        <v>1.7725177645477241</v>
      </c>
    </row>
    <row r="199" spans="1:38" ht="14.4">
      <c r="A199" s="115">
        <v>543253</v>
      </c>
      <c r="B199" s="116" t="s">
        <v>160</v>
      </c>
      <c r="C199" s="117">
        <v>1099</v>
      </c>
      <c r="D199" s="118">
        <v>6455</v>
      </c>
      <c r="E199" s="92">
        <v>387</v>
      </c>
      <c r="F199" s="92">
        <v>214</v>
      </c>
      <c r="G199" s="92">
        <v>961</v>
      </c>
      <c r="H199" s="92">
        <v>355</v>
      </c>
      <c r="I199" s="92">
        <v>58</v>
      </c>
      <c r="J199" s="92">
        <v>606</v>
      </c>
      <c r="K199" s="94">
        <v>0</v>
      </c>
      <c r="L199" s="92">
        <v>106</v>
      </c>
      <c r="M199" s="94">
        <v>10</v>
      </c>
      <c r="N199" s="119">
        <f ca="1">IFERROR(__xludf.DUMMYFUNCTION("GOOGLEFINANCE(""NSE:""&amp;B199,""EPS"")"),22.85)</f>
        <v>22.85</v>
      </c>
      <c r="O199" s="92">
        <v>693</v>
      </c>
      <c r="P199" s="92">
        <v>35</v>
      </c>
      <c r="Q199" s="92">
        <v>1362</v>
      </c>
      <c r="R199" s="92">
        <v>90</v>
      </c>
      <c r="S199" s="92">
        <v>1564</v>
      </c>
      <c r="T199" s="92">
        <v>134</v>
      </c>
      <c r="U199" s="94">
        <v>10</v>
      </c>
      <c r="V199" s="94">
        <v>1332</v>
      </c>
      <c r="W199" s="120">
        <f t="shared" si="0"/>
        <v>0.14469233461264874</v>
      </c>
      <c r="X199" s="120">
        <f t="shared" si="1"/>
        <v>0.14831130690161531</v>
      </c>
      <c r="Y199" s="120">
        <f t="shared" si="2"/>
        <v>6.6079295154185022E-2</v>
      </c>
      <c r="Z199" s="29">
        <f t="shared" si="3"/>
        <v>8.5677749360613814E-2</v>
      </c>
      <c r="AA199" s="121">
        <f t="shared" si="4"/>
        <v>24.2</v>
      </c>
      <c r="AB199" s="121">
        <f t="shared" si="5"/>
        <v>1.808411214953271</v>
      </c>
      <c r="AC199" s="121">
        <f t="shared" si="6"/>
        <v>24.737851662404093</v>
      </c>
      <c r="AD199" s="122">
        <f t="shared" si="7"/>
        <v>0</v>
      </c>
      <c r="AE199" s="122">
        <f t="shared" si="8"/>
        <v>0.36940686784599375</v>
      </c>
      <c r="AF199" s="120">
        <f t="shared" si="9"/>
        <v>0.22112211221122113</v>
      </c>
      <c r="AG199" s="123">
        <f t="shared" si="10"/>
        <v>2.3103448275862069</v>
      </c>
      <c r="AH199" s="52">
        <f t="shared" si="11"/>
        <v>0.13943808532778357</v>
      </c>
      <c r="AI199" s="119">
        <f ca="1">IFERROR(__xludf.DUMMYFUNCTION("GOOGLEFINANCE(""NSE:""&amp;B199,""PE"")"),56.97)</f>
        <v>56.97</v>
      </c>
      <c r="AJ199" s="120">
        <f t="shared" ca="1" si="12"/>
        <v>2.0791628753412193E-2</v>
      </c>
      <c r="AK199" s="121">
        <f t="shared" si="13"/>
        <v>104.48275862068967</v>
      </c>
      <c r="AL199" s="16">
        <f t="shared" si="14"/>
        <v>10.518481848184818</v>
      </c>
    </row>
    <row r="200" spans="1:38" ht="14.4">
      <c r="A200" s="115">
        <v>544140</v>
      </c>
      <c r="B200" s="125" t="s">
        <v>161</v>
      </c>
      <c r="C200" s="117">
        <v>359</v>
      </c>
      <c r="D200" s="118">
        <v>4464</v>
      </c>
      <c r="E200" s="123"/>
      <c r="F200" s="123"/>
      <c r="G200" s="92">
        <v>461</v>
      </c>
      <c r="H200" s="92">
        <v>171</v>
      </c>
      <c r="I200" s="92">
        <v>12</v>
      </c>
      <c r="J200" s="92">
        <v>278</v>
      </c>
      <c r="K200" s="94">
        <v>108</v>
      </c>
      <c r="L200" s="92">
        <v>11</v>
      </c>
      <c r="M200" s="94">
        <v>1</v>
      </c>
      <c r="N200" s="119">
        <f ca="1">IFERROR(__xludf.DUMMYFUNCTION("GOOGLEFINANCE(""NSE:""&amp;B200,""EPS"")"),7.99)</f>
        <v>7.99</v>
      </c>
      <c r="O200" s="123"/>
      <c r="P200" s="123"/>
      <c r="Q200" s="92">
        <v>1394</v>
      </c>
      <c r="R200" s="92">
        <v>112</v>
      </c>
      <c r="S200" s="92">
        <v>1352</v>
      </c>
      <c r="T200" s="92">
        <v>112</v>
      </c>
      <c r="U200" s="94">
        <v>11</v>
      </c>
      <c r="V200" s="94">
        <v>1198</v>
      </c>
      <c r="W200" s="120" t="e">
        <f t="shared" si="0"/>
        <v>#DIV/0!</v>
      </c>
      <c r="X200" s="120">
        <f t="shared" si="1"/>
        <v>-3.0129124820659992E-2</v>
      </c>
      <c r="Y200" s="120">
        <f t="shared" si="2"/>
        <v>8.0344332855093251E-2</v>
      </c>
      <c r="Z200" s="29">
        <f t="shared" si="3"/>
        <v>8.2840236686390539E-2</v>
      </c>
      <c r="AA200" s="121">
        <f t="shared" si="4"/>
        <v>15</v>
      </c>
      <c r="AB200" s="121" t="e">
        <f t="shared" si="5"/>
        <v>#DIV/0!</v>
      </c>
      <c r="AC200" s="121">
        <f t="shared" si="6"/>
        <v>2.9696745562130178</v>
      </c>
      <c r="AD200" s="122">
        <f t="shared" si="7"/>
        <v>0.38848920863309355</v>
      </c>
      <c r="AE200" s="122">
        <f t="shared" si="8"/>
        <v>0.37093275488069416</v>
      </c>
      <c r="AF200" s="120">
        <f t="shared" si="9"/>
        <v>0.40287769784172661</v>
      </c>
      <c r="AG200" s="123">
        <f t="shared" si="10"/>
        <v>9.3333333333333339</v>
      </c>
      <c r="AH200" s="52">
        <f t="shared" si="11"/>
        <v>0.24295010845986983</v>
      </c>
      <c r="AI200" s="119">
        <f ca="1">IFERROR(__xludf.DUMMYFUNCTION("GOOGLEFINANCE(""NSE:""&amp;B200,""PE"")"),42.83)</f>
        <v>42.83</v>
      </c>
      <c r="AJ200" s="120">
        <f t="shared" ca="1" si="12"/>
        <v>2.2256267409470752E-2</v>
      </c>
      <c r="AK200" s="121">
        <f t="shared" si="13"/>
        <v>23.166666666666668</v>
      </c>
      <c r="AL200" s="16">
        <f t="shared" si="14"/>
        <v>15.496402877697841</v>
      </c>
    </row>
    <row r="201" spans="1:38" ht="14.4">
      <c r="A201" s="115">
        <v>519091</v>
      </c>
      <c r="B201" s="116" t="s">
        <v>162</v>
      </c>
      <c r="C201" s="117">
        <v>12209</v>
      </c>
      <c r="D201" s="118">
        <v>3131</v>
      </c>
      <c r="E201" s="92">
        <v>188</v>
      </c>
      <c r="F201" s="92">
        <v>94</v>
      </c>
      <c r="G201" s="92">
        <v>458</v>
      </c>
      <c r="H201" s="92">
        <v>180</v>
      </c>
      <c r="I201" s="92">
        <v>3</v>
      </c>
      <c r="J201" s="92">
        <v>278</v>
      </c>
      <c r="K201" s="94">
        <v>52</v>
      </c>
      <c r="L201" s="92">
        <v>54</v>
      </c>
      <c r="M201" s="94">
        <v>10</v>
      </c>
      <c r="N201" s="119">
        <f ca="1">IFERROR(__xludf.DUMMYFUNCTION("GOOGLEFINANCE(""BOM:""&amp;A201,""EPS"")"),177.78)</f>
        <v>177.78</v>
      </c>
      <c r="O201" s="92">
        <v>296</v>
      </c>
      <c r="P201" s="92">
        <v>26</v>
      </c>
      <c r="Q201" s="92">
        <v>475</v>
      </c>
      <c r="R201" s="92">
        <v>30</v>
      </c>
      <c r="S201" s="92">
        <v>541</v>
      </c>
      <c r="T201" s="92">
        <v>48</v>
      </c>
      <c r="U201" s="94">
        <v>8</v>
      </c>
      <c r="V201" s="94">
        <v>457</v>
      </c>
      <c r="W201" s="120">
        <f t="shared" si="0"/>
        <v>9.920926349885395E-2</v>
      </c>
      <c r="X201" s="120">
        <f t="shared" si="1"/>
        <v>0.13894736842105271</v>
      </c>
      <c r="Y201" s="120">
        <f t="shared" si="2"/>
        <v>6.3157894736842107E-2</v>
      </c>
      <c r="Z201" s="29">
        <f t="shared" si="3"/>
        <v>8.8724584103512014E-2</v>
      </c>
      <c r="AA201" s="121">
        <f t="shared" si="4"/>
        <v>11.5</v>
      </c>
      <c r="AB201" s="121">
        <f t="shared" si="5"/>
        <v>2</v>
      </c>
      <c r="AC201" s="121">
        <f t="shared" si="6"/>
        <v>36.432532347504619</v>
      </c>
      <c r="AD201" s="122">
        <f t="shared" si="7"/>
        <v>0.18705035971223022</v>
      </c>
      <c r="AE201" s="122">
        <f t="shared" si="8"/>
        <v>0.3930131004366812</v>
      </c>
      <c r="AF201" s="120">
        <f t="shared" si="9"/>
        <v>0.17266187050359713</v>
      </c>
      <c r="AG201" s="123">
        <f t="shared" si="10"/>
        <v>16</v>
      </c>
      <c r="AH201" s="52">
        <f t="shared" si="11"/>
        <v>0.10480349344978165</v>
      </c>
      <c r="AI201" s="119">
        <f ca="1">IFERROR(__xludf.DUMMYFUNCTION("GOOGLEFINANCE(""BOM:""&amp;A201,""PE"")"),79.54)</f>
        <v>79.540000000000006</v>
      </c>
      <c r="AJ201" s="120">
        <f t="shared" ca="1" si="12"/>
        <v>1.4561389139159636E-2</v>
      </c>
      <c r="AK201" s="121">
        <f t="shared" si="13"/>
        <v>926.66666666666674</v>
      </c>
      <c r="AL201" s="16">
        <f t="shared" si="14"/>
        <v>13.175179856115108</v>
      </c>
    </row>
    <row r="202" spans="1:38" ht="14.4">
      <c r="A202" s="115">
        <v>540724</v>
      </c>
      <c r="B202" s="116" t="s">
        <v>163</v>
      </c>
      <c r="C202" s="117">
        <v>917.9</v>
      </c>
      <c r="D202" s="118">
        <v>2192</v>
      </c>
      <c r="E202" s="92">
        <v>257</v>
      </c>
      <c r="F202" s="92">
        <v>158</v>
      </c>
      <c r="G202" s="92">
        <v>938</v>
      </c>
      <c r="H202" s="92">
        <v>233</v>
      </c>
      <c r="I202" s="92">
        <v>12</v>
      </c>
      <c r="J202" s="92">
        <v>705</v>
      </c>
      <c r="K202" s="94">
        <v>60</v>
      </c>
      <c r="L202" s="92">
        <v>14</v>
      </c>
      <c r="M202" s="94">
        <v>5</v>
      </c>
      <c r="N202" s="119">
        <f ca="1">IFERROR(__xludf.DUMMYFUNCTION("GOOGLEFINANCE(""NSE:""&amp;B202,""EPS"")"),25.86)</f>
        <v>25.86</v>
      </c>
      <c r="O202" s="94">
        <v>1037</v>
      </c>
      <c r="P202" s="94">
        <v>44</v>
      </c>
      <c r="Q202" s="94">
        <v>1652</v>
      </c>
      <c r="R202" s="94">
        <v>20</v>
      </c>
      <c r="S202" s="94">
        <v>1653</v>
      </c>
      <c r="T202" s="94">
        <v>20</v>
      </c>
      <c r="U202" s="94">
        <v>7</v>
      </c>
      <c r="V202" s="94">
        <v>1590</v>
      </c>
      <c r="W202" s="120">
        <f t="shared" si="0"/>
        <v>9.7605456381603561E-2</v>
      </c>
      <c r="X202" s="120">
        <f t="shared" si="1"/>
        <v>6.0532687651337902E-4</v>
      </c>
      <c r="Y202" s="120">
        <f t="shared" si="2"/>
        <v>1.2106537530266344E-2</v>
      </c>
      <c r="Z202" s="29">
        <f t="shared" si="3"/>
        <v>1.2099213551119177E-2</v>
      </c>
      <c r="AA202" s="121">
        <f t="shared" si="4"/>
        <v>10</v>
      </c>
      <c r="AB202" s="121">
        <f t="shared" si="5"/>
        <v>1.6265822784810127</v>
      </c>
      <c r="AC202" s="121">
        <f t="shared" si="6"/>
        <v>3.0913490623109499</v>
      </c>
      <c r="AD202" s="122">
        <f t="shared" si="7"/>
        <v>8.5106382978723402E-2</v>
      </c>
      <c r="AE202" s="122">
        <f t="shared" si="8"/>
        <v>0.24840085287846481</v>
      </c>
      <c r="AF202" s="120">
        <f t="shared" si="9"/>
        <v>2.8368794326241134E-2</v>
      </c>
      <c r="AG202" s="123">
        <f t="shared" si="10"/>
        <v>1.6666666666666667</v>
      </c>
      <c r="AH202" s="52">
        <f t="shared" si="11"/>
        <v>2.1321961620469083E-2</v>
      </c>
      <c r="AI202" s="119">
        <f ca="1">IFERROR(__xludf.DUMMYFUNCTION("GOOGLEFINANCE(""NSE:""&amp;B202,""PE"")"),33.3)</f>
        <v>33.299999999999997</v>
      </c>
      <c r="AJ202" s="120">
        <f t="shared" ca="1" si="12"/>
        <v>2.8173003595162872E-2</v>
      </c>
      <c r="AK202" s="121">
        <f t="shared" si="13"/>
        <v>293.75</v>
      </c>
      <c r="AL202" s="16">
        <f t="shared" si="14"/>
        <v>3.1247659574468085</v>
      </c>
    </row>
    <row r="203" spans="1:38" ht="14.4">
      <c r="A203" s="115">
        <v>519183</v>
      </c>
      <c r="B203" s="116" t="s">
        <v>164</v>
      </c>
      <c r="C203" s="117">
        <v>185.25</v>
      </c>
      <c r="D203" s="118">
        <v>2042</v>
      </c>
      <c r="E203" s="92">
        <v>355</v>
      </c>
      <c r="F203" s="92">
        <v>52</v>
      </c>
      <c r="G203" s="92">
        <v>558</v>
      </c>
      <c r="H203" s="92">
        <v>116</v>
      </c>
      <c r="I203" s="92">
        <v>22</v>
      </c>
      <c r="J203" s="92">
        <v>442</v>
      </c>
      <c r="K203" s="94">
        <v>7</v>
      </c>
      <c r="L203" s="92">
        <v>82</v>
      </c>
      <c r="M203" s="94">
        <v>2</v>
      </c>
      <c r="N203" s="119">
        <f ca="1">IFERROR(__xludf.DUMMYFUNCTION("GOOGLEFINANCE(""NSE:""&amp;B203,""EPS"")"),6.88)</f>
        <v>6.88</v>
      </c>
      <c r="O203" s="94">
        <v>208</v>
      </c>
      <c r="P203" s="94">
        <v>18</v>
      </c>
      <c r="Q203" s="94">
        <v>450</v>
      </c>
      <c r="R203" s="94">
        <v>55</v>
      </c>
      <c r="S203" s="94">
        <v>490</v>
      </c>
      <c r="T203" s="94">
        <v>65</v>
      </c>
      <c r="U203" s="94">
        <v>2</v>
      </c>
      <c r="V203" s="94">
        <v>393</v>
      </c>
      <c r="W203" s="120">
        <f t="shared" si="0"/>
        <v>0.16688977891407952</v>
      </c>
      <c r="X203" s="120">
        <f t="shared" si="1"/>
        <v>8.8888888888888795E-2</v>
      </c>
      <c r="Y203" s="120">
        <f t="shared" si="2"/>
        <v>0.12222222222222222</v>
      </c>
      <c r="Z203" s="29">
        <f t="shared" si="3"/>
        <v>0.1326530612244898</v>
      </c>
      <c r="AA203" s="121">
        <f t="shared" si="4"/>
        <v>49.5</v>
      </c>
      <c r="AB203" s="121">
        <f t="shared" si="5"/>
        <v>6.8269230769230766</v>
      </c>
      <c r="AC203" s="121">
        <f t="shared" si="6"/>
        <v>61.081632653061227</v>
      </c>
      <c r="AD203" s="122">
        <f t="shared" si="7"/>
        <v>1.5837104072398189E-2</v>
      </c>
      <c r="AE203" s="122">
        <f t="shared" si="8"/>
        <v>0.2078853046594982</v>
      </c>
      <c r="AF203" s="120">
        <f t="shared" si="9"/>
        <v>0.14705882352941177</v>
      </c>
      <c r="AG203" s="123">
        <f t="shared" si="10"/>
        <v>2.9545454545454546</v>
      </c>
      <c r="AH203" s="52">
        <f t="shared" si="11"/>
        <v>0.11648745519713262</v>
      </c>
      <c r="AI203" s="119">
        <f ca="1">IFERROR(__xludf.DUMMYFUNCTION("GOOGLEFINANCE(""NSE:""&amp;B203,""PE"")"),34.02)</f>
        <v>34.020000000000003</v>
      </c>
      <c r="AJ203" s="120">
        <f t="shared" ca="1" si="12"/>
        <v>3.7139001349527662E-2</v>
      </c>
      <c r="AK203" s="121">
        <f t="shared" si="13"/>
        <v>40.18181818181818</v>
      </c>
      <c r="AL203" s="16">
        <f t="shared" si="14"/>
        <v>4.6102941176470589</v>
      </c>
    </row>
    <row r="204" spans="1:38" ht="14.4">
      <c r="A204" s="115">
        <v>539594</v>
      </c>
      <c r="B204" s="116" t="s">
        <v>165</v>
      </c>
      <c r="C204" s="117">
        <v>17.579999999999998</v>
      </c>
      <c r="D204" s="118">
        <v>1868</v>
      </c>
      <c r="E204" s="92">
        <v>402</v>
      </c>
      <c r="F204" s="92">
        <v>98</v>
      </c>
      <c r="G204" s="92">
        <v>410</v>
      </c>
      <c r="H204" s="92">
        <v>104</v>
      </c>
      <c r="I204" s="92">
        <v>100</v>
      </c>
      <c r="J204" s="92">
        <v>306</v>
      </c>
      <c r="K204" s="94">
        <v>54</v>
      </c>
      <c r="L204" s="92">
        <v>379</v>
      </c>
      <c r="M204" s="94">
        <v>1</v>
      </c>
      <c r="N204" s="119">
        <f ca="1">IFERROR(__xludf.DUMMYFUNCTION("GOOGLEFINANCE(""BOM:""&amp;A204,""EPS"")"),2.62)</f>
        <v>2.62</v>
      </c>
      <c r="O204" s="94">
        <v>490</v>
      </c>
      <c r="P204" s="94">
        <v>6</v>
      </c>
      <c r="Q204" s="94">
        <v>650</v>
      </c>
      <c r="R204" s="94">
        <v>50</v>
      </c>
      <c r="S204" s="94">
        <v>1112</v>
      </c>
      <c r="T204" s="94">
        <v>264</v>
      </c>
      <c r="U204" s="94">
        <v>5</v>
      </c>
      <c r="V204" s="94">
        <v>829</v>
      </c>
      <c r="W204" s="120">
        <f t="shared" si="0"/>
        <v>5.814078782077714E-2</v>
      </c>
      <c r="X204" s="120">
        <f t="shared" si="1"/>
        <v>0.71076923076923082</v>
      </c>
      <c r="Y204" s="120">
        <f t="shared" si="2"/>
        <v>7.6923076923076927E-2</v>
      </c>
      <c r="Z204" s="29">
        <f t="shared" si="3"/>
        <v>0.23741007194244604</v>
      </c>
      <c r="AA204" s="121">
        <f t="shared" si="4"/>
        <v>57.6</v>
      </c>
      <c r="AB204" s="121">
        <f t="shared" si="5"/>
        <v>4.1020408163265305</v>
      </c>
      <c r="AC204" s="121">
        <f t="shared" si="6"/>
        <v>124.40197841726618</v>
      </c>
      <c r="AD204" s="122">
        <f t="shared" si="7"/>
        <v>0.17647058823529413</v>
      </c>
      <c r="AE204" s="122">
        <f t="shared" si="8"/>
        <v>0.25365853658536586</v>
      </c>
      <c r="AF204" s="120">
        <f>R204/J204</f>
        <v>0.16339869281045752</v>
      </c>
      <c r="AG204" s="123">
        <f t="shared" si="10"/>
        <v>2.64</v>
      </c>
      <c r="AH204" s="52">
        <f>R204/G204</f>
        <v>0.12195121951219512</v>
      </c>
      <c r="AI204" s="119">
        <f ca="1">IFERROR(__xludf.DUMMYFUNCTION("GOOGLEFINANCE(""BOM:""&amp;A204,""PE"")"),7.17)</f>
        <v>7.17</v>
      </c>
      <c r="AJ204" s="120">
        <f t="shared" ca="1" si="12"/>
        <v>0.14903299203640502</v>
      </c>
      <c r="AK204" s="121">
        <f t="shared" si="13"/>
        <v>3.06</v>
      </c>
      <c r="AL204" s="16">
        <f t="shared" si="14"/>
        <v>5.7450980392156854</v>
      </c>
    </row>
    <row r="205" spans="1:38" ht="14.4">
      <c r="A205" s="115">
        <v>507552</v>
      </c>
      <c r="B205" s="116" t="s">
        <v>191</v>
      </c>
      <c r="C205" s="117">
        <v>130.15</v>
      </c>
      <c r="D205" s="118">
        <v>738</v>
      </c>
      <c r="E205" s="123"/>
      <c r="F205" s="123"/>
      <c r="G205" s="123"/>
      <c r="H205" s="123"/>
      <c r="I205" s="123"/>
      <c r="J205" s="123"/>
      <c r="K205" s="126"/>
      <c r="L205" s="123"/>
      <c r="M205" s="126"/>
      <c r="N205" s="126"/>
      <c r="O205" s="122"/>
      <c r="P205" s="126"/>
      <c r="Q205" s="126"/>
      <c r="R205" s="126"/>
      <c r="S205" s="126"/>
      <c r="T205" s="126"/>
      <c r="U205" s="126"/>
      <c r="V205" s="126"/>
      <c r="W205" s="126"/>
      <c r="X205" s="126"/>
      <c r="Y205" s="126"/>
      <c r="AA205" s="126"/>
      <c r="AB205" s="126"/>
      <c r="AC205" s="126"/>
      <c r="AD205" s="126"/>
      <c r="AE205" s="126"/>
      <c r="AF205" s="126"/>
      <c r="AG205" s="126"/>
      <c r="AH205" s="126"/>
      <c r="AI205" s="126"/>
      <c r="AJ205" s="126"/>
      <c r="AK205" s="126"/>
      <c r="AL205" s="126"/>
    </row>
    <row r="206" spans="1:38" ht="14.4">
      <c r="A206" s="115">
        <v>531889</v>
      </c>
      <c r="B206" s="116" t="s">
        <v>192</v>
      </c>
      <c r="C206" s="117">
        <v>629</v>
      </c>
      <c r="D206" s="118">
        <v>603</v>
      </c>
      <c r="E206" s="123"/>
      <c r="F206" s="123"/>
      <c r="G206" s="123"/>
      <c r="H206" s="123"/>
      <c r="I206" s="123"/>
      <c r="J206" s="123"/>
      <c r="K206" s="126"/>
      <c r="L206" s="123"/>
      <c r="M206" s="126"/>
      <c r="N206" s="126"/>
      <c r="O206" s="122"/>
      <c r="P206" s="126"/>
      <c r="Q206" s="126"/>
      <c r="R206" s="126"/>
      <c r="S206" s="126"/>
      <c r="T206" s="126"/>
      <c r="U206" s="126"/>
      <c r="V206" s="126"/>
      <c r="W206" s="126"/>
      <c r="X206" s="126"/>
      <c r="Y206" s="126"/>
      <c r="AA206" s="126"/>
      <c r="AB206" s="126"/>
      <c r="AC206" s="126"/>
      <c r="AD206" s="126"/>
      <c r="AE206" s="126"/>
      <c r="AF206" s="126"/>
      <c r="AG206" s="126"/>
      <c r="AH206" s="126"/>
      <c r="AI206" s="126"/>
      <c r="AJ206" s="126"/>
      <c r="AK206" s="126"/>
      <c r="AL206" s="126"/>
    </row>
    <row r="207" spans="1:38" ht="14.4">
      <c r="A207" s="115">
        <v>523475</v>
      </c>
      <c r="B207" s="116" t="s">
        <v>193</v>
      </c>
      <c r="C207" s="117">
        <v>345</v>
      </c>
      <c r="D207" s="118">
        <v>443</v>
      </c>
      <c r="E207" s="123"/>
      <c r="F207" s="123"/>
      <c r="G207" s="123"/>
      <c r="H207" s="123"/>
      <c r="I207" s="123"/>
      <c r="J207" s="123"/>
      <c r="K207" s="126"/>
      <c r="L207" s="123"/>
      <c r="M207" s="126"/>
      <c r="N207" s="126"/>
      <c r="O207" s="122"/>
      <c r="P207" s="126"/>
      <c r="Q207" s="126"/>
      <c r="R207" s="126"/>
      <c r="S207" s="126"/>
      <c r="T207" s="126"/>
      <c r="U207" s="126"/>
      <c r="V207" s="126"/>
      <c r="W207" s="126"/>
      <c r="X207" s="126"/>
      <c r="Y207" s="126"/>
      <c r="AA207" s="126"/>
      <c r="AB207" s="126"/>
      <c r="AC207" s="126"/>
      <c r="AD207" s="126"/>
      <c r="AE207" s="126"/>
      <c r="AF207" s="126"/>
      <c r="AG207" s="126"/>
      <c r="AH207" s="126"/>
      <c r="AI207" s="126"/>
      <c r="AJ207" s="126"/>
      <c r="AK207" s="126"/>
      <c r="AL207" s="126"/>
    </row>
    <row r="208" spans="1:38" ht="14.4">
      <c r="A208" s="115">
        <v>519295</v>
      </c>
      <c r="B208" s="116" t="s">
        <v>194</v>
      </c>
      <c r="C208" s="117">
        <v>333.5</v>
      </c>
      <c r="D208" s="118">
        <v>267</v>
      </c>
      <c r="E208" s="123"/>
      <c r="F208" s="123"/>
      <c r="G208" s="123"/>
      <c r="H208" s="123"/>
      <c r="I208" s="123"/>
      <c r="J208" s="123"/>
      <c r="K208" s="126"/>
      <c r="L208" s="123"/>
      <c r="M208" s="126"/>
      <c r="N208" s="126"/>
      <c r="O208" s="122"/>
      <c r="P208" s="126"/>
      <c r="Q208" s="126"/>
      <c r="R208" s="126"/>
      <c r="S208" s="126"/>
      <c r="T208" s="126"/>
      <c r="U208" s="126"/>
      <c r="V208" s="126"/>
      <c r="W208" s="126"/>
      <c r="X208" s="126"/>
      <c r="Y208" s="126"/>
      <c r="AA208" s="126"/>
      <c r="AB208" s="126"/>
      <c r="AC208" s="126"/>
      <c r="AD208" s="126"/>
      <c r="AE208" s="126"/>
      <c r="AF208" s="126"/>
      <c r="AG208" s="126"/>
      <c r="AH208" s="126"/>
      <c r="AI208" s="126"/>
      <c r="AJ208" s="126"/>
      <c r="AK208" s="126"/>
      <c r="AL208" s="126"/>
    </row>
    <row r="209" spans="1:38" ht="14.4">
      <c r="A209" s="115">
        <v>540332</v>
      </c>
      <c r="B209" s="116" t="s">
        <v>195</v>
      </c>
      <c r="C209" s="117">
        <v>163.15</v>
      </c>
      <c r="D209" s="118">
        <v>170</v>
      </c>
      <c r="E209" s="126"/>
      <c r="F209" s="126"/>
      <c r="G209" s="126"/>
      <c r="H209" s="126"/>
      <c r="I209" s="126"/>
      <c r="J209" s="126"/>
      <c r="K209" s="126"/>
      <c r="L209" s="126"/>
      <c r="M209" s="126"/>
      <c r="N209" s="126"/>
      <c r="O209" s="126"/>
      <c r="P209" s="126"/>
      <c r="Q209" s="126"/>
      <c r="R209" s="126"/>
      <c r="S209" s="126"/>
      <c r="T209" s="126"/>
      <c r="U209" s="126"/>
      <c r="V209" s="126"/>
      <c r="W209" s="126"/>
      <c r="X209" s="126"/>
      <c r="Y209" s="126"/>
      <c r="AA209" s="126"/>
      <c r="AB209" s="126"/>
      <c r="AC209" s="126"/>
      <c r="AD209" s="126"/>
      <c r="AE209" s="126"/>
      <c r="AF209" s="126"/>
      <c r="AG209" s="126"/>
      <c r="AH209" s="126"/>
      <c r="AI209" s="126"/>
      <c r="AJ209" s="126"/>
      <c r="AK209" s="126"/>
      <c r="AL209" s="126"/>
    </row>
    <row r="210" spans="1:38" ht="14.4">
      <c r="A210" s="115">
        <v>540648</v>
      </c>
      <c r="B210" s="116" t="s">
        <v>196</v>
      </c>
      <c r="C210" s="117">
        <v>120.35</v>
      </c>
      <c r="D210" s="118">
        <v>117</v>
      </c>
      <c r="E210" s="126"/>
      <c r="F210" s="126"/>
      <c r="G210" s="126"/>
      <c r="H210" s="126"/>
      <c r="I210" s="126"/>
      <c r="J210" s="126"/>
      <c r="K210" s="126"/>
      <c r="L210" s="126"/>
      <c r="M210" s="126"/>
      <c r="N210" s="126"/>
      <c r="O210" s="126"/>
      <c r="P210" s="126"/>
      <c r="Q210" s="126"/>
      <c r="R210" s="126"/>
      <c r="S210" s="126"/>
      <c r="T210" s="126"/>
      <c r="U210" s="126"/>
      <c r="V210" s="126"/>
      <c r="W210" s="126"/>
      <c r="X210" s="126"/>
      <c r="Y210" s="126"/>
      <c r="AA210" s="126"/>
      <c r="AB210" s="126"/>
      <c r="AC210" s="126"/>
      <c r="AD210" s="126"/>
      <c r="AE210" s="126"/>
      <c r="AF210" s="126"/>
      <c r="AG210" s="126"/>
      <c r="AH210" s="126"/>
      <c r="AI210" s="126"/>
      <c r="AJ210" s="126"/>
      <c r="AK210" s="126"/>
      <c r="AL210" s="126"/>
    </row>
    <row r="211" spans="1:38" ht="14.4">
      <c r="A211" s="115">
        <v>532070</v>
      </c>
      <c r="B211" s="116" t="s">
        <v>197</v>
      </c>
      <c r="C211" s="117">
        <v>162</v>
      </c>
      <c r="D211" s="118">
        <v>115</v>
      </c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  <c r="AA211" s="126"/>
      <c r="AB211" s="126"/>
      <c r="AC211" s="126"/>
      <c r="AD211" s="126"/>
      <c r="AE211" s="126"/>
      <c r="AF211" s="126"/>
      <c r="AG211" s="126"/>
      <c r="AH211" s="126"/>
      <c r="AI211" s="126"/>
      <c r="AJ211" s="126"/>
      <c r="AK211" s="126"/>
      <c r="AL211" s="126"/>
    </row>
    <row r="212" spans="1:38" ht="14.4">
      <c r="A212" s="115">
        <v>511153</v>
      </c>
      <c r="B212" s="116" t="s">
        <v>198</v>
      </c>
      <c r="C212" s="117">
        <v>31.9</v>
      </c>
      <c r="D212" s="118">
        <v>89</v>
      </c>
      <c r="E212" s="126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6"/>
      <c r="S212" s="126"/>
      <c r="T212" s="126"/>
      <c r="U212" s="126"/>
      <c r="V212" s="126"/>
      <c r="W212" s="126"/>
      <c r="X212" s="126"/>
      <c r="Y212" s="126"/>
      <c r="AA212" s="126"/>
      <c r="AB212" s="126"/>
      <c r="AC212" s="126"/>
      <c r="AD212" s="126"/>
      <c r="AE212" s="126"/>
      <c r="AF212" s="126"/>
      <c r="AG212" s="126"/>
      <c r="AH212" s="126"/>
      <c r="AI212" s="126"/>
      <c r="AJ212" s="126"/>
      <c r="AK212" s="126"/>
      <c r="AL212" s="126"/>
    </row>
    <row r="213" spans="1:38" ht="14.4">
      <c r="A213" s="115">
        <v>540850</v>
      </c>
      <c r="B213" s="116" t="s">
        <v>199</v>
      </c>
      <c r="C213" s="117">
        <v>77.87</v>
      </c>
      <c r="D213" s="118">
        <v>80</v>
      </c>
      <c r="E213" s="126"/>
      <c r="F213" s="126"/>
      <c r="G213" s="126"/>
      <c r="H213" s="126"/>
      <c r="I213" s="126"/>
      <c r="J213" s="126"/>
      <c r="K213" s="126"/>
      <c r="L213" s="126"/>
      <c r="M213" s="126"/>
      <c r="N213" s="126"/>
      <c r="O213" s="126"/>
      <c r="P213" s="126"/>
      <c r="Q213" s="126"/>
      <c r="R213" s="126"/>
      <c r="S213" s="126"/>
      <c r="T213" s="126"/>
      <c r="U213" s="126"/>
      <c r="V213" s="126"/>
      <c r="W213" s="126"/>
      <c r="X213" s="126"/>
      <c r="Y213" s="126"/>
      <c r="AA213" s="126"/>
      <c r="AB213" s="126"/>
      <c r="AC213" s="126"/>
      <c r="AD213" s="126"/>
      <c r="AE213" s="126"/>
      <c r="AF213" s="126"/>
      <c r="AG213" s="126"/>
      <c r="AH213" s="126"/>
      <c r="AI213" s="126"/>
      <c r="AJ213" s="126"/>
      <c r="AK213" s="126"/>
      <c r="AL213" s="126"/>
    </row>
    <row r="214" spans="1:38" ht="14.4">
      <c r="A214" s="115">
        <v>541418</v>
      </c>
      <c r="B214" s="116" t="s">
        <v>200</v>
      </c>
      <c r="C214" s="117">
        <v>50.34</v>
      </c>
      <c r="D214" s="118">
        <v>64</v>
      </c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  <c r="W214" s="126"/>
      <c r="X214" s="126"/>
      <c r="Y214" s="126"/>
      <c r="AA214" s="126"/>
      <c r="AB214" s="126"/>
      <c r="AC214" s="126"/>
      <c r="AD214" s="126"/>
      <c r="AE214" s="126"/>
      <c r="AF214" s="126"/>
      <c r="AG214" s="126"/>
      <c r="AH214" s="126"/>
      <c r="AI214" s="126"/>
      <c r="AJ214" s="126"/>
      <c r="AK214" s="126"/>
      <c r="AL214" s="126"/>
    </row>
    <row r="215" spans="1:38" ht="14.4">
      <c r="A215" s="115">
        <v>506186</v>
      </c>
      <c r="B215" s="116" t="s">
        <v>201</v>
      </c>
      <c r="C215" s="117">
        <v>12.44</v>
      </c>
      <c r="D215" s="118">
        <v>56</v>
      </c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6"/>
      <c r="V215" s="126"/>
      <c r="W215" s="126"/>
      <c r="X215" s="126"/>
      <c r="Y215" s="126"/>
      <c r="AA215" s="126"/>
      <c r="AB215" s="126"/>
      <c r="AC215" s="126"/>
      <c r="AD215" s="126"/>
      <c r="AE215" s="126"/>
      <c r="AF215" s="126"/>
      <c r="AG215" s="126"/>
      <c r="AH215" s="126"/>
      <c r="AI215" s="126"/>
      <c r="AJ215" s="126"/>
      <c r="AK215" s="126"/>
      <c r="AL215" s="126"/>
    </row>
    <row r="216" spans="1:38" ht="14.4">
      <c r="A216" s="115">
        <v>530617</v>
      </c>
      <c r="B216" s="116" t="s">
        <v>202</v>
      </c>
      <c r="C216" s="117">
        <v>68.25</v>
      </c>
      <c r="D216" s="118">
        <v>50</v>
      </c>
      <c r="E216" s="126"/>
      <c r="F216" s="126"/>
      <c r="G216" s="126"/>
      <c r="H216" s="126"/>
      <c r="I216" s="126"/>
      <c r="J216" s="126"/>
      <c r="K216" s="126"/>
      <c r="L216" s="126"/>
      <c r="M216" s="126"/>
      <c r="N216" s="126"/>
      <c r="O216" s="126"/>
      <c r="P216" s="126"/>
      <c r="Q216" s="126"/>
      <c r="R216" s="126"/>
      <c r="S216" s="126"/>
      <c r="T216" s="126"/>
      <c r="U216" s="126"/>
      <c r="V216" s="126"/>
      <c r="W216" s="126"/>
      <c r="X216" s="126"/>
      <c r="Y216" s="126"/>
      <c r="AA216" s="126"/>
      <c r="AB216" s="126"/>
      <c r="AC216" s="126"/>
      <c r="AD216" s="126"/>
      <c r="AE216" s="126"/>
      <c r="AF216" s="126"/>
      <c r="AG216" s="126"/>
      <c r="AH216" s="126"/>
      <c r="AI216" s="126"/>
      <c r="AJ216" s="126"/>
      <c r="AK216" s="126"/>
      <c r="AL216" s="126"/>
    </row>
    <row r="217" spans="1:38" ht="14.4">
      <c r="A217" s="115">
        <v>514171</v>
      </c>
      <c r="B217" s="116" t="s">
        <v>203</v>
      </c>
      <c r="C217" s="117">
        <v>32.35</v>
      </c>
      <c r="D217" s="118">
        <v>47</v>
      </c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6"/>
      <c r="R217" s="126"/>
      <c r="S217" s="126"/>
      <c r="T217" s="126"/>
      <c r="U217" s="126"/>
      <c r="V217" s="126"/>
      <c r="W217" s="126"/>
      <c r="X217" s="126"/>
      <c r="Y217" s="126"/>
      <c r="AA217" s="126"/>
      <c r="AB217" s="126"/>
      <c r="AC217" s="126"/>
      <c r="AD217" s="126"/>
      <c r="AE217" s="126"/>
      <c r="AF217" s="126"/>
      <c r="AG217" s="126"/>
      <c r="AH217" s="126"/>
      <c r="AI217" s="126"/>
      <c r="AJ217" s="126"/>
      <c r="AK217" s="126"/>
      <c r="AL217" s="126"/>
    </row>
    <row r="218" spans="1:38" ht="14.4">
      <c r="A218" s="115">
        <v>530217</v>
      </c>
      <c r="B218" s="116" t="s">
        <v>204</v>
      </c>
      <c r="C218" s="117">
        <v>10.95</v>
      </c>
      <c r="D218" s="118">
        <v>34</v>
      </c>
      <c r="E218" s="126"/>
      <c r="F218" s="126"/>
      <c r="G218" s="126"/>
      <c r="H218" s="126"/>
      <c r="I218" s="126"/>
      <c r="J218" s="126"/>
      <c r="K218" s="126"/>
      <c r="L218" s="126"/>
      <c r="M218" s="126"/>
      <c r="N218" s="126"/>
      <c r="O218" s="126"/>
      <c r="P218" s="126"/>
      <c r="Q218" s="126"/>
      <c r="R218" s="126"/>
      <c r="S218" s="126"/>
      <c r="T218" s="126"/>
      <c r="U218" s="126"/>
      <c r="V218" s="126"/>
      <c r="W218" s="126"/>
      <c r="X218" s="126"/>
      <c r="Y218" s="126"/>
      <c r="AA218" s="126"/>
      <c r="AB218" s="126"/>
      <c r="AC218" s="126"/>
      <c r="AD218" s="126"/>
      <c r="AE218" s="126"/>
      <c r="AF218" s="126"/>
      <c r="AG218" s="126"/>
      <c r="AH218" s="126"/>
      <c r="AI218" s="126"/>
      <c r="AJ218" s="126"/>
      <c r="AK218" s="126"/>
      <c r="AL218" s="126"/>
    </row>
    <row r="219" spans="1:38" ht="14.4">
      <c r="A219" s="115">
        <v>519475</v>
      </c>
      <c r="B219" s="116" t="s">
        <v>205</v>
      </c>
      <c r="C219" s="117">
        <v>83</v>
      </c>
      <c r="D219" s="118">
        <v>33</v>
      </c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  <c r="O219" s="126"/>
      <c r="P219" s="126"/>
      <c r="Q219" s="126"/>
      <c r="R219" s="126"/>
      <c r="S219" s="126"/>
      <c r="T219" s="126"/>
      <c r="U219" s="126"/>
      <c r="V219" s="126"/>
      <c r="W219" s="126"/>
      <c r="X219" s="126"/>
      <c r="Y219" s="126"/>
      <c r="AA219" s="126"/>
      <c r="AB219" s="126"/>
      <c r="AC219" s="126"/>
      <c r="AD219" s="126"/>
      <c r="AE219" s="126"/>
      <c r="AF219" s="126"/>
      <c r="AG219" s="126"/>
      <c r="AH219" s="126"/>
      <c r="AI219" s="126"/>
      <c r="AJ219" s="126"/>
      <c r="AK219" s="126"/>
      <c r="AL219" s="126"/>
    </row>
    <row r="220" spans="1:38" ht="14.4">
      <c r="A220" s="115">
        <v>526345</v>
      </c>
      <c r="B220" s="116" t="s">
        <v>206</v>
      </c>
      <c r="C220" s="117">
        <v>19.13</v>
      </c>
      <c r="D220" s="118">
        <v>30</v>
      </c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6"/>
      <c r="Q220" s="126"/>
      <c r="R220" s="126"/>
      <c r="S220" s="126"/>
      <c r="T220" s="126"/>
      <c r="U220" s="126"/>
      <c r="V220" s="126"/>
      <c r="W220" s="126"/>
      <c r="X220" s="126"/>
      <c r="Y220" s="126"/>
      <c r="AA220" s="126"/>
      <c r="AB220" s="126"/>
      <c r="AC220" s="126"/>
      <c r="AD220" s="126"/>
      <c r="AE220" s="126"/>
      <c r="AF220" s="126"/>
      <c r="AG220" s="126"/>
      <c r="AH220" s="126"/>
      <c r="AI220" s="126"/>
      <c r="AJ220" s="126"/>
      <c r="AK220" s="126"/>
      <c r="AL220" s="126"/>
    </row>
    <row r="221" spans="1:38" ht="14.4">
      <c r="A221" s="115">
        <v>540681</v>
      </c>
      <c r="B221" s="116" t="s">
        <v>207</v>
      </c>
      <c r="C221" s="117">
        <v>25.5</v>
      </c>
      <c r="D221" s="118">
        <v>26</v>
      </c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  <c r="T221" s="126"/>
      <c r="U221" s="126"/>
      <c r="V221" s="126"/>
      <c r="W221" s="126"/>
      <c r="X221" s="126"/>
      <c r="Y221" s="126"/>
      <c r="AA221" s="126"/>
      <c r="AB221" s="126"/>
      <c r="AC221" s="126"/>
      <c r="AD221" s="126"/>
      <c r="AE221" s="126"/>
      <c r="AF221" s="126"/>
      <c r="AG221" s="126"/>
      <c r="AH221" s="126"/>
      <c r="AI221" s="126"/>
      <c r="AJ221" s="126"/>
      <c r="AK221" s="126"/>
      <c r="AL221" s="126"/>
    </row>
    <row r="222" spans="1:38" ht="14.4">
      <c r="A222" s="115">
        <v>542935</v>
      </c>
      <c r="B222" s="116" t="s">
        <v>208</v>
      </c>
      <c r="C222" s="117">
        <v>39.71</v>
      </c>
      <c r="D222" s="118">
        <v>24</v>
      </c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  <c r="P222" s="126"/>
      <c r="Q222" s="126"/>
      <c r="R222" s="126"/>
      <c r="S222" s="126"/>
      <c r="T222" s="126"/>
      <c r="U222" s="126"/>
      <c r="V222" s="126"/>
      <c r="W222" s="126"/>
      <c r="X222" s="126"/>
      <c r="Y222" s="126"/>
      <c r="AA222" s="126"/>
      <c r="AB222" s="126"/>
      <c r="AC222" s="126"/>
      <c r="AD222" s="126"/>
      <c r="AE222" s="126"/>
      <c r="AF222" s="126"/>
      <c r="AG222" s="126"/>
      <c r="AH222" s="126"/>
      <c r="AI222" s="126"/>
      <c r="AJ222" s="126"/>
      <c r="AK222" s="126"/>
      <c r="AL222" s="126"/>
    </row>
    <row r="223" spans="1:38" ht="14.4">
      <c r="A223" s="115">
        <v>519415</v>
      </c>
      <c r="B223" s="116" t="s">
        <v>209</v>
      </c>
      <c r="C223" s="117">
        <v>36.58</v>
      </c>
      <c r="D223" s="118">
        <v>19</v>
      </c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  <c r="AA223" s="126"/>
      <c r="AB223" s="126"/>
      <c r="AC223" s="126"/>
      <c r="AD223" s="126"/>
      <c r="AE223" s="126"/>
      <c r="AF223" s="126"/>
      <c r="AG223" s="126"/>
      <c r="AH223" s="126"/>
      <c r="AI223" s="126"/>
      <c r="AJ223" s="126"/>
      <c r="AK223" s="126"/>
      <c r="AL223" s="126"/>
    </row>
    <row r="224" spans="1:38" ht="14.4">
      <c r="A224" s="115">
        <v>530735</v>
      </c>
      <c r="B224" s="116" t="s">
        <v>210</v>
      </c>
      <c r="C224" s="117">
        <v>31</v>
      </c>
      <c r="D224" s="118">
        <v>9</v>
      </c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26"/>
      <c r="P224" s="126"/>
      <c r="Q224" s="126"/>
      <c r="R224" s="126"/>
      <c r="S224" s="126"/>
      <c r="T224" s="126"/>
      <c r="U224" s="126"/>
      <c r="V224" s="126"/>
      <c r="W224" s="126"/>
      <c r="X224" s="126"/>
      <c r="Y224" s="126"/>
      <c r="AA224" s="126"/>
      <c r="AB224" s="126"/>
      <c r="AC224" s="126"/>
      <c r="AD224" s="126"/>
      <c r="AE224" s="126"/>
      <c r="AF224" s="126"/>
      <c r="AG224" s="126"/>
      <c r="AH224" s="126"/>
      <c r="AI224" s="126"/>
      <c r="AJ224" s="126"/>
      <c r="AK224" s="126"/>
      <c r="AL224" s="126"/>
    </row>
    <row r="225" spans="1:38" ht="14.4">
      <c r="A225" s="115">
        <v>543924</v>
      </c>
      <c r="B225" s="116" t="s">
        <v>211</v>
      </c>
      <c r="C225" s="117">
        <v>34.03</v>
      </c>
      <c r="D225" s="118">
        <v>7</v>
      </c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  <c r="AA225" s="126"/>
      <c r="AB225" s="126"/>
      <c r="AC225" s="126"/>
      <c r="AD225" s="126"/>
      <c r="AE225" s="126"/>
      <c r="AF225" s="126"/>
      <c r="AG225" s="126"/>
      <c r="AH225" s="126"/>
      <c r="AI225" s="126"/>
      <c r="AJ225" s="126"/>
      <c r="AK225" s="126"/>
      <c r="AL225" s="126"/>
    </row>
    <row r="226" spans="1:38" ht="14.4">
      <c r="A226" s="115">
        <v>531925</v>
      </c>
      <c r="B226" s="116" t="s">
        <v>212</v>
      </c>
      <c r="C226" s="117">
        <v>1.62</v>
      </c>
      <c r="D226" s="118">
        <v>6</v>
      </c>
      <c r="E226" s="126"/>
      <c r="F226" s="126"/>
      <c r="G226" s="126"/>
      <c r="H226" s="126"/>
      <c r="I226" s="126"/>
      <c r="J226" s="126"/>
      <c r="K226" s="126"/>
      <c r="L226" s="126"/>
      <c r="M226" s="126"/>
      <c r="N226" s="126"/>
      <c r="O226" s="126"/>
      <c r="P226" s="126"/>
      <c r="Q226" s="126"/>
      <c r="R226" s="126"/>
      <c r="S226" s="126"/>
      <c r="T226" s="126"/>
      <c r="U226" s="126"/>
      <c r="V226" s="126"/>
      <c r="W226" s="126"/>
      <c r="X226" s="126"/>
      <c r="Y226" s="126"/>
      <c r="AA226" s="126"/>
      <c r="AB226" s="126"/>
      <c r="AC226" s="126"/>
      <c r="AD226" s="126"/>
      <c r="AE226" s="126"/>
      <c r="AF226" s="126"/>
      <c r="AG226" s="126"/>
      <c r="AH226" s="126"/>
      <c r="AI226" s="126"/>
      <c r="AJ226" s="126"/>
      <c r="AK226" s="126"/>
      <c r="AL226" s="126"/>
    </row>
    <row r="228" spans="1:38" ht="14.4">
      <c r="B228" s="10" t="s">
        <v>151</v>
      </c>
      <c r="D228" s="16">
        <f t="shared" ref="D228:L228" si="15">SUM(D194:D226)</f>
        <v>427647</v>
      </c>
      <c r="E228" s="16">
        <f t="shared" si="15"/>
        <v>18302</v>
      </c>
      <c r="F228" s="16">
        <f t="shared" si="15"/>
        <v>14832</v>
      </c>
      <c r="G228" s="16">
        <f t="shared" si="15"/>
        <v>43446</v>
      </c>
      <c r="H228" s="16">
        <f t="shared" si="15"/>
        <v>23409</v>
      </c>
      <c r="I228" s="16">
        <f t="shared" si="15"/>
        <v>428</v>
      </c>
      <c r="J228" s="16">
        <f t="shared" si="15"/>
        <v>20022</v>
      </c>
      <c r="K228" s="10">
        <f t="shared" si="15"/>
        <v>3577</v>
      </c>
      <c r="L228" s="16">
        <f t="shared" si="15"/>
        <v>2081</v>
      </c>
      <c r="M228" s="10">
        <f>MEDIAN(M194:M226)</f>
        <v>2</v>
      </c>
      <c r="N228" s="10">
        <f t="shared" ref="N228:V228" ca="1" si="16">SUM(N194:N226)</f>
        <v>212.87</v>
      </c>
      <c r="O228" s="16">
        <f t="shared" si="16"/>
        <v>35367</v>
      </c>
      <c r="P228" s="16">
        <f t="shared" si="16"/>
        <v>3701</v>
      </c>
      <c r="Q228" s="16">
        <f t="shared" si="16"/>
        <v>61915</v>
      </c>
      <c r="R228" s="16">
        <f t="shared" si="16"/>
        <v>4966</v>
      </c>
      <c r="S228" s="16">
        <f t="shared" si="16"/>
        <v>64021</v>
      </c>
      <c r="T228" s="16">
        <f t="shared" si="16"/>
        <v>6114</v>
      </c>
      <c r="U228" s="10">
        <f t="shared" si="16"/>
        <v>813</v>
      </c>
      <c r="V228" s="10">
        <f t="shared" si="16"/>
        <v>52276</v>
      </c>
      <c r="W228" s="120">
        <f>(Q228/O228)^(1/5)-1</f>
        <v>0.11850912363024046</v>
      </c>
      <c r="X228" s="120">
        <f>(S228/Q228)-1</f>
        <v>3.4014374545748183E-2</v>
      </c>
      <c r="Y228" s="120">
        <f>R228/Q228</f>
        <v>8.0206735039974164E-2</v>
      </c>
      <c r="Z228" s="29">
        <f>T228/S228</f>
        <v>9.5499914090688989E-2</v>
      </c>
      <c r="AA228" s="121">
        <f>(S228-V228+U228)/U228</f>
        <v>15.446494464944649</v>
      </c>
      <c r="AB228" s="121">
        <f>E228/F228</f>
        <v>1.2339536138079827</v>
      </c>
      <c r="AC228" s="121">
        <f>(L228/S228)*365</f>
        <v>11.86431014823261</v>
      </c>
      <c r="AD228" s="122">
        <f>K228/J228</f>
        <v>0.17865348117071223</v>
      </c>
      <c r="AE228" s="122">
        <f>H228/G228</f>
        <v>0.53880679464162407</v>
      </c>
      <c r="AF228" s="120">
        <f>T228/J228</f>
        <v>0.30536409949056037</v>
      </c>
      <c r="AG228" s="123">
        <f>T228/I228</f>
        <v>14.285046728971963</v>
      </c>
      <c r="AH228" s="52">
        <f>T228/G228</f>
        <v>0.14072641900290014</v>
      </c>
    </row>
  </sheetData>
  <mergeCells count="1">
    <mergeCell ref="B2:N4"/>
  </mergeCells>
  <conditionalFormatting sqref="C8:C19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9:C49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69:C79">
    <cfRule type="colorScale" priority="6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C130:C140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60:C170">
    <cfRule type="colorScale" priority="1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C99:D109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8:G18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39:G49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68:G79 J68:K68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30:G140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60:G170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99:H109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8:K18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69:K79">
    <cfRule type="colorScale" priority="8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K130:K140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60:K170">
    <cfRule type="colorScale" priority="1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L99:L109">
    <cfRule type="colorScale" priority="1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NestleInt</vt:lpstr>
      <vt:lpstr>PACKAGED FOODS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2024-05-18T10:22:47Z</dcterms:created>
  <dcterms:modified xsi:type="dcterms:W3CDTF">2024-05-18T10:23:10Z</dcterms:modified>
</cp:coreProperties>
</file>