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540772D5-A035-45E4-B247-C431E7E9DACA}" xr6:coauthVersionLast="47" xr6:coauthVersionMax="47" xr10:uidLastSave="{00000000-0000-0000-0000-000000000000}"/>
  <bookViews>
    <workbookView xWindow="-108" yWindow="-108" windowWidth="23256" windowHeight="12456" xr2:uid="{D9AB43CD-50A5-431C-836A-3035E29F3A08}"/>
  </bookViews>
  <sheets>
    <sheet name="Marut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AA71" i="1"/>
  <c r="Z69" i="1"/>
  <c r="AA69" i="1" s="1"/>
  <c r="Y68" i="1"/>
  <c r="AA68" i="1" s="1"/>
  <c r="D68" i="1"/>
  <c r="E68" i="1" s="1"/>
  <c r="E64" i="1" s="1"/>
  <c r="F64" i="1" s="1"/>
  <c r="F68" i="1" s="1"/>
  <c r="B68" i="1"/>
  <c r="B69" i="1" s="1"/>
  <c r="B70" i="1" s="1"/>
  <c r="AA67" i="1"/>
  <c r="Z67" i="1"/>
  <c r="Y67" i="1"/>
  <c r="AA66" i="1"/>
  <c r="U61" i="1"/>
  <c r="T61" i="1"/>
  <c r="S61" i="1"/>
  <c r="R61" i="1"/>
  <c r="N61" i="1"/>
  <c r="O61" i="1" s="1"/>
  <c r="M61" i="1"/>
  <c r="I61" i="1"/>
  <c r="H61" i="1"/>
  <c r="J61" i="1" s="1"/>
  <c r="D61" i="1"/>
  <c r="C61" i="1"/>
  <c r="E61" i="1" s="1"/>
  <c r="X60" i="1"/>
  <c r="X63" i="1" s="1"/>
  <c r="N60" i="1"/>
  <c r="M60" i="1"/>
  <c r="O60" i="1" s="1"/>
  <c r="I60" i="1"/>
  <c r="H60" i="1"/>
  <c r="J60" i="1" s="1"/>
  <c r="E60" i="1"/>
  <c r="D60" i="1"/>
  <c r="C60" i="1"/>
  <c r="U59" i="1"/>
  <c r="T59" i="1"/>
  <c r="U58" i="1"/>
  <c r="T58" i="1"/>
  <c r="O58" i="1"/>
  <c r="J58" i="1"/>
  <c r="E58" i="1"/>
  <c r="U57" i="1"/>
  <c r="T57" i="1"/>
  <c r="O57" i="1"/>
  <c r="J57" i="1"/>
  <c r="E57" i="1"/>
  <c r="U56" i="1"/>
  <c r="T56" i="1"/>
  <c r="N56" i="1"/>
  <c r="N59" i="1" s="1"/>
  <c r="M56" i="1"/>
  <c r="O56" i="1" s="1"/>
  <c r="J56" i="1"/>
  <c r="I56" i="1"/>
  <c r="I59" i="1" s="1"/>
  <c r="H56" i="1"/>
  <c r="H59" i="1" s="1"/>
  <c r="E56" i="1"/>
  <c r="D56" i="1"/>
  <c r="D59" i="1" s="1"/>
  <c r="C56" i="1"/>
  <c r="C59" i="1" s="1"/>
  <c r="E59" i="1" s="1"/>
  <c r="U55" i="1"/>
  <c r="T55" i="1"/>
  <c r="O55" i="1"/>
  <c r="J55" i="1"/>
  <c r="E55" i="1"/>
  <c r="X54" i="1"/>
  <c r="U54" i="1"/>
  <c r="T54" i="1"/>
  <c r="O54" i="1"/>
  <c r="J54" i="1"/>
  <c r="E54" i="1"/>
  <c r="U53" i="1"/>
  <c r="T53" i="1"/>
  <c r="O53" i="1"/>
  <c r="J53" i="1"/>
  <c r="E53" i="1"/>
  <c r="U52" i="1"/>
  <c r="T52" i="1"/>
  <c r="O52" i="1"/>
  <c r="J52" i="1"/>
  <c r="E52" i="1"/>
  <c r="C49" i="1"/>
  <c r="P48" i="1"/>
  <c r="N46" i="1"/>
  <c r="O43" i="1"/>
  <c r="K43" i="1"/>
  <c r="J43" i="1"/>
  <c r="I43" i="1"/>
  <c r="H43" i="1"/>
  <c r="G43" i="1"/>
  <c r="E43" i="1"/>
  <c r="D43" i="1"/>
  <c r="B43" i="1"/>
  <c r="N42" i="1"/>
  <c r="K42" i="1"/>
  <c r="J42" i="1"/>
  <c r="I42" i="1"/>
  <c r="H42" i="1"/>
  <c r="G42" i="1"/>
  <c r="E42" i="1"/>
  <c r="D42" i="1"/>
  <c r="B42" i="1"/>
  <c r="K41" i="1"/>
  <c r="J41" i="1"/>
  <c r="I41" i="1"/>
  <c r="H41" i="1"/>
  <c r="G41" i="1"/>
  <c r="E41" i="1"/>
  <c r="D41" i="1"/>
  <c r="B41" i="1"/>
  <c r="K40" i="1"/>
  <c r="J40" i="1"/>
  <c r="I40" i="1"/>
  <c r="H40" i="1"/>
  <c r="G40" i="1"/>
  <c r="E40" i="1"/>
  <c r="D40" i="1"/>
  <c r="P37" i="1"/>
  <c r="N37" i="1"/>
  <c r="O37" i="1" s="1"/>
  <c r="M37" i="1"/>
  <c r="L37" i="1"/>
  <c r="G37" i="1"/>
  <c r="E37" i="1"/>
  <c r="F6" i="1" s="1"/>
  <c r="D37" i="1"/>
  <c r="B37" i="1"/>
  <c r="P36" i="1"/>
  <c r="P43" i="1" s="1"/>
  <c r="O36" i="1"/>
  <c r="N36" i="1"/>
  <c r="N40" i="1" s="1"/>
  <c r="M36" i="1"/>
  <c r="M43" i="1" s="1"/>
  <c r="L36" i="1"/>
  <c r="L43" i="1" s="1"/>
  <c r="F36" i="1"/>
  <c r="F43" i="1" s="1"/>
  <c r="P35" i="1"/>
  <c r="N35" i="1"/>
  <c r="O35" i="1" s="1"/>
  <c r="M35" i="1"/>
  <c r="L35" i="1"/>
  <c r="F35" i="1"/>
  <c r="Q34" i="1"/>
  <c r="P34" i="1"/>
  <c r="O34" i="1"/>
  <c r="N34" i="1"/>
  <c r="M34" i="1"/>
  <c r="L34" i="1"/>
  <c r="F34" i="1"/>
  <c r="N33" i="1"/>
  <c r="P33" i="1" s="1"/>
  <c r="M33" i="1"/>
  <c r="L33" i="1"/>
  <c r="F33" i="1"/>
  <c r="P32" i="1"/>
  <c r="O32" i="1"/>
  <c r="N32" i="1"/>
  <c r="M32" i="1"/>
  <c r="L32" i="1"/>
  <c r="F32" i="1"/>
  <c r="Q31" i="1"/>
  <c r="Q42" i="1" s="1"/>
  <c r="P31" i="1"/>
  <c r="O31" i="1"/>
  <c r="N31" i="1"/>
  <c r="M31" i="1"/>
  <c r="M42" i="1" s="1"/>
  <c r="L31" i="1"/>
  <c r="L42" i="1" s="1"/>
  <c r="F31" i="1"/>
  <c r="F42" i="1" s="1"/>
  <c r="Q30" i="1"/>
  <c r="N30" i="1"/>
  <c r="P30" i="1" s="1"/>
  <c r="M30" i="1"/>
  <c r="L30" i="1"/>
  <c r="F30" i="1"/>
  <c r="Q29" i="1"/>
  <c r="P29" i="1"/>
  <c r="N29" i="1"/>
  <c r="O29" i="1" s="1"/>
  <c r="M29" i="1"/>
  <c r="L29" i="1"/>
  <c r="F29" i="1"/>
  <c r="Q28" i="1"/>
  <c r="P28" i="1"/>
  <c r="O28" i="1"/>
  <c r="N28" i="1"/>
  <c r="M28" i="1"/>
  <c r="L28" i="1"/>
  <c r="F28" i="1"/>
  <c r="Q27" i="1"/>
  <c r="P27" i="1"/>
  <c r="O27" i="1"/>
  <c r="N27" i="1"/>
  <c r="M27" i="1"/>
  <c r="L27" i="1"/>
  <c r="F27" i="1"/>
  <c r="Q26" i="1"/>
  <c r="Q41" i="1" s="1"/>
  <c r="N26" i="1"/>
  <c r="P26" i="1" s="1"/>
  <c r="P41" i="1" s="1"/>
  <c r="M26" i="1"/>
  <c r="M41" i="1" s="1"/>
  <c r="L26" i="1"/>
  <c r="L41" i="1" s="1"/>
  <c r="F26" i="1"/>
  <c r="F41" i="1" s="1"/>
  <c r="Q25" i="1"/>
  <c r="N25" i="1"/>
  <c r="P25" i="1" s="1"/>
  <c r="M25" i="1"/>
  <c r="L25" i="1"/>
  <c r="F25" i="1"/>
  <c r="Q24" i="1"/>
  <c r="P24" i="1"/>
  <c r="O24" i="1"/>
  <c r="N24" i="1"/>
  <c r="M24" i="1"/>
  <c r="L24" i="1"/>
  <c r="F24" i="1"/>
  <c r="Q23" i="1"/>
  <c r="P23" i="1"/>
  <c r="O23" i="1"/>
  <c r="N23" i="1"/>
  <c r="M23" i="1"/>
  <c r="L23" i="1"/>
  <c r="F23" i="1"/>
  <c r="Q22" i="1"/>
  <c r="N22" i="1"/>
  <c r="P22" i="1" s="1"/>
  <c r="M22" i="1"/>
  <c r="L22" i="1"/>
  <c r="F22" i="1"/>
  <c r="Q21" i="1"/>
  <c r="P21" i="1"/>
  <c r="N21" i="1"/>
  <c r="O21" i="1" s="1"/>
  <c r="M21" i="1"/>
  <c r="L21" i="1"/>
  <c r="F21" i="1"/>
  <c r="Q20" i="1"/>
  <c r="P20" i="1"/>
  <c r="O20" i="1"/>
  <c r="N20" i="1"/>
  <c r="M20" i="1"/>
  <c r="L20" i="1"/>
  <c r="F20" i="1"/>
  <c r="Q19" i="1"/>
  <c r="P19" i="1"/>
  <c r="O19" i="1"/>
  <c r="N19" i="1"/>
  <c r="M19" i="1"/>
  <c r="L19" i="1"/>
  <c r="F19" i="1"/>
  <c r="Q18" i="1"/>
  <c r="N18" i="1"/>
  <c r="P18" i="1" s="1"/>
  <c r="M18" i="1"/>
  <c r="L18" i="1"/>
  <c r="F18" i="1"/>
  <c r="Q17" i="1"/>
  <c r="N17" i="1"/>
  <c r="P17" i="1" s="1"/>
  <c r="M17" i="1"/>
  <c r="L17" i="1"/>
  <c r="F17" i="1"/>
  <c r="Q16" i="1"/>
  <c r="Q40" i="1" s="1"/>
  <c r="P16" i="1"/>
  <c r="O16" i="1"/>
  <c r="N16" i="1"/>
  <c r="M16" i="1"/>
  <c r="M40" i="1" s="1"/>
  <c r="L16" i="1"/>
  <c r="L40" i="1" s="1"/>
  <c r="F16" i="1"/>
  <c r="F40" i="1" s="1"/>
  <c r="G65" i="1" s="1"/>
  <c r="Q15" i="1"/>
  <c r="O15" i="1"/>
  <c r="N15" i="1"/>
  <c r="P15" i="1" s="1"/>
  <c r="M15" i="1"/>
  <c r="L15" i="1"/>
  <c r="F15" i="1"/>
  <c r="N12" i="1"/>
  <c r="H12" i="1"/>
  <c r="G12" i="1"/>
  <c r="F12" i="1"/>
  <c r="D12" i="1"/>
  <c r="C12" i="1"/>
  <c r="B12" i="1"/>
  <c r="W8" i="1"/>
  <c r="U8" i="1"/>
  <c r="T8" i="1"/>
  <c r="S8" i="1"/>
  <c r="R8" i="1"/>
  <c r="Q8" i="1"/>
  <c r="P8" i="1"/>
  <c r="O8" i="1"/>
  <c r="N8" i="1"/>
  <c r="M8" i="1"/>
  <c r="L8" i="1"/>
  <c r="K8" i="1"/>
  <c r="J8" i="1"/>
  <c r="I8" i="1"/>
  <c r="G8" i="1"/>
  <c r="V7" i="1"/>
  <c r="V6" i="1"/>
  <c r="V8" i="1" s="1"/>
  <c r="H6" i="1"/>
  <c r="M12" i="1" s="1"/>
  <c r="G6" i="1"/>
  <c r="E6" i="1"/>
  <c r="E8" i="1" s="1"/>
  <c r="D6" i="1"/>
  <c r="C6" i="1"/>
  <c r="Q48" i="1" s="1"/>
  <c r="J59" i="1" l="1"/>
  <c r="Y61" i="1"/>
  <c r="Y52" i="1"/>
  <c r="Y59" i="1"/>
  <c r="Y56" i="1"/>
  <c r="Y53" i="1"/>
  <c r="Y57" i="1"/>
  <c r="Y54" i="1"/>
  <c r="Y58" i="1"/>
  <c r="Y55" i="1"/>
  <c r="Y63" i="1"/>
  <c r="Y60" i="1"/>
  <c r="I68" i="1"/>
  <c r="H68" i="1"/>
  <c r="G68" i="1"/>
  <c r="R46" i="1"/>
  <c r="K68" i="1"/>
  <c r="P40" i="1"/>
  <c r="P42" i="1"/>
  <c r="K12" i="1"/>
  <c r="J12" i="1"/>
  <c r="I12" i="1"/>
  <c r="F8" i="1"/>
  <c r="N43" i="1"/>
  <c r="R48" i="1"/>
  <c r="S47" i="1" s="1"/>
  <c r="P12" i="1" s="1"/>
  <c r="M59" i="1"/>
  <c r="O59" i="1" s="1"/>
  <c r="D69" i="1"/>
  <c r="H8" i="1"/>
  <c r="O18" i="1"/>
  <c r="O26" i="1"/>
  <c r="O33" i="1"/>
  <c r="O42" i="1" s="1"/>
  <c r="F37" i="1"/>
  <c r="N41" i="1"/>
  <c r="D7" i="1"/>
  <c r="D8" i="1" s="1"/>
  <c r="O17" i="1"/>
  <c r="O40" i="1" s="1"/>
  <c r="O25" i="1"/>
  <c r="L12" i="1"/>
  <c r="C8" i="1"/>
  <c r="E12" i="1"/>
  <c r="O22" i="1"/>
  <c r="O30" i="1"/>
  <c r="O12" i="1"/>
  <c r="O41" i="1" l="1"/>
  <c r="G69" i="1"/>
  <c r="N68" i="1"/>
  <c r="L68" i="1"/>
  <c r="M68" i="1" s="1"/>
  <c r="E73" i="1" s="1"/>
  <c r="F73" i="1" s="1"/>
  <c r="E69" i="1"/>
  <c r="D70" i="1"/>
  <c r="J68" i="1"/>
  <c r="O68" i="1" s="1"/>
  <c r="F69" i="1" l="1"/>
  <c r="E70" i="1"/>
  <c r="G70" i="1"/>
  <c r="N69" i="1"/>
  <c r="L69" i="1"/>
  <c r="M69" i="1" s="1"/>
  <c r="N70" i="1" l="1"/>
  <c r="L70" i="1"/>
  <c r="I69" i="1"/>
  <c r="H69" i="1"/>
  <c r="F70" i="1"/>
  <c r="K69" i="1"/>
  <c r="K70" i="1" l="1"/>
  <c r="I70" i="1"/>
  <c r="J70" i="1" s="1"/>
  <c r="H70" i="1"/>
  <c r="J69" i="1"/>
  <c r="O69" i="1" s="1"/>
  <c r="M70" i="1"/>
  <c r="O70" i="1" l="1"/>
</calcChain>
</file>

<file path=xl/sharedStrings.xml><?xml version="1.0" encoding="utf-8"?>
<sst xmlns="http://schemas.openxmlformats.org/spreadsheetml/2006/main" count="249" uniqueCount="171">
  <si>
    <t>MARUTI</t>
  </si>
  <si>
    <t>BALANCESHEET</t>
  </si>
  <si>
    <t>CASHFLOW</t>
  </si>
  <si>
    <t>Company</t>
  </si>
  <si>
    <t>Price</t>
  </si>
  <si>
    <t>Marketcap in Cr</t>
  </si>
  <si>
    <t>Sales in Cr</t>
  </si>
  <si>
    <t>Profit in Cr</t>
  </si>
  <si>
    <t>UNITS</t>
  </si>
  <si>
    <t>T_EPS</t>
  </si>
  <si>
    <t>FV</t>
  </si>
  <si>
    <t>Equity</t>
  </si>
  <si>
    <t>Total Equity</t>
  </si>
  <si>
    <t>BORROWING</t>
  </si>
  <si>
    <t xml:space="preserve">Lease </t>
  </si>
  <si>
    <t>CUR.ASSETS</t>
  </si>
  <si>
    <t>CUR.LIABILITIES</t>
  </si>
  <si>
    <t>ASSETS</t>
  </si>
  <si>
    <t>LIABILITIES</t>
  </si>
  <si>
    <t>TRADE REC</t>
  </si>
  <si>
    <t>CFO</t>
  </si>
  <si>
    <t>CFI</t>
  </si>
  <si>
    <t>CFF</t>
  </si>
  <si>
    <t>NETCAFLOW</t>
  </si>
  <si>
    <t>PPE</t>
  </si>
  <si>
    <t>Pres Yr_25</t>
  </si>
  <si>
    <t>Growth</t>
  </si>
  <si>
    <t>GROWTH</t>
  </si>
  <si>
    <t>LIQUIDITY</t>
  </si>
  <si>
    <t>SOLVENCY</t>
  </si>
  <si>
    <t>PROFITABILITY</t>
  </si>
  <si>
    <t>VALUATIONS</t>
  </si>
  <si>
    <t>MSHARE</t>
  </si>
  <si>
    <t>SALES GROWTH</t>
  </si>
  <si>
    <t>P-MARGIN</t>
  </si>
  <si>
    <t>CUR.RATIO</t>
  </si>
  <si>
    <t>TRADE CYC</t>
  </si>
  <si>
    <t>DEBT2EQUITY</t>
  </si>
  <si>
    <t>DEBTRATIO</t>
  </si>
  <si>
    <t>ICR</t>
  </si>
  <si>
    <t>ROE</t>
  </si>
  <si>
    <t>ROPE</t>
  </si>
  <si>
    <t>ROA</t>
  </si>
  <si>
    <t>F_PE</t>
  </si>
  <si>
    <t>YIELD_23</t>
  </si>
  <si>
    <t>BOOKVALUE</t>
  </si>
  <si>
    <t>PBV</t>
  </si>
  <si>
    <t>PEG</t>
  </si>
  <si>
    <t>MKT.SHARE</t>
  </si>
  <si>
    <t>Vehicles</t>
  </si>
  <si>
    <t>Year</t>
  </si>
  <si>
    <t>Sales</t>
  </si>
  <si>
    <t>Profit</t>
  </si>
  <si>
    <t>Margin</t>
  </si>
  <si>
    <t>EPS</t>
  </si>
  <si>
    <t>Reserve</t>
  </si>
  <si>
    <t>Low Price</t>
  </si>
  <si>
    <t>High Price</t>
  </si>
  <si>
    <t>LOWPE</t>
  </si>
  <si>
    <t>HIGHPE</t>
  </si>
  <si>
    <t>BokValue</t>
  </si>
  <si>
    <t>LBV</t>
  </si>
  <si>
    <t>HBV</t>
  </si>
  <si>
    <t>Dividend</t>
  </si>
  <si>
    <t>FY_2004</t>
  </si>
  <si>
    <t>FY_2005</t>
  </si>
  <si>
    <t>FY_2006</t>
  </si>
  <si>
    <t>FY_2007</t>
  </si>
  <si>
    <t>FY_2008</t>
  </si>
  <si>
    <t>FY_2009</t>
  </si>
  <si>
    <t>FY_2010</t>
  </si>
  <si>
    <t>FY_2011</t>
  </si>
  <si>
    <t>FY_2012</t>
  </si>
  <si>
    <t>FY_2013</t>
  </si>
  <si>
    <t>FY_2014</t>
  </si>
  <si>
    <t>FY_2015</t>
  </si>
  <si>
    <t>FY_2016</t>
  </si>
  <si>
    <t>FY_2017</t>
  </si>
  <si>
    <t>FY_2018</t>
  </si>
  <si>
    <t>FY_2019</t>
  </si>
  <si>
    <t>FY_2020</t>
  </si>
  <si>
    <t>FY_2021</t>
  </si>
  <si>
    <t>FY_2022</t>
  </si>
  <si>
    <t>FY_2023</t>
  </si>
  <si>
    <t>FY_2024</t>
  </si>
  <si>
    <t>FY_2025</t>
  </si>
  <si>
    <t>Tr_FY26</t>
  </si>
  <si>
    <t>BookValue</t>
  </si>
  <si>
    <t>20 Years</t>
  </si>
  <si>
    <t>10 Year</t>
  </si>
  <si>
    <t>5 Year</t>
  </si>
  <si>
    <t>LAST YEAR</t>
  </si>
  <si>
    <t>Current Trend</t>
  </si>
  <si>
    <t>H1_FY_25</t>
  </si>
  <si>
    <t>9M_FY_25</t>
  </si>
  <si>
    <t>FY_25</t>
  </si>
  <si>
    <t>Q1_FY26</t>
  </si>
  <si>
    <t>Est-2026</t>
  </si>
  <si>
    <t>QUARTER</t>
  </si>
  <si>
    <t>Q2_FY25</t>
  </si>
  <si>
    <t>Q3_FY25</t>
  </si>
  <si>
    <t>Q4_FY25</t>
  </si>
  <si>
    <t>TRAILEPS</t>
  </si>
  <si>
    <t>EPS_25</t>
  </si>
  <si>
    <t>F_EPS_26</t>
  </si>
  <si>
    <t>F_PEG</t>
  </si>
  <si>
    <t>PROFIT</t>
  </si>
  <si>
    <t>PE_25</t>
  </si>
  <si>
    <t>TRAIL_PE</t>
  </si>
  <si>
    <t>F_PE_25</t>
  </si>
  <si>
    <t>MARGIN</t>
  </si>
  <si>
    <t>PRICE CHART</t>
  </si>
  <si>
    <t>MARKETSHARE</t>
  </si>
  <si>
    <t>RESULT</t>
  </si>
  <si>
    <t>Q1_FY_26</t>
  </si>
  <si>
    <t>Q1_FY_25</t>
  </si>
  <si>
    <t>Q4_FY_25</t>
  </si>
  <si>
    <t>Q4_FY_24</t>
  </si>
  <si>
    <t>FY_24</t>
  </si>
  <si>
    <t>MajorCost</t>
  </si>
  <si>
    <t>Share</t>
  </si>
  <si>
    <t>SEGMENT</t>
  </si>
  <si>
    <t>Cost of Material</t>
  </si>
  <si>
    <t>MINI</t>
  </si>
  <si>
    <t>Stock in Trade</t>
  </si>
  <si>
    <t>COMPACT</t>
  </si>
  <si>
    <t>TOTAL COST</t>
  </si>
  <si>
    <t>Exp</t>
  </si>
  <si>
    <t>Change in Inven.</t>
  </si>
  <si>
    <t>MINI+COMPACT</t>
  </si>
  <si>
    <t>Finance</t>
  </si>
  <si>
    <t>Employee Benefit</t>
  </si>
  <si>
    <t>MIDSIZE</t>
  </si>
  <si>
    <t>EBIT</t>
  </si>
  <si>
    <t>Finance Cost</t>
  </si>
  <si>
    <t>UV</t>
  </si>
  <si>
    <t>D&amp;A</t>
  </si>
  <si>
    <t>VANS</t>
  </si>
  <si>
    <t>Other Expense</t>
  </si>
  <si>
    <t>LCV</t>
  </si>
  <si>
    <t>EBIT %</t>
  </si>
  <si>
    <t>Vehicle Own use</t>
  </si>
  <si>
    <t>OTHER OEM</t>
  </si>
  <si>
    <t>DOMESTIC SALES</t>
  </si>
  <si>
    <t>Total</t>
  </si>
  <si>
    <t>EXPORTS</t>
  </si>
  <si>
    <t>Estimates</t>
  </si>
  <si>
    <t>TOTAL SALES</t>
  </si>
  <si>
    <t>FY_2026</t>
  </si>
  <si>
    <t>FY_2030</t>
  </si>
  <si>
    <t>SHP</t>
  </si>
  <si>
    <t>POST_MERGER</t>
  </si>
  <si>
    <t>SUZUKI MOTOR CORPORATION</t>
  </si>
  <si>
    <t>Expectation</t>
  </si>
  <si>
    <t>FairValue</t>
  </si>
  <si>
    <t>Low Price Range</t>
  </si>
  <si>
    <t>FairPrice@EPS</t>
  </si>
  <si>
    <t>HIgh Price Range</t>
  </si>
  <si>
    <t>FairPrice@PBV</t>
  </si>
  <si>
    <t>Blended Fairvalue</t>
  </si>
  <si>
    <t>MF, AIF, INSURANCE</t>
  </si>
  <si>
    <t>FPI</t>
  </si>
  <si>
    <t>RETAIL</t>
  </si>
  <si>
    <t>FY_2035</t>
  </si>
  <si>
    <t>TOTAL</t>
  </si>
  <si>
    <t>STR. WEIGHTAGE</t>
  </si>
  <si>
    <t>FACTOR</t>
  </si>
  <si>
    <t>TECH. WEIGHT</t>
  </si>
  <si>
    <r>
      <rPr>
        <u/>
        <sz val="36"/>
        <color rgb="FFFFFFFF"/>
        <rFont val="Source Code Pro"/>
      </rPr>
      <t>www.profitfromit.co</t>
    </r>
    <r>
      <rPr>
        <u/>
        <sz val="36"/>
        <color rgb="FFFFFFFF"/>
        <rFont val="Source Code Pro"/>
      </rPr>
      <t>.in</t>
    </r>
  </si>
  <si>
    <t>CSPRADHAN</t>
  </si>
  <si>
    <t>INVESTMENT ADVISOR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</si>
</sst>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 * #,##0.0_ ;_ * \-#,##0.0_ ;_ * &quot;-&quot;??_ ;_ @_ "/>
    <numFmt numFmtId="165" formatCode="0.0%"/>
    <numFmt numFmtId="166" formatCode="0.0"/>
    <numFmt numFmtId="167" formatCode="#,##0;\(#,##0\)"/>
    <numFmt numFmtId="168" formatCode="#,##0.0;\(#,##0.0\)"/>
  </numFmts>
  <fonts count="18" x14ac:knownFonts="1">
    <font>
      <sz val="11"/>
      <color theme="1"/>
      <name val="Arial"/>
      <scheme val="minor"/>
    </font>
    <font>
      <sz val="11"/>
      <color theme="1"/>
      <name val="Arial"/>
      <scheme val="minor"/>
    </font>
    <font>
      <sz val="11"/>
      <color theme="1"/>
      <name val="Source Code Pro"/>
    </font>
    <font>
      <sz val="36"/>
      <color rgb="FFFFFFFF"/>
      <name val="Source Code Pro"/>
    </font>
    <font>
      <b/>
      <sz val="11"/>
      <color rgb="FFFFFFFF"/>
      <name val="Source Code Pro"/>
    </font>
    <font>
      <sz val="11"/>
      <color rgb="FF000000"/>
      <name val="Source Code Pro"/>
    </font>
    <font>
      <i/>
      <sz val="11"/>
      <color rgb="FF000000"/>
      <name val="Source Code Pro"/>
    </font>
    <font>
      <b/>
      <i/>
      <sz val="11"/>
      <color rgb="FF7F7F7F"/>
      <name val="Source Code Pro"/>
    </font>
    <font>
      <sz val="11"/>
      <color theme="1"/>
      <name val="Calibri"/>
    </font>
    <font>
      <b/>
      <sz val="14"/>
      <color rgb="FFFFFFFF"/>
      <name val="Source Code Pro"/>
    </font>
    <font>
      <sz val="11"/>
      <name val="Arial"/>
    </font>
    <font>
      <sz val="11"/>
      <color theme="1"/>
      <name val="Arial"/>
    </font>
    <font>
      <b/>
      <i/>
      <u/>
      <sz val="11"/>
      <color theme="1"/>
      <name val="Source Code Pro"/>
    </font>
    <font>
      <b/>
      <i/>
      <sz val="11"/>
      <color theme="1"/>
      <name val="Source Code Pro"/>
    </font>
    <font>
      <sz val="11"/>
      <color rgb="FFFFFFFF"/>
      <name val="Source Code Pro"/>
    </font>
    <font>
      <b/>
      <sz val="11"/>
      <color rgb="FFFFFFFF"/>
      <name val="Calibri"/>
    </font>
    <font>
      <u/>
      <sz val="36"/>
      <color theme="0"/>
      <name val="Source Code Pro"/>
    </font>
    <font>
      <u/>
      <sz val="36"/>
      <color rgb="FFFFFFFF"/>
      <name val="Source Code Pro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C343D"/>
        <bgColor rgb="FF0C343D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E67C73"/>
        <bgColor rgb="FFE67C73"/>
      </patternFill>
    </fill>
    <fill>
      <patternFill patternType="solid">
        <fgColor rgb="FFFEFBFB"/>
        <bgColor rgb="FFFEFBFB"/>
      </patternFill>
    </fill>
    <fill>
      <patternFill patternType="solid">
        <fgColor rgb="FF57BB8A"/>
        <bgColor rgb="FF57BB8A"/>
      </patternFill>
    </fill>
    <fill>
      <patternFill patternType="solid">
        <fgColor rgb="FF999999"/>
        <bgColor rgb="FF999999"/>
      </patternFill>
    </fill>
    <fill>
      <patternFill patternType="solid">
        <fgColor rgb="FFD5EEE2"/>
        <bgColor rgb="FFD5EEE2"/>
      </patternFill>
    </fill>
    <fill>
      <patternFill patternType="solid">
        <fgColor rgb="FF00FFFF"/>
        <bgColor rgb="FF00FFFF"/>
      </patternFill>
    </fill>
    <fill>
      <patternFill patternType="solid">
        <fgColor rgb="FFF1B7B2"/>
        <bgColor rgb="FFF1B7B2"/>
      </patternFill>
    </fill>
    <fill>
      <patternFill patternType="solid">
        <fgColor rgb="FFFCF1F1"/>
        <bgColor rgb="FFFCF1F1"/>
      </patternFill>
    </fill>
    <fill>
      <patternFill patternType="solid">
        <fgColor rgb="FFCCCCCC"/>
        <bgColor rgb="FFCCCCCC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84CEAA"/>
        <bgColor rgb="FF84CEAA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4" fillId="3" borderId="0" xfId="0" applyFont="1" applyFill="1" applyAlignment="1">
      <alignment wrapText="1"/>
    </xf>
    <xf numFmtId="0" fontId="2" fillId="0" borderId="1" xfId="0" applyFont="1" applyBorder="1"/>
    <xf numFmtId="1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1" fontId="2" fillId="0" borderId="1" xfId="0" applyNumberFormat="1" applyFont="1" applyBorder="1"/>
    <xf numFmtId="0" fontId="2" fillId="4" borderId="1" xfId="0" applyFont="1" applyFill="1" applyBorder="1"/>
    <xf numFmtId="0" fontId="1" fillId="0" borderId="1" xfId="0" applyFont="1" applyBorder="1"/>
    <xf numFmtId="10" fontId="1" fillId="0" borderId="1" xfId="0" applyNumberFormat="1" applyFont="1" applyBorder="1"/>
    <xf numFmtId="9" fontId="1" fillId="0" borderId="1" xfId="0" applyNumberFormat="1" applyFont="1" applyBorder="1"/>
    <xf numFmtId="0" fontId="2" fillId="4" borderId="0" xfId="0" applyFont="1" applyFill="1"/>
    <xf numFmtId="165" fontId="4" fillId="3" borderId="1" xfId="0" applyNumberFormat="1" applyFont="1" applyFill="1" applyBorder="1" applyAlignment="1">
      <alignment wrapText="1"/>
    </xf>
    <xf numFmtId="9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166" fontId="4" fillId="3" borderId="1" xfId="0" applyNumberFormat="1" applyFont="1" applyFill="1" applyBorder="1" applyAlignment="1">
      <alignment wrapText="1"/>
    </xf>
    <xf numFmtId="9" fontId="2" fillId="0" borderId="1" xfId="0" applyNumberFormat="1" applyFont="1" applyBorder="1"/>
    <xf numFmtId="9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165" fontId="4" fillId="3" borderId="0" xfId="0" applyNumberFormat="1" applyFont="1" applyFill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167" fontId="2" fillId="2" borderId="1" xfId="0" applyNumberFormat="1" applyFont="1" applyFill="1" applyBorder="1" applyAlignment="1">
      <alignment horizontal="right" wrapText="1"/>
    </xf>
    <xf numFmtId="167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/>
    <xf numFmtId="167" fontId="2" fillId="2" borderId="1" xfId="0" applyNumberFormat="1" applyFont="1" applyFill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7" fontId="2" fillId="2" borderId="1" xfId="0" applyNumberFormat="1" applyFont="1" applyFill="1" applyBorder="1" applyAlignment="1">
      <alignment horizontal="center" wrapText="1"/>
    </xf>
    <xf numFmtId="165" fontId="1" fillId="0" borderId="0" xfId="0" applyNumberFormat="1" applyFont="1"/>
    <xf numFmtId="167" fontId="2" fillId="0" borderId="1" xfId="0" applyNumberFormat="1" applyFont="1" applyBorder="1"/>
    <xf numFmtId="167" fontId="2" fillId="5" borderId="1" xfId="0" applyNumberFormat="1" applyFont="1" applyFill="1" applyBorder="1"/>
    <xf numFmtId="167" fontId="2" fillId="6" borderId="1" xfId="0" applyNumberFormat="1" applyFont="1" applyFill="1" applyBorder="1"/>
    <xf numFmtId="167" fontId="5" fillId="2" borderId="1" xfId="0" applyNumberFormat="1" applyFont="1" applyFill="1" applyBorder="1"/>
    <xf numFmtId="10" fontId="2" fillId="2" borderId="0" xfId="0" applyNumberFormat="1" applyFont="1" applyFill="1"/>
    <xf numFmtId="167" fontId="5" fillId="6" borderId="1" xfId="0" applyNumberFormat="1" applyFont="1" applyFill="1" applyBorder="1"/>
    <xf numFmtId="167" fontId="5" fillId="5" borderId="1" xfId="0" applyNumberFormat="1" applyFont="1" applyFill="1" applyBorder="1"/>
    <xf numFmtId="10" fontId="1" fillId="0" borderId="0" xfId="0" applyNumberFormat="1" applyFont="1"/>
    <xf numFmtId="9" fontId="6" fillId="2" borderId="1" xfId="0" applyNumberFormat="1" applyFont="1" applyFill="1" applyBorder="1"/>
    <xf numFmtId="165" fontId="7" fillId="2" borderId="1" xfId="0" applyNumberFormat="1" applyFont="1" applyFill="1" applyBorder="1"/>
    <xf numFmtId="1" fontId="6" fillId="2" borderId="1" xfId="0" applyNumberFormat="1" applyFont="1" applyFill="1" applyBorder="1"/>
    <xf numFmtId="166" fontId="6" fillId="2" borderId="1" xfId="0" applyNumberFormat="1" applyFont="1" applyFill="1" applyBorder="1"/>
    <xf numFmtId="3" fontId="6" fillId="2" borderId="1" xfId="0" applyNumberFormat="1" applyFont="1" applyFill="1" applyBorder="1"/>
    <xf numFmtId="0" fontId="5" fillId="2" borderId="1" xfId="0" applyFont="1" applyFill="1" applyBorder="1"/>
    <xf numFmtId="9" fontId="5" fillId="2" borderId="1" xfId="0" applyNumberFormat="1" applyFont="1" applyFill="1" applyBorder="1"/>
    <xf numFmtId="165" fontId="5" fillId="2" borderId="1" xfId="0" applyNumberFormat="1" applyFont="1" applyFill="1" applyBorder="1"/>
    <xf numFmtId="3" fontId="5" fillId="2" borderId="1" xfId="0" applyNumberFormat="1" applyFont="1" applyFill="1" applyBorder="1"/>
    <xf numFmtId="166" fontId="1" fillId="0" borderId="1" xfId="0" applyNumberFormat="1" applyFont="1" applyBorder="1"/>
    <xf numFmtId="0" fontId="4" fillId="3" borderId="1" xfId="0" applyFont="1" applyFill="1" applyBorder="1" applyAlignment="1">
      <alignment horizontal="center" wrapText="1"/>
    </xf>
    <xf numFmtId="9" fontId="2" fillId="6" borderId="1" xfId="0" applyNumberFormat="1" applyFont="1" applyFill="1" applyBorder="1" applyAlignment="1">
      <alignment horizontal="right"/>
    </xf>
    <xf numFmtId="165" fontId="2" fillId="4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0" fontId="8" fillId="9" borderId="1" xfId="0" applyFont="1" applyFill="1" applyBorder="1"/>
    <xf numFmtId="9" fontId="2" fillId="4" borderId="1" xfId="0" applyNumberFormat="1" applyFont="1" applyFill="1" applyBorder="1" applyAlignment="1">
      <alignment horizontal="right"/>
    </xf>
    <xf numFmtId="166" fontId="9" fillId="9" borderId="1" xfId="0" applyNumberFormat="1" applyFont="1" applyFill="1" applyBorder="1" applyAlignment="1">
      <alignment horizontal="center"/>
    </xf>
    <xf numFmtId="165" fontId="2" fillId="10" borderId="1" xfId="0" applyNumberFormat="1" applyFont="1" applyFill="1" applyBorder="1" applyAlignment="1">
      <alignment horizontal="right"/>
    </xf>
    <xf numFmtId="1" fontId="2" fillId="6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2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4" fillId="3" borderId="5" xfId="0" applyFont="1" applyFill="1" applyBorder="1" applyAlignment="1">
      <alignment wrapText="1"/>
    </xf>
    <xf numFmtId="10" fontId="2" fillId="11" borderId="0" xfId="0" applyNumberFormat="1" applyFont="1" applyFill="1"/>
    <xf numFmtId="9" fontId="2" fillId="2" borderId="1" xfId="0" applyNumberFormat="1" applyFont="1" applyFill="1" applyBorder="1"/>
    <xf numFmtId="166" fontId="2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right"/>
    </xf>
    <xf numFmtId="9" fontId="2" fillId="1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/>
    <xf numFmtId="166" fontId="5" fillId="2" borderId="1" xfId="0" applyNumberFormat="1" applyFont="1" applyFill="1" applyBorder="1"/>
    <xf numFmtId="165" fontId="2" fillId="13" borderId="1" xfId="0" applyNumberFormat="1" applyFont="1" applyFill="1" applyBorder="1" applyAlignment="1">
      <alignment horizontal="right"/>
    </xf>
    <xf numFmtId="166" fontId="2" fillId="2" borderId="1" xfId="0" applyNumberFormat="1" applyFont="1" applyFill="1" applyBorder="1"/>
    <xf numFmtId="3" fontId="2" fillId="2" borderId="1" xfId="0" applyNumberFormat="1" applyFont="1" applyFill="1" applyBorder="1"/>
    <xf numFmtId="0" fontId="12" fillId="14" borderId="6" xfId="0" applyFont="1" applyFill="1" applyBorder="1"/>
    <xf numFmtId="9" fontId="12" fillId="14" borderId="7" xfId="0" applyNumberFormat="1" applyFont="1" applyFill="1" applyBorder="1"/>
    <xf numFmtId="0" fontId="13" fillId="14" borderId="1" xfId="0" applyFont="1" applyFill="1" applyBorder="1"/>
    <xf numFmtId="9" fontId="1" fillId="14" borderId="1" xfId="0" applyNumberFormat="1" applyFont="1" applyFill="1" applyBorder="1"/>
    <xf numFmtId="10" fontId="13" fillId="14" borderId="1" xfId="0" applyNumberFormat="1" applyFont="1" applyFill="1" applyBorder="1"/>
    <xf numFmtId="9" fontId="2" fillId="8" borderId="1" xfId="0" applyNumberFormat="1" applyFont="1" applyFill="1" applyBorder="1" applyAlignment="1">
      <alignment horizontal="right"/>
    </xf>
    <xf numFmtId="165" fontId="2" fillId="8" borderId="1" xfId="0" applyNumberFormat="1" applyFont="1" applyFill="1" applyBorder="1" applyAlignment="1">
      <alignment horizontal="right"/>
    </xf>
    <xf numFmtId="165" fontId="2" fillId="0" borderId="0" xfId="0" applyNumberFormat="1" applyFont="1"/>
    <xf numFmtId="0" fontId="4" fillId="3" borderId="0" xfId="0" applyFont="1" applyFill="1" applyAlignment="1">
      <alignment horizontal="left" wrapText="1"/>
    </xf>
    <xf numFmtId="0" fontId="2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1" fontId="2" fillId="0" borderId="0" xfId="0" applyNumberFormat="1" applyFont="1"/>
    <xf numFmtId="165" fontId="2" fillId="2" borderId="0" xfId="0" applyNumberFormat="1" applyFont="1" applyFill="1"/>
    <xf numFmtId="165" fontId="14" fillId="3" borderId="1" xfId="0" applyNumberFormat="1" applyFont="1" applyFill="1" applyBorder="1" applyAlignment="1">
      <alignment wrapText="1"/>
    </xf>
    <xf numFmtId="165" fontId="14" fillId="3" borderId="1" xfId="0" applyNumberFormat="1" applyFont="1" applyFill="1" applyBorder="1" applyAlignment="1">
      <alignment horizontal="left" wrapText="1"/>
    </xf>
    <xf numFmtId="0" fontId="14" fillId="3" borderId="1" xfId="0" applyFont="1" applyFill="1" applyBorder="1" applyAlignment="1">
      <alignment wrapText="1"/>
    </xf>
    <xf numFmtId="1" fontId="2" fillId="5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1" fontId="2" fillId="15" borderId="1" xfId="0" applyNumberFormat="1" applyFont="1" applyFill="1" applyBorder="1"/>
    <xf numFmtId="1" fontId="2" fillId="2" borderId="1" xfId="0" applyNumberFormat="1" applyFont="1" applyFill="1" applyBorder="1"/>
    <xf numFmtId="1" fontId="11" fillId="16" borderId="1" xfId="0" applyNumberFormat="1" applyFont="1" applyFill="1" applyBorder="1" applyAlignment="1">
      <alignment horizontal="right"/>
    </xf>
    <xf numFmtId="3" fontId="11" fillId="16" borderId="1" xfId="0" applyNumberFormat="1" applyFont="1" applyFill="1" applyBorder="1" applyAlignment="1">
      <alignment horizontal="right"/>
    </xf>
    <xf numFmtId="1" fontId="2" fillId="2" borderId="0" xfId="0" applyNumberFormat="1" applyFont="1" applyFill="1"/>
    <xf numFmtId="0" fontId="2" fillId="2" borderId="1" xfId="0" applyFont="1" applyFill="1" applyBorder="1" applyAlignment="1">
      <alignment horizontal="left"/>
    </xf>
    <xf numFmtId="0" fontId="2" fillId="2" borderId="8" xfId="0" applyFont="1" applyFill="1" applyBorder="1"/>
    <xf numFmtId="0" fontId="2" fillId="0" borderId="8" xfId="0" applyFont="1" applyBorder="1"/>
    <xf numFmtId="1" fontId="2" fillId="2" borderId="8" xfId="0" applyNumberFormat="1" applyFont="1" applyFill="1" applyBorder="1"/>
    <xf numFmtId="1" fontId="2" fillId="0" borderId="8" xfId="0" applyNumberFormat="1" applyFont="1" applyBorder="1"/>
    <xf numFmtId="165" fontId="2" fillId="2" borderId="8" xfId="0" applyNumberFormat="1" applyFont="1" applyFill="1" applyBorder="1"/>
    <xf numFmtId="0" fontId="13" fillId="0" borderId="9" xfId="0" applyFont="1" applyBorder="1"/>
    <xf numFmtId="0" fontId="13" fillId="2" borderId="9" xfId="0" applyFont="1" applyFill="1" applyBorder="1"/>
    <xf numFmtId="165" fontId="13" fillId="2" borderId="1" xfId="0" applyNumberFormat="1" applyFont="1" applyFill="1" applyBorder="1"/>
    <xf numFmtId="0" fontId="15" fillId="17" borderId="1" xfId="0" applyFont="1" applyFill="1" applyBorder="1"/>
    <xf numFmtId="1" fontId="8" fillId="0" borderId="1" xfId="0" applyNumberFormat="1" applyFont="1" applyBorder="1" applyAlignment="1">
      <alignment horizontal="right"/>
    </xf>
    <xf numFmtId="10" fontId="11" fillId="18" borderId="1" xfId="0" applyNumberFormat="1" applyFont="1" applyFill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10" fontId="11" fillId="0" borderId="1" xfId="0" applyNumberFormat="1" applyFont="1" applyBorder="1" applyAlignment="1">
      <alignment horizontal="right"/>
    </xf>
    <xf numFmtId="0" fontId="16" fillId="3" borderId="0" xfId="0" applyFont="1" applyFill="1" applyAlignment="1">
      <alignment horizontal="center"/>
    </xf>
    <xf numFmtId="0" fontId="10" fillId="0" borderId="0" xfId="0" applyFont="1"/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Maruti-style" pivot="0" count="3" xr9:uid="{DBAC1B17-128A-4E7A-B691-E15999B6F0AB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0</xdr:rowOff>
    </xdr:from>
    <xdr:ext cx="523875" cy="523875"/>
    <xdr:pic>
      <xdr:nvPicPr>
        <xdr:cNvPr id="2" name="image11.jpg" title="Image">
          <a:extLst>
            <a:ext uri="{FF2B5EF4-FFF2-40B4-BE49-F238E27FC236}">
              <a16:creationId xmlns:a16="http://schemas.microsoft.com/office/drawing/2014/main" id="{BD1A1233-8F0F-4323-B44C-EEBD425071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3895" y="0"/>
          <a:ext cx="523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295275</xdr:colOff>
      <xdr:row>0</xdr:row>
      <xdr:rowOff>28575</xdr:rowOff>
    </xdr:from>
    <xdr:ext cx="476250" cy="47625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ED108C2C-7B15-472F-B735-09750B29135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680055" y="28575"/>
          <a:ext cx="476250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87</xdr:row>
      <xdr:rowOff>200025</xdr:rowOff>
    </xdr:from>
    <xdr:ext cx="523875" cy="523875"/>
    <xdr:pic>
      <xdr:nvPicPr>
        <xdr:cNvPr id="4" name="image10.jpg" title="Image">
          <a:extLst>
            <a:ext uri="{FF2B5EF4-FFF2-40B4-BE49-F238E27FC236}">
              <a16:creationId xmlns:a16="http://schemas.microsoft.com/office/drawing/2014/main" id="{DA9733DB-C242-4E63-B1C4-DAE5D0B491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6745" y="17527905"/>
          <a:ext cx="523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266700</xdr:colOff>
      <xdr:row>85</xdr:row>
      <xdr:rowOff>19050</xdr:rowOff>
    </xdr:from>
    <xdr:ext cx="523875" cy="523875"/>
    <xdr:pic>
      <xdr:nvPicPr>
        <xdr:cNvPr id="5" name="image10.jpg" title="Image">
          <a:extLst>
            <a:ext uri="{FF2B5EF4-FFF2-40B4-BE49-F238E27FC236}">
              <a16:creationId xmlns:a16="http://schemas.microsoft.com/office/drawing/2014/main" id="{311DE063-F910-4AA3-B255-4977B3BA0E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51480" y="16950690"/>
          <a:ext cx="523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1228725</xdr:colOff>
      <xdr:row>0</xdr:row>
      <xdr:rowOff>28575</xdr:rowOff>
    </xdr:from>
    <xdr:ext cx="523875" cy="523875"/>
    <xdr:pic>
      <xdr:nvPicPr>
        <xdr:cNvPr id="6" name="image11.jpg" title="Image">
          <a:extLst>
            <a:ext uri="{FF2B5EF4-FFF2-40B4-BE49-F238E27FC236}">
              <a16:creationId xmlns:a16="http://schemas.microsoft.com/office/drawing/2014/main" id="{362DEE7E-D273-4889-B611-B32E46F375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3045" y="28575"/>
          <a:ext cx="523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73</xdr:row>
      <xdr:rowOff>47625</xdr:rowOff>
    </xdr:from>
    <xdr:ext cx="8096250" cy="3257550"/>
    <xdr:pic>
      <xdr:nvPicPr>
        <xdr:cNvPr id="7" name="image1.png" title="Image">
          <a:extLst>
            <a:ext uri="{FF2B5EF4-FFF2-40B4-BE49-F238E27FC236}">
              <a16:creationId xmlns:a16="http://schemas.microsoft.com/office/drawing/2014/main" id="{2B444329-3A65-4A1C-A5DB-B3BA4FE1361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0" y="14601825"/>
          <a:ext cx="8096250" cy="32575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9A4588-6EB4-4BB6-9C01-DA1266B59D67}" name="Table_3" displayName="Table_3" ref="J15:L37" headerRowCount="0">
  <tableColumns count="3">
    <tableColumn id="1" xr3:uid="{0A8D43F2-115D-41D1-B84D-15380B10B1A1}" name="Column1"/>
    <tableColumn id="2" xr3:uid="{715E2407-CBA4-4966-A2CD-16DD30B7598D}" name="Column2"/>
    <tableColumn id="3" xr3:uid="{1C44C99E-368C-4072-BBA5-43848E7E69BD}" name="Column3">
      <calculatedColumnFormula>J15/G15</calculatedColumnFormula>
    </tableColumn>
  </tableColumns>
  <tableStyleInfo name="Maruti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://www.profitfromit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678C-A233-4B51-9ECB-A1FA817F64DD}">
  <dimension ref="A1:AD1021"/>
  <sheetViews>
    <sheetView showGridLines="0" tabSelected="1" workbookViewId="0"/>
  </sheetViews>
  <sheetFormatPr defaultColWidth="12.59765625" defaultRowHeight="15" customHeight="1" x14ac:dyDescent="0.25"/>
  <cols>
    <col min="1" max="1" width="7.59765625" customWidth="1"/>
    <col min="2" max="2" width="11.19921875" customWidth="1"/>
    <col min="3" max="3" width="9.5" customWidth="1"/>
    <col min="4" max="4" width="9.8984375" customWidth="1"/>
    <col min="5" max="5" width="8.5" customWidth="1"/>
    <col min="6" max="6" width="7.8984375" customWidth="1"/>
    <col min="7" max="7" width="12.69921875" customWidth="1"/>
    <col min="8" max="8" width="10.69921875" customWidth="1"/>
    <col min="9" max="9" width="11.8984375" customWidth="1"/>
    <col min="10" max="10" width="16.09765625" customWidth="1"/>
    <col min="11" max="11" width="9.69921875" customWidth="1"/>
    <col min="12" max="12" width="12.3984375" customWidth="1"/>
    <col min="13" max="13" width="12.5" customWidth="1"/>
    <col min="14" max="14" width="13" customWidth="1"/>
    <col min="15" max="15" width="18.59765625" customWidth="1"/>
    <col min="16" max="16" width="12.09765625" customWidth="1"/>
    <col min="17" max="17" width="17.59765625" customWidth="1"/>
    <col min="18" max="18" width="10.69921875" customWidth="1"/>
    <col min="19" max="21" width="12.59765625" customWidth="1"/>
    <col min="22" max="22" width="11.8984375" customWidth="1"/>
    <col min="23" max="23" width="10.19921875" customWidth="1"/>
    <col min="24" max="24" width="11.69921875" customWidth="1"/>
  </cols>
  <sheetData>
    <row r="1" spans="1:30" ht="14.4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4.4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4.4" x14ac:dyDescent="0.3">
      <c r="A4" s="1"/>
      <c r="B4" s="1"/>
      <c r="C4" s="1"/>
      <c r="D4" s="1"/>
      <c r="E4" s="1"/>
      <c r="F4" s="1"/>
      <c r="G4" s="1"/>
      <c r="H4" s="1"/>
      <c r="I4" s="1"/>
      <c r="J4" s="1" t="s">
        <v>1</v>
      </c>
      <c r="K4" s="1"/>
      <c r="L4" s="4"/>
      <c r="M4" s="4"/>
      <c r="N4" s="4"/>
      <c r="O4" s="1"/>
      <c r="P4" s="1"/>
      <c r="Q4" s="1"/>
      <c r="R4" s="1"/>
      <c r="S4" s="1" t="s">
        <v>2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28.8" x14ac:dyDescent="0.3">
      <c r="A5" s="5"/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1"/>
      <c r="Y5" s="1"/>
      <c r="Z5" s="1"/>
      <c r="AA5" s="1"/>
      <c r="AB5" s="1"/>
      <c r="AC5" s="1"/>
      <c r="AD5" s="1"/>
    </row>
    <row r="6" spans="1:30" ht="14.4" x14ac:dyDescent="0.3">
      <c r="A6" s="5"/>
      <c r="B6" s="7" t="s">
        <v>0</v>
      </c>
      <c r="C6" s="8">
        <f ca="1">IFERROR(__xludf.DUMMYFUNCTION("GOOGLEFINANCE(""NSE:""&amp;B6,""price"")"),14720)</f>
        <v>14720</v>
      </c>
      <c r="D6" s="8">
        <f ca="1">IFERROR(__xludf.DUMMYFUNCTION("GOOGLEFINANCE(""NSE:""&amp;B6,""marketcap"")/10000000"),459502.1696)</f>
        <v>459502.16960000002</v>
      </c>
      <c r="E6" s="8">
        <f t="shared" ref="E6:F6" si="0">D37</f>
        <v>181171</v>
      </c>
      <c r="F6" s="8">
        <f t="shared" si="0"/>
        <v>14827</v>
      </c>
      <c r="G6" s="8">
        <f>B68</f>
        <v>2234266</v>
      </c>
      <c r="H6" s="9">
        <f>G37</f>
        <v>462.24</v>
      </c>
      <c r="I6" s="8">
        <v>5</v>
      </c>
      <c r="J6" s="8">
        <v>157</v>
      </c>
      <c r="K6" s="8">
        <v>96082</v>
      </c>
      <c r="L6" s="8">
        <v>0</v>
      </c>
      <c r="M6" s="10">
        <v>87</v>
      </c>
      <c r="N6" s="8">
        <v>29524</v>
      </c>
      <c r="O6" s="8">
        <v>30570</v>
      </c>
      <c r="P6" s="11">
        <v>131971</v>
      </c>
      <c r="Q6" s="8">
        <v>35731</v>
      </c>
      <c r="R6" s="10">
        <v>6540</v>
      </c>
      <c r="S6" s="7">
        <v>16136</v>
      </c>
      <c r="T6" s="7">
        <v>-14456</v>
      </c>
      <c r="U6" s="12">
        <v>-4155</v>
      </c>
      <c r="V6" s="12">
        <f t="shared" ref="V6:V7" si="1">SUM(S6:U6)</f>
        <v>-2475</v>
      </c>
      <c r="W6" s="12">
        <v>-283</v>
      </c>
      <c r="X6" s="1"/>
      <c r="Y6" s="1"/>
      <c r="Z6" s="1"/>
      <c r="AA6" s="1"/>
      <c r="AB6" s="1"/>
      <c r="AC6" s="1"/>
      <c r="AD6" s="1"/>
    </row>
    <row r="7" spans="1:30" ht="15.75" customHeight="1" x14ac:dyDescent="0.3">
      <c r="A7" s="5"/>
      <c r="B7" s="7" t="s">
        <v>25</v>
      </c>
      <c r="C7" s="8">
        <v>11522</v>
      </c>
      <c r="D7" s="13">
        <f ca="1">C7*D6/C6</f>
        <v>359672.82595999999</v>
      </c>
      <c r="E7" s="7">
        <v>152913</v>
      </c>
      <c r="F7" s="7">
        <v>14500</v>
      </c>
      <c r="G7" s="7">
        <v>2234266</v>
      </c>
      <c r="H7" s="7">
        <v>461.2</v>
      </c>
      <c r="I7" s="7">
        <v>5</v>
      </c>
      <c r="J7" s="14">
        <v>157</v>
      </c>
      <c r="K7" s="14">
        <v>85479</v>
      </c>
      <c r="L7" s="14">
        <v>33</v>
      </c>
      <c r="M7" s="14">
        <v>86</v>
      </c>
      <c r="N7" s="14">
        <v>22634</v>
      </c>
      <c r="O7" s="14">
        <v>25952</v>
      </c>
      <c r="P7" s="14">
        <v>115350</v>
      </c>
      <c r="Q7" s="14">
        <v>29715</v>
      </c>
      <c r="R7" s="14">
        <v>4597</v>
      </c>
      <c r="S7" s="14">
        <v>16801</v>
      </c>
      <c r="T7" s="7">
        <v>-11864</v>
      </c>
      <c r="U7" s="12">
        <v>-4062</v>
      </c>
      <c r="V7" s="12">
        <f t="shared" si="1"/>
        <v>875</v>
      </c>
      <c r="W7" s="12">
        <v>-230</v>
      </c>
      <c r="X7" s="1"/>
      <c r="Y7" s="1"/>
      <c r="Z7" s="1"/>
      <c r="AA7" s="1"/>
      <c r="AB7" s="1"/>
      <c r="AC7" s="1"/>
      <c r="AD7" s="1"/>
    </row>
    <row r="8" spans="1:30" ht="15.75" customHeight="1" x14ac:dyDescent="0.25">
      <c r="B8" s="15" t="s">
        <v>26</v>
      </c>
      <c r="C8" s="16">
        <f t="shared" ref="C8:W8" ca="1" si="2">(C6/C7)-1</f>
        <v>0.27755597986460678</v>
      </c>
      <c r="D8" s="16">
        <f t="shared" ca="1" si="2"/>
        <v>0.27755597986460701</v>
      </c>
      <c r="E8" s="17">
        <f t="shared" si="2"/>
        <v>0.18479789161157001</v>
      </c>
      <c r="F8" s="17">
        <f t="shared" si="2"/>
        <v>2.255172413793094E-2</v>
      </c>
      <c r="G8" s="17">
        <f t="shared" si="2"/>
        <v>0</v>
      </c>
      <c r="H8" s="17">
        <f t="shared" si="2"/>
        <v>2.2549869904597841E-3</v>
      </c>
      <c r="I8" s="17">
        <f t="shared" si="2"/>
        <v>0</v>
      </c>
      <c r="J8" s="17">
        <f t="shared" si="2"/>
        <v>0</v>
      </c>
      <c r="K8" s="17">
        <f t="shared" si="2"/>
        <v>0.12404216240246146</v>
      </c>
      <c r="L8" s="17">
        <f t="shared" si="2"/>
        <v>-1</v>
      </c>
      <c r="M8" s="17">
        <f t="shared" si="2"/>
        <v>1.1627906976744207E-2</v>
      </c>
      <c r="N8" s="17">
        <f t="shared" si="2"/>
        <v>0.30440929574975706</v>
      </c>
      <c r="O8" s="17">
        <f t="shared" si="2"/>
        <v>0.17794389642416775</v>
      </c>
      <c r="P8" s="17">
        <f t="shared" si="2"/>
        <v>0.14409189423493718</v>
      </c>
      <c r="Q8" s="17">
        <f t="shared" si="2"/>
        <v>0.20245667171462234</v>
      </c>
      <c r="R8" s="17">
        <f t="shared" si="2"/>
        <v>0.42266695671089849</v>
      </c>
      <c r="S8" s="17">
        <f t="shared" si="2"/>
        <v>-3.9580977322778432E-2</v>
      </c>
      <c r="T8" s="17">
        <f t="shared" si="2"/>
        <v>0.21847606203641257</v>
      </c>
      <c r="U8" s="17">
        <f t="shared" si="2"/>
        <v>2.2895125553914264E-2</v>
      </c>
      <c r="V8" s="17">
        <f t="shared" si="2"/>
        <v>-3.8285714285714287</v>
      </c>
      <c r="W8" s="17">
        <f t="shared" si="2"/>
        <v>0.23043478260869565</v>
      </c>
    </row>
    <row r="9" spans="1:30" ht="15.75" customHeight="1" x14ac:dyDescent="0.25"/>
    <row r="10" spans="1:30" ht="15.75" customHeight="1" x14ac:dyDescent="0.3">
      <c r="A10" s="5"/>
      <c r="B10" s="4" t="s">
        <v>27</v>
      </c>
      <c r="C10" s="5" t="s">
        <v>28</v>
      </c>
      <c r="D10" s="4"/>
      <c r="E10" s="4"/>
      <c r="F10" s="4" t="s">
        <v>29</v>
      </c>
      <c r="G10" s="4"/>
      <c r="H10" s="4"/>
      <c r="I10" s="4" t="s">
        <v>30</v>
      </c>
      <c r="J10" s="18"/>
      <c r="K10" s="18"/>
      <c r="L10" s="18" t="s">
        <v>31</v>
      </c>
      <c r="M10" s="18"/>
      <c r="N10" s="18"/>
      <c r="O10" s="18"/>
      <c r="P10" s="18"/>
      <c r="Q10" s="18" t="s">
        <v>32</v>
      </c>
      <c r="R10" s="18"/>
      <c r="S10" s="18"/>
      <c r="T10" s="4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3">
      <c r="A11" s="5"/>
      <c r="B11" s="19" t="s">
        <v>33</v>
      </c>
      <c r="C11" s="20" t="s">
        <v>34</v>
      </c>
      <c r="D11" s="20" t="s">
        <v>35</v>
      </c>
      <c r="E11" s="20" t="s">
        <v>36</v>
      </c>
      <c r="F11" s="19" t="s">
        <v>37</v>
      </c>
      <c r="G11" s="21" t="s">
        <v>38</v>
      </c>
      <c r="H11" s="22" t="s">
        <v>39</v>
      </c>
      <c r="I11" s="19" t="s">
        <v>40</v>
      </c>
      <c r="J11" s="21" t="s">
        <v>41</v>
      </c>
      <c r="K11" s="21" t="s">
        <v>42</v>
      </c>
      <c r="L11" s="21" t="s">
        <v>43</v>
      </c>
      <c r="M11" s="21" t="s">
        <v>44</v>
      </c>
      <c r="N11" s="21" t="s">
        <v>45</v>
      </c>
      <c r="O11" s="21" t="s">
        <v>46</v>
      </c>
      <c r="P11" s="21" t="s">
        <v>47</v>
      </c>
      <c r="Q11" s="21" t="s">
        <v>48</v>
      </c>
      <c r="R11" s="4"/>
      <c r="S11" s="4"/>
      <c r="T11" s="4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.75" customHeight="1" x14ac:dyDescent="0.3">
      <c r="A12" s="5"/>
      <c r="B12" s="23">
        <f>E53</f>
        <v>7.8978406569143234E-2</v>
      </c>
      <c r="C12" s="24">
        <f>C60</f>
        <v>9.8235470869209335E-2</v>
      </c>
      <c r="D12" s="24">
        <f>N6/O6</f>
        <v>0.96578344782466474</v>
      </c>
      <c r="E12" s="11">
        <f>(R6/E6)*365</f>
        <v>13.175949793289211</v>
      </c>
      <c r="F12" s="24">
        <f>L6/K6</f>
        <v>0</v>
      </c>
      <c r="G12" s="24">
        <f>Q6/P6</f>
        <v>0.2707488766471422</v>
      </c>
      <c r="H12" s="8">
        <f>C61</f>
        <v>65.525641025641022</v>
      </c>
      <c r="I12" s="24">
        <f>F6/K6</f>
        <v>0.15431610499365125</v>
      </c>
      <c r="J12" s="8">
        <f>F6/J6</f>
        <v>94.439490445859875</v>
      </c>
      <c r="K12" s="24">
        <f>F6/P6</f>
        <v>0.11235044062710747</v>
      </c>
      <c r="L12" s="8">
        <f ca="1">C6/H6</f>
        <v>31.844929041190724</v>
      </c>
      <c r="M12" s="25">
        <f ca="1">H6/C6</f>
        <v>3.140217391304348E-2</v>
      </c>
      <c r="N12" s="8">
        <f>(P6-Q6)/(J6/I6)</f>
        <v>3064.9681528662422</v>
      </c>
      <c r="O12" s="8">
        <f ca="1">C6/N12</f>
        <v>4.8026600166251034</v>
      </c>
      <c r="P12" s="26">
        <f ca="1">S47</f>
        <v>4.2918261171931862</v>
      </c>
      <c r="Q12" s="27">
        <v>0.40200000000000002</v>
      </c>
      <c r="R12" s="4"/>
      <c r="S12" s="4"/>
      <c r="T12" s="4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5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5.75" customHeight="1" x14ac:dyDescent="0.3">
      <c r="A14" s="1"/>
      <c r="B14" s="28" t="s">
        <v>49</v>
      </c>
      <c r="C14" s="28" t="s">
        <v>50</v>
      </c>
      <c r="D14" s="28" t="s">
        <v>51</v>
      </c>
      <c r="E14" s="28" t="s">
        <v>52</v>
      </c>
      <c r="F14" s="28" t="s">
        <v>53</v>
      </c>
      <c r="G14" s="28" t="s">
        <v>54</v>
      </c>
      <c r="H14" s="6" t="s">
        <v>11</v>
      </c>
      <c r="I14" s="6" t="s">
        <v>55</v>
      </c>
      <c r="J14" s="28" t="s">
        <v>56</v>
      </c>
      <c r="K14" s="28" t="s">
        <v>57</v>
      </c>
      <c r="L14" s="28" t="s">
        <v>58</v>
      </c>
      <c r="M14" s="28" t="s">
        <v>59</v>
      </c>
      <c r="N14" s="6" t="s">
        <v>60</v>
      </c>
      <c r="O14" s="6" t="s">
        <v>61</v>
      </c>
      <c r="P14" s="6" t="s">
        <v>62</v>
      </c>
      <c r="Q14" s="28" t="s">
        <v>63</v>
      </c>
      <c r="S14" s="29"/>
      <c r="T14" s="29"/>
      <c r="AA14" s="1"/>
      <c r="AB14" s="1"/>
      <c r="AC14" s="1"/>
      <c r="AD14" s="1"/>
    </row>
    <row r="15" spans="1:30" ht="15.75" customHeight="1" x14ac:dyDescent="0.3">
      <c r="A15" s="1"/>
      <c r="B15" s="12"/>
      <c r="C15" s="30" t="s">
        <v>64</v>
      </c>
      <c r="D15" s="31">
        <v>9751</v>
      </c>
      <c r="E15" s="32">
        <v>542</v>
      </c>
      <c r="F15" s="33">
        <f t="shared" ref="F15:F37" si="3">E15/D15</f>
        <v>5.5584042662291049E-2</v>
      </c>
      <c r="G15" s="34">
        <v>18.77</v>
      </c>
      <c r="H15" s="35">
        <v>144</v>
      </c>
      <c r="I15" s="35">
        <v>3447</v>
      </c>
      <c r="J15" s="31">
        <v>155</v>
      </c>
      <c r="K15" s="31">
        <v>588</v>
      </c>
      <c r="L15" s="34">
        <f t="shared" ref="L15:L37" si="4">J15/G15</f>
        <v>8.2578582844965371</v>
      </c>
      <c r="M15" s="34">
        <f t="shared" ref="M15:M37" si="5">K15/G15</f>
        <v>31.326584976025572</v>
      </c>
      <c r="N15" s="35">
        <f t="shared" ref="N15:N37" si="6">(H15+I15)/(H15/5)</f>
        <v>124.6875</v>
      </c>
      <c r="O15" s="36">
        <f t="shared" ref="O15:O37" si="7">J15/N15</f>
        <v>1.2431077694235588</v>
      </c>
      <c r="P15" s="36">
        <f t="shared" ref="P15:P37" si="8">K15/N15</f>
        <v>4.7157894736842101</v>
      </c>
      <c r="Q15" s="37">
        <f t="shared" ref="Q15:Q31" si="9">G15*30%</f>
        <v>5.6309999999999993</v>
      </c>
      <c r="S15" s="29"/>
      <c r="T15" s="29"/>
      <c r="AA15" s="1"/>
      <c r="AB15" s="1"/>
      <c r="AC15" s="1"/>
      <c r="AD15" s="1"/>
    </row>
    <row r="16" spans="1:30" ht="15.75" customHeight="1" x14ac:dyDescent="0.3">
      <c r="A16" s="1"/>
      <c r="B16" s="12"/>
      <c r="C16" s="30" t="s">
        <v>65</v>
      </c>
      <c r="D16" s="32">
        <v>13343</v>
      </c>
      <c r="E16" s="32">
        <v>854</v>
      </c>
      <c r="F16" s="33">
        <f t="shared" si="3"/>
        <v>6.4003597391890876E-2</v>
      </c>
      <c r="G16" s="34">
        <v>29.55</v>
      </c>
      <c r="H16" s="35">
        <v>144</v>
      </c>
      <c r="I16" s="35">
        <v>4234</v>
      </c>
      <c r="J16" s="31">
        <v>300</v>
      </c>
      <c r="K16" s="31">
        <v>600</v>
      </c>
      <c r="L16" s="34">
        <f t="shared" si="4"/>
        <v>10.152284263959391</v>
      </c>
      <c r="M16" s="34">
        <f t="shared" si="5"/>
        <v>20.304568527918782</v>
      </c>
      <c r="N16" s="35">
        <f t="shared" si="6"/>
        <v>152.01388888888889</v>
      </c>
      <c r="O16" s="36">
        <f t="shared" si="7"/>
        <v>1.9735038830516218</v>
      </c>
      <c r="P16" s="36">
        <f t="shared" si="8"/>
        <v>3.9470077661032437</v>
      </c>
      <c r="Q16" s="37">
        <f t="shared" si="9"/>
        <v>8.8650000000000002</v>
      </c>
      <c r="T16" s="29"/>
      <c r="AA16" s="1"/>
      <c r="AB16" s="1"/>
      <c r="AC16" s="1"/>
      <c r="AD16" s="1"/>
    </row>
    <row r="17" spans="1:30" ht="15.75" customHeight="1" x14ac:dyDescent="0.3">
      <c r="A17" s="1"/>
      <c r="B17" s="12"/>
      <c r="C17" s="30" t="s">
        <v>66</v>
      </c>
      <c r="D17" s="34">
        <v>12481</v>
      </c>
      <c r="E17" s="34">
        <v>1189</v>
      </c>
      <c r="F17" s="33">
        <f t="shared" si="3"/>
        <v>9.5264802499799697E-2</v>
      </c>
      <c r="G17" s="34">
        <v>42.18</v>
      </c>
      <c r="H17" s="35">
        <v>144</v>
      </c>
      <c r="I17" s="35">
        <v>5428</v>
      </c>
      <c r="J17" s="31">
        <v>393</v>
      </c>
      <c r="K17" s="31">
        <v>943</v>
      </c>
      <c r="L17" s="34">
        <f t="shared" si="4"/>
        <v>9.3172119487908969</v>
      </c>
      <c r="M17" s="34">
        <f t="shared" si="5"/>
        <v>22.3565670934092</v>
      </c>
      <c r="N17" s="35">
        <f t="shared" si="6"/>
        <v>193.47222222222223</v>
      </c>
      <c r="O17" s="36">
        <f t="shared" si="7"/>
        <v>2.0312993539124191</v>
      </c>
      <c r="P17" s="36">
        <f t="shared" si="8"/>
        <v>4.8740847092605888</v>
      </c>
      <c r="Q17" s="37">
        <f t="shared" si="9"/>
        <v>12.654</v>
      </c>
      <c r="S17" s="38"/>
      <c r="T17" s="29"/>
      <c r="AA17" s="1"/>
      <c r="AB17" s="1"/>
      <c r="AC17" s="1"/>
      <c r="AD17" s="1"/>
    </row>
    <row r="18" spans="1:30" ht="15.75" customHeight="1" x14ac:dyDescent="0.3">
      <c r="A18" s="1"/>
      <c r="B18" s="12"/>
      <c r="C18" s="30" t="s">
        <v>67</v>
      </c>
      <c r="D18" s="34">
        <v>15252</v>
      </c>
      <c r="E18" s="34">
        <v>1562</v>
      </c>
      <c r="F18" s="33">
        <f t="shared" si="3"/>
        <v>0.10241279832153161</v>
      </c>
      <c r="G18" s="34">
        <v>59.91</v>
      </c>
      <c r="H18" s="35">
        <v>144</v>
      </c>
      <c r="I18" s="35">
        <v>6862</v>
      </c>
      <c r="J18" s="31">
        <v>655</v>
      </c>
      <c r="K18" s="31">
        <v>975</v>
      </c>
      <c r="L18" s="34">
        <f t="shared" si="4"/>
        <v>10.933066266065765</v>
      </c>
      <c r="M18" s="34">
        <f t="shared" si="5"/>
        <v>16.274411617426139</v>
      </c>
      <c r="N18" s="35">
        <f t="shared" si="6"/>
        <v>243.26388888888889</v>
      </c>
      <c r="O18" s="36">
        <f t="shared" si="7"/>
        <v>2.6925492435055669</v>
      </c>
      <c r="P18" s="36">
        <f t="shared" si="8"/>
        <v>4.0079931487296605</v>
      </c>
      <c r="Q18" s="37">
        <f t="shared" si="9"/>
        <v>17.972999999999999</v>
      </c>
      <c r="S18" s="38"/>
      <c r="T18" s="29"/>
      <c r="AA18" s="1"/>
      <c r="AB18" s="1"/>
      <c r="AC18" s="1"/>
      <c r="AD18" s="1"/>
    </row>
    <row r="19" spans="1:30" ht="15.75" customHeight="1" x14ac:dyDescent="0.3">
      <c r="A19" s="1"/>
      <c r="B19" s="12"/>
      <c r="C19" s="30" t="s">
        <v>68</v>
      </c>
      <c r="D19" s="34">
        <v>18824</v>
      </c>
      <c r="E19" s="34">
        <v>1731</v>
      </c>
      <c r="F19" s="33">
        <f t="shared" si="3"/>
        <v>9.1957076073098179E-2</v>
      </c>
      <c r="G19" s="34">
        <v>54.06</v>
      </c>
      <c r="H19" s="35">
        <v>144</v>
      </c>
      <c r="I19" s="35">
        <v>8415</v>
      </c>
      <c r="J19" s="31">
        <v>700</v>
      </c>
      <c r="K19" s="31">
        <v>1248</v>
      </c>
      <c r="L19" s="34">
        <f t="shared" si="4"/>
        <v>12.948575656677765</v>
      </c>
      <c r="M19" s="34">
        <f t="shared" si="5"/>
        <v>23.085460599334073</v>
      </c>
      <c r="N19" s="35">
        <f t="shared" si="6"/>
        <v>297.1875</v>
      </c>
      <c r="O19" s="36">
        <f t="shared" si="7"/>
        <v>2.3554153522607781</v>
      </c>
      <c r="P19" s="36">
        <f t="shared" si="8"/>
        <v>4.1993690851735019</v>
      </c>
      <c r="Q19" s="37">
        <f t="shared" si="9"/>
        <v>16.218</v>
      </c>
      <c r="S19" s="38"/>
      <c r="T19" s="29"/>
      <c r="AA19" s="1"/>
      <c r="AB19" s="1"/>
      <c r="AC19" s="1"/>
      <c r="AD19" s="1"/>
    </row>
    <row r="20" spans="1:30" ht="15.75" customHeight="1" x14ac:dyDescent="0.3">
      <c r="A20" s="1"/>
      <c r="B20" s="34">
        <v>792167</v>
      </c>
      <c r="C20" s="30" t="s">
        <v>69</v>
      </c>
      <c r="D20" s="34">
        <v>21454</v>
      </c>
      <c r="E20" s="34">
        <v>1219</v>
      </c>
      <c r="F20" s="33">
        <f t="shared" si="3"/>
        <v>5.6819241167148316E-2</v>
      </c>
      <c r="G20" s="34">
        <v>41.16</v>
      </c>
      <c r="H20" s="35">
        <v>144</v>
      </c>
      <c r="I20" s="35">
        <v>9200</v>
      </c>
      <c r="J20" s="31">
        <v>433</v>
      </c>
      <c r="K20" s="31">
        <v>855</v>
      </c>
      <c r="L20" s="34">
        <f t="shared" si="4"/>
        <v>10.519922254616134</v>
      </c>
      <c r="M20" s="34">
        <f t="shared" si="5"/>
        <v>20.772594752186592</v>
      </c>
      <c r="N20" s="35">
        <f t="shared" si="6"/>
        <v>324.44444444444446</v>
      </c>
      <c r="O20" s="36">
        <f t="shared" si="7"/>
        <v>1.3345890410958903</v>
      </c>
      <c r="P20" s="36">
        <f t="shared" si="8"/>
        <v>2.6352739726027394</v>
      </c>
      <c r="Q20" s="37">
        <f t="shared" si="9"/>
        <v>12.347999999999999</v>
      </c>
      <c r="S20" s="38"/>
      <c r="T20" s="29"/>
      <c r="AA20" s="1"/>
      <c r="AB20" s="1"/>
      <c r="AC20" s="1"/>
      <c r="AD20" s="1"/>
    </row>
    <row r="21" spans="1:30" ht="15.75" customHeight="1" x14ac:dyDescent="0.3">
      <c r="A21" s="1"/>
      <c r="B21" s="39">
        <v>1018365</v>
      </c>
      <c r="C21" s="30" t="s">
        <v>70</v>
      </c>
      <c r="D21" s="34">
        <v>29623</v>
      </c>
      <c r="E21" s="34">
        <v>2498</v>
      </c>
      <c r="F21" s="33">
        <f t="shared" si="3"/>
        <v>8.4326368024845555E-2</v>
      </c>
      <c r="G21" s="34">
        <v>86.45</v>
      </c>
      <c r="H21" s="35">
        <v>144</v>
      </c>
      <c r="I21" s="35">
        <v>12038</v>
      </c>
      <c r="J21" s="31">
        <v>741</v>
      </c>
      <c r="K21" s="31">
        <v>1737</v>
      </c>
      <c r="L21" s="34">
        <f t="shared" si="4"/>
        <v>8.5714285714285712</v>
      </c>
      <c r="M21" s="34">
        <f t="shared" si="5"/>
        <v>20.092539039907461</v>
      </c>
      <c r="N21" s="35">
        <f t="shared" si="6"/>
        <v>422.98611111111109</v>
      </c>
      <c r="O21" s="36">
        <f t="shared" si="7"/>
        <v>1.7518305696929897</v>
      </c>
      <c r="P21" s="36">
        <f t="shared" si="8"/>
        <v>4.1065178131669677</v>
      </c>
      <c r="Q21" s="37">
        <f t="shared" si="9"/>
        <v>25.934999999999999</v>
      </c>
      <c r="T21" s="29"/>
      <c r="AA21" s="1"/>
      <c r="AB21" s="1"/>
      <c r="AC21" s="1"/>
      <c r="AD21" s="1"/>
    </row>
    <row r="22" spans="1:30" ht="15.75" customHeight="1" x14ac:dyDescent="0.3">
      <c r="A22" s="1"/>
      <c r="B22" s="39">
        <v>1271005</v>
      </c>
      <c r="C22" s="30" t="s">
        <v>71</v>
      </c>
      <c r="D22" s="34">
        <v>37040</v>
      </c>
      <c r="E22" s="34">
        <v>2289</v>
      </c>
      <c r="F22" s="33">
        <f t="shared" si="3"/>
        <v>6.1798056155507562E-2</v>
      </c>
      <c r="G22" s="34">
        <v>79.22</v>
      </c>
      <c r="H22" s="35">
        <v>151</v>
      </c>
      <c r="I22" s="35">
        <v>14164</v>
      </c>
      <c r="J22" s="31">
        <v>1122</v>
      </c>
      <c r="K22" s="31">
        <v>1585</v>
      </c>
      <c r="L22" s="34">
        <f t="shared" si="4"/>
        <v>14.163090128755366</v>
      </c>
      <c r="M22" s="34">
        <f t="shared" si="5"/>
        <v>20.007573844988638</v>
      </c>
      <c r="N22" s="35">
        <f t="shared" si="6"/>
        <v>474.00662251655632</v>
      </c>
      <c r="O22" s="36">
        <f t="shared" si="7"/>
        <v>2.3670555361508905</v>
      </c>
      <c r="P22" s="36">
        <f t="shared" si="8"/>
        <v>3.3438351379671669</v>
      </c>
      <c r="Q22" s="37">
        <f t="shared" si="9"/>
        <v>23.765999999999998</v>
      </c>
      <c r="T22" s="29"/>
      <c r="AA22" s="1"/>
      <c r="AB22" s="1"/>
      <c r="AC22" s="1"/>
      <c r="AD22" s="1"/>
    </row>
    <row r="23" spans="1:30" ht="15.75" customHeight="1" x14ac:dyDescent="0.3">
      <c r="A23" s="1"/>
      <c r="B23" s="34">
        <v>1133695</v>
      </c>
      <c r="C23" s="30" t="s">
        <v>72</v>
      </c>
      <c r="D23" s="40">
        <v>35587</v>
      </c>
      <c r="E23" s="34">
        <v>1635</v>
      </c>
      <c r="F23" s="33">
        <f t="shared" si="3"/>
        <v>4.5943743501840557E-2</v>
      </c>
      <c r="G23" s="34">
        <v>56.6</v>
      </c>
      <c r="H23" s="35">
        <v>151</v>
      </c>
      <c r="I23" s="35">
        <v>18876</v>
      </c>
      <c r="J23" s="31">
        <v>900</v>
      </c>
      <c r="K23" s="31">
        <v>1429</v>
      </c>
      <c r="L23" s="34">
        <f t="shared" si="4"/>
        <v>15.901060070671377</v>
      </c>
      <c r="M23" s="34">
        <f t="shared" si="5"/>
        <v>25.247349823321553</v>
      </c>
      <c r="N23" s="35">
        <f t="shared" si="6"/>
        <v>630.03311258278143</v>
      </c>
      <c r="O23" s="36">
        <f t="shared" si="7"/>
        <v>1.428496347295948</v>
      </c>
      <c r="P23" s="36">
        <f t="shared" si="8"/>
        <v>2.2681347558732328</v>
      </c>
      <c r="Q23" s="37">
        <f t="shared" si="9"/>
        <v>16.98</v>
      </c>
      <c r="T23" s="29"/>
      <c r="AA23" s="1"/>
      <c r="AB23" s="1"/>
      <c r="AC23" s="1"/>
      <c r="AD23" s="1"/>
    </row>
    <row r="24" spans="1:30" ht="15.75" customHeight="1" x14ac:dyDescent="0.3">
      <c r="A24" s="1"/>
      <c r="B24" s="34">
        <v>1171434</v>
      </c>
      <c r="C24" s="30" t="s">
        <v>73</v>
      </c>
      <c r="D24" s="34">
        <v>43588</v>
      </c>
      <c r="E24" s="34">
        <v>2392</v>
      </c>
      <c r="F24" s="33">
        <f t="shared" si="3"/>
        <v>5.4877489217215747E-2</v>
      </c>
      <c r="G24" s="34">
        <v>79.19</v>
      </c>
      <c r="H24" s="35">
        <v>151</v>
      </c>
      <c r="I24" s="35">
        <v>15530</v>
      </c>
      <c r="J24" s="31">
        <v>1051</v>
      </c>
      <c r="K24" s="31">
        <v>1634</v>
      </c>
      <c r="L24" s="34">
        <f t="shared" si="4"/>
        <v>13.271877762343731</v>
      </c>
      <c r="M24" s="34">
        <f t="shared" si="5"/>
        <v>20.63391842404344</v>
      </c>
      <c r="N24" s="35">
        <f t="shared" si="6"/>
        <v>519.23841059602648</v>
      </c>
      <c r="O24" s="36">
        <f t="shared" si="7"/>
        <v>2.0241183597984822</v>
      </c>
      <c r="P24" s="36">
        <f t="shared" si="8"/>
        <v>3.146916650723806</v>
      </c>
      <c r="Q24" s="37">
        <f t="shared" si="9"/>
        <v>23.756999999999998</v>
      </c>
      <c r="T24" s="29"/>
      <c r="AA24" s="1"/>
      <c r="AB24" s="1"/>
      <c r="AC24" s="1"/>
      <c r="AD24" s="1"/>
    </row>
    <row r="25" spans="1:30" ht="15.75" customHeight="1" x14ac:dyDescent="0.3">
      <c r="A25" s="1"/>
      <c r="B25" s="41">
        <v>1155041</v>
      </c>
      <c r="C25" s="30" t="s">
        <v>74</v>
      </c>
      <c r="D25" s="34">
        <v>44524</v>
      </c>
      <c r="E25" s="34">
        <v>2783</v>
      </c>
      <c r="F25" s="33">
        <f t="shared" si="3"/>
        <v>6.2505614949240854E-2</v>
      </c>
      <c r="G25" s="34">
        <v>92.13</v>
      </c>
      <c r="H25" s="35">
        <v>151</v>
      </c>
      <c r="I25" s="35">
        <v>21345</v>
      </c>
      <c r="J25" s="31">
        <v>1215</v>
      </c>
      <c r="K25" s="31">
        <v>1980</v>
      </c>
      <c r="L25" s="34">
        <f t="shared" si="4"/>
        <v>13.187886681862587</v>
      </c>
      <c r="M25" s="34">
        <f t="shared" si="5"/>
        <v>21.491370888961253</v>
      </c>
      <c r="N25" s="35">
        <f t="shared" si="6"/>
        <v>711.78807947019868</v>
      </c>
      <c r="O25" s="36">
        <f t="shared" si="7"/>
        <v>1.7069687383699292</v>
      </c>
      <c r="P25" s="36">
        <f t="shared" si="8"/>
        <v>2.7817268328991438</v>
      </c>
      <c r="Q25" s="37">
        <f t="shared" si="9"/>
        <v>27.638999999999999</v>
      </c>
      <c r="T25" s="29"/>
      <c r="AA25" s="1"/>
      <c r="AB25" s="1"/>
      <c r="AC25" s="1"/>
      <c r="AD25" s="1"/>
    </row>
    <row r="26" spans="1:30" ht="15.75" customHeight="1" x14ac:dyDescent="0.3">
      <c r="A26" s="1"/>
      <c r="B26" s="34">
        <v>1292415</v>
      </c>
      <c r="C26" s="30" t="s">
        <v>75</v>
      </c>
      <c r="D26" s="34">
        <v>50802</v>
      </c>
      <c r="E26" s="34">
        <v>3711</v>
      </c>
      <c r="F26" s="33">
        <f t="shared" si="3"/>
        <v>7.3048305184835238E-2</v>
      </c>
      <c r="G26" s="34">
        <v>122.85</v>
      </c>
      <c r="H26" s="35">
        <v>151</v>
      </c>
      <c r="I26" s="35">
        <v>24167</v>
      </c>
      <c r="J26" s="31">
        <v>1872</v>
      </c>
      <c r="K26" s="31">
        <v>3790</v>
      </c>
      <c r="L26" s="34">
        <f t="shared" si="4"/>
        <v>15.238095238095239</v>
      </c>
      <c r="M26" s="34">
        <f t="shared" si="5"/>
        <v>30.850630850630854</v>
      </c>
      <c r="N26" s="35">
        <f t="shared" si="6"/>
        <v>805.23178807947022</v>
      </c>
      <c r="O26" s="36">
        <f t="shared" si="7"/>
        <v>2.3247964470762397</v>
      </c>
      <c r="P26" s="36">
        <f t="shared" si="8"/>
        <v>4.7067193025742249</v>
      </c>
      <c r="Q26" s="37">
        <f t="shared" si="9"/>
        <v>36.854999999999997</v>
      </c>
      <c r="AA26" s="1"/>
      <c r="AB26" s="1"/>
      <c r="AC26" s="1"/>
      <c r="AD26" s="1"/>
    </row>
    <row r="27" spans="1:30" ht="15.75" customHeight="1" x14ac:dyDescent="0.3">
      <c r="A27" s="1"/>
      <c r="B27" s="34">
        <v>1429248</v>
      </c>
      <c r="C27" s="30" t="s">
        <v>76</v>
      </c>
      <c r="D27" s="34">
        <v>58208</v>
      </c>
      <c r="E27" s="34">
        <v>4571</v>
      </c>
      <c r="F27" s="33">
        <f t="shared" si="3"/>
        <v>7.8528724573941722E-2</v>
      </c>
      <c r="G27" s="34">
        <v>151.33000000000001</v>
      </c>
      <c r="H27" s="35">
        <v>151</v>
      </c>
      <c r="I27" s="35">
        <v>30465</v>
      </c>
      <c r="J27" s="31">
        <v>3200</v>
      </c>
      <c r="K27" s="31">
        <v>4790</v>
      </c>
      <c r="L27" s="34">
        <f t="shared" si="4"/>
        <v>21.145840216744862</v>
      </c>
      <c r="M27" s="34">
        <f t="shared" si="5"/>
        <v>31.652679574439961</v>
      </c>
      <c r="N27" s="35">
        <f t="shared" si="6"/>
        <v>1013.7748344370862</v>
      </c>
      <c r="O27" s="36">
        <f t="shared" si="7"/>
        <v>3.156519466945388</v>
      </c>
      <c r="P27" s="36">
        <f t="shared" si="8"/>
        <v>4.7249150770838773</v>
      </c>
      <c r="Q27" s="37">
        <f t="shared" si="9"/>
        <v>45.399000000000001</v>
      </c>
      <c r="S27" s="38"/>
      <c r="T27" s="29"/>
      <c r="AA27" s="1"/>
      <c r="AB27" s="1"/>
      <c r="AC27" s="1"/>
      <c r="AD27" s="1"/>
    </row>
    <row r="28" spans="1:30" ht="15.75" customHeight="1" x14ac:dyDescent="0.3">
      <c r="A28" s="1"/>
      <c r="B28" s="34">
        <v>1568603</v>
      </c>
      <c r="C28" s="30" t="s">
        <v>77</v>
      </c>
      <c r="D28" s="34">
        <v>79546</v>
      </c>
      <c r="E28" s="34">
        <v>7338</v>
      </c>
      <c r="F28" s="33">
        <f t="shared" si="3"/>
        <v>9.2248510295929398E-2</v>
      </c>
      <c r="G28" s="34">
        <v>242.91</v>
      </c>
      <c r="H28" s="35">
        <v>151</v>
      </c>
      <c r="I28" s="35">
        <v>36924</v>
      </c>
      <c r="J28" s="31">
        <v>3418</v>
      </c>
      <c r="K28" s="31">
        <v>6234</v>
      </c>
      <c r="L28" s="34">
        <f t="shared" si="4"/>
        <v>14.071055123296695</v>
      </c>
      <c r="M28" s="34">
        <f t="shared" si="5"/>
        <v>25.663826108435224</v>
      </c>
      <c r="N28" s="35">
        <f t="shared" si="6"/>
        <v>1227.6490066225165</v>
      </c>
      <c r="O28" s="36">
        <f t="shared" si="7"/>
        <v>2.7841834120026974</v>
      </c>
      <c r="P28" s="36">
        <f t="shared" si="8"/>
        <v>5.0779986513823339</v>
      </c>
      <c r="Q28" s="37">
        <f t="shared" si="9"/>
        <v>72.87299999999999</v>
      </c>
      <c r="X28" s="1"/>
      <c r="Y28" s="1"/>
      <c r="Z28" s="1"/>
      <c r="AA28" s="1"/>
      <c r="AB28" s="1"/>
      <c r="AC28" s="1"/>
      <c r="AD28" s="1"/>
    </row>
    <row r="29" spans="1:30" ht="15.75" customHeight="1" x14ac:dyDescent="0.3">
      <c r="A29" s="1"/>
      <c r="B29" s="34">
        <v>1779574</v>
      </c>
      <c r="C29" s="30" t="s">
        <v>78</v>
      </c>
      <c r="D29" s="34">
        <v>84040</v>
      </c>
      <c r="E29" s="34">
        <v>7722</v>
      </c>
      <c r="F29" s="33">
        <f t="shared" si="3"/>
        <v>9.1884816753926707E-2</v>
      </c>
      <c r="G29" s="34">
        <v>256</v>
      </c>
      <c r="H29" s="35">
        <v>151</v>
      </c>
      <c r="I29" s="35">
        <v>42408</v>
      </c>
      <c r="J29" s="31">
        <v>6021</v>
      </c>
      <c r="K29" s="31">
        <v>9996</v>
      </c>
      <c r="L29" s="34">
        <f t="shared" si="4"/>
        <v>23.51953125</v>
      </c>
      <c r="M29" s="34">
        <f t="shared" si="5"/>
        <v>39.046875</v>
      </c>
      <c r="N29" s="35">
        <f t="shared" si="6"/>
        <v>1409.2384105960266</v>
      </c>
      <c r="O29" s="36">
        <f t="shared" si="7"/>
        <v>4.2725205009516198</v>
      </c>
      <c r="P29" s="36">
        <f t="shared" si="8"/>
        <v>7.0931929791583448</v>
      </c>
      <c r="Q29" s="37">
        <f t="shared" si="9"/>
        <v>76.8</v>
      </c>
      <c r="X29" s="1"/>
      <c r="Y29" s="1"/>
      <c r="Z29" s="1"/>
      <c r="AA29" s="1"/>
      <c r="AB29" s="1"/>
      <c r="AC29" s="1"/>
      <c r="AD29" s="1"/>
    </row>
    <row r="30" spans="1:30" ht="15.75" customHeight="1" x14ac:dyDescent="0.3">
      <c r="A30" s="1"/>
      <c r="B30" s="42">
        <v>1862449</v>
      </c>
      <c r="C30" s="30" t="s">
        <v>79</v>
      </c>
      <c r="D30" s="34">
        <v>88630</v>
      </c>
      <c r="E30" s="34">
        <v>7651</v>
      </c>
      <c r="F30" s="33">
        <f t="shared" si="3"/>
        <v>8.6325172063635339E-2</v>
      </c>
      <c r="G30" s="34">
        <v>253.26</v>
      </c>
      <c r="H30" s="35">
        <v>151</v>
      </c>
      <c r="I30" s="35">
        <v>46941</v>
      </c>
      <c r="J30" s="31">
        <v>6318</v>
      </c>
      <c r="K30" s="31">
        <v>9929</v>
      </c>
      <c r="L30" s="34">
        <f t="shared" si="4"/>
        <v>24.946695095948829</v>
      </c>
      <c r="M30" s="34">
        <f t="shared" si="5"/>
        <v>39.204769801784728</v>
      </c>
      <c r="N30" s="35">
        <f t="shared" si="6"/>
        <v>1559.337748344371</v>
      </c>
      <c r="O30" s="36">
        <f t="shared" si="7"/>
        <v>4.0517200373736513</v>
      </c>
      <c r="P30" s="36">
        <f t="shared" si="8"/>
        <v>6.3674467000764459</v>
      </c>
      <c r="Q30" s="37">
        <f t="shared" si="9"/>
        <v>75.977999999999994</v>
      </c>
      <c r="X30" s="1"/>
      <c r="Y30" s="1"/>
      <c r="Z30" s="1"/>
      <c r="AA30" s="1"/>
      <c r="AB30" s="1"/>
      <c r="AC30" s="1"/>
      <c r="AD30" s="1"/>
    </row>
    <row r="31" spans="1:30" ht="15.75" customHeight="1" x14ac:dyDescent="0.3">
      <c r="A31" s="43"/>
      <c r="B31" s="44">
        <v>1563297</v>
      </c>
      <c r="C31" s="30" t="s">
        <v>80</v>
      </c>
      <c r="D31" s="45">
        <v>75611</v>
      </c>
      <c r="E31" s="42">
        <v>5651</v>
      </c>
      <c r="F31" s="33">
        <f t="shared" si="3"/>
        <v>7.4737802700665254E-2</v>
      </c>
      <c r="G31" s="42">
        <v>187.06</v>
      </c>
      <c r="H31" s="35">
        <v>151</v>
      </c>
      <c r="I31" s="35">
        <v>49262</v>
      </c>
      <c r="J31" s="42">
        <v>4037</v>
      </c>
      <c r="K31" s="42">
        <v>7759</v>
      </c>
      <c r="L31" s="34">
        <f t="shared" si="4"/>
        <v>21.581310809365977</v>
      </c>
      <c r="M31" s="34">
        <f t="shared" si="5"/>
        <v>41.478669945472042</v>
      </c>
      <c r="N31" s="35">
        <f t="shared" si="6"/>
        <v>1636.1920529801325</v>
      </c>
      <c r="O31" s="36">
        <f t="shared" si="7"/>
        <v>2.4673142695242141</v>
      </c>
      <c r="P31" s="36">
        <f t="shared" si="8"/>
        <v>4.7421083520531031</v>
      </c>
      <c r="Q31" s="37">
        <f t="shared" si="9"/>
        <v>56.118000000000002</v>
      </c>
      <c r="X31" s="1"/>
      <c r="Y31" s="1"/>
      <c r="Z31" s="1"/>
      <c r="AA31" s="1"/>
      <c r="AB31" s="1"/>
      <c r="AC31" s="1"/>
      <c r="AD31" s="1"/>
    </row>
    <row r="32" spans="1:30" ht="15.75" customHeight="1" x14ac:dyDescent="0.3">
      <c r="A32" s="1"/>
      <c r="B32" s="41">
        <v>1457861</v>
      </c>
      <c r="C32" s="30" t="s">
        <v>81</v>
      </c>
      <c r="D32" s="45">
        <v>70333</v>
      </c>
      <c r="E32" s="42">
        <v>4230</v>
      </c>
      <c r="F32" s="33">
        <f t="shared" si="3"/>
        <v>6.0142465130166495E-2</v>
      </c>
      <c r="G32" s="42">
        <v>140.02000000000001</v>
      </c>
      <c r="H32" s="35">
        <v>151</v>
      </c>
      <c r="I32" s="35">
        <v>52350</v>
      </c>
      <c r="J32" s="42">
        <v>4001</v>
      </c>
      <c r="K32" s="42">
        <v>8329</v>
      </c>
      <c r="L32" s="34">
        <f t="shared" si="4"/>
        <v>28.574489358663048</v>
      </c>
      <c r="M32" s="34">
        <f t="shared" si="5"/>
        <v>59.484359377231819</v>
      </c>
      <c r="N32" s="35">
        <f t="shared" si="6"/>
        <v>1738.4437086092717</v>
      </c>
      <c r="O32" s="36">
        <f t="shared" si="7"/>
        <v>2.3014837812613091</v>
      </c>
      <c r="P32" s="36">
        <f t="shared" si="8"/>
        <v>4.7910668368221554</v>
      </c>
      <c r="Q32" s="37">
        <v>45</v>
      </c>
      <c r="X32" s="1"/>
      <c r="Y32" s="1"/>
      <c r="Z32" s="1"/>
      <c r="AA32" s="1"/>
      <c r="AB32" s="1"/>
      <c r="AC32" s="1"/>
      <c r="AD32" s="1"/>
    </row>
    <row r="33" spans="1:30" ht="15.75" customHeight="1" x14ac:dyDescent="0.3">
      <c r="A33" s="1"/>
      <c r="B33" s="41">
        <v>1652653</v>
      </c>
      <c r="C33" s="30" t="s">
        <v>82</v>
      </c>
      <c r="D33" s="45">
        <v>88296</v>
      </c>
      <c r="E33" s="42">
        <v>3766</v>
      </c>
      <c r="F33" s="33">
        <f t="shared" si="3"/>
        <v>4.2651988765062973E-2</v>
      </c>
      <c r="G33" s="42">
        <v>124.68</v>
      </c>
      <c r="H33" s="35">
        <v>151</v>
      </c>
      <c r="I33" s="35">
        <v>55182</v>
      </c>
      <c r="J33" s="42">
        <v>6400</v>
      </c>
      <c r="K33" s="42">
        <v>9050</v>
      </c>
      <c r="L33" s="34">
        <f t="shared" si="4"/>
        <v>51.331408405518125</v>
      </c>
      <c r="M33" s="34">
        <f t="shared" si="5"/>
        <v>72.585819698427969</v>
      </c>
      <c r="N33" s="35">
        <f t="shared" si="6"/>
        <v>1832.2185430463576</v>
      </c>
      <c r="O33" s="36">
        <f t="shared" si="7"/>
        <v>3.4930330905607865</v>
      </c>
      <c r="P33" s="36">
        <f t="shared" si="8"/>
        <v>4.9393671046211125</v>
      </c>
      <c r="Q33" s="37">
        <v>60</v>
      </c>
      <c r="X33" s="1"/>
      <c r="Y33" s="1"/>
      <c r="Z33" s="1"/>
      <c r="AA33" s="1"/>
      <c r="AB33" s="1"/>
      <c r="AC33" s="1"/>
      <c r="AD33" s="1"/>
    </row>
    <row r="34" spans="1:30" ht="15.75" customHeight="1" x14ac:dyDescent="0.3">
      <c r="A34" s="1"/>
      <c r="B34" s="41">
        <v>1966164</v>
      </c>
      <c r="C34" s="30" t="s">
        <v>83</v>
      </c>
      <c r="D34" s="45">
        <v>118409</v>
      </c>
      <c r="E34" s="42">
        <v>8263</v>
      </c>
      <c r="F34" s="33">
        <f t="shared" si="3"/>
        <v>6.9783546858769183E-2</v>
      </c>
      <c r="G34" s="42">
        <v>271.8</v>
      </c>
      <c r="H34" s="35">
        <v>157</v>
      </c>
      <c r="I34" s="35">
        <v>74443</v>
      </c>
      <c r="J34" s="42">
        <v>7062</v>
      </c>
      <c r="K34" s="42">
        <v>9769</v>
      </c>
      <c r="L34" s="34">
        <f t="shared" si="4"/>
        <v>25.982339955849888</v>
      </c>
      <c r="M34" s="34">
        <f t="shared" si="5"/>
        <v>35.941869021339215</v>
      </c>
      <c r="N34" s="35">
        <f t="shared" si="6"/>
        <v>2375.7961783439491</v>
      </c>
      <c r="O34" s="36">
        <f t="shared" si="7"/>
        <v>2.9724772117962464</v>
      </c>
      <c r="P34" s="36">
        <f t="shared" si="8"/>
        <v>4.1118847184986596</v>
      </c>
      <c r="Q34" s="37">
        <f>G34*30%</f>
        <v>81.540000000000006</v>
      </c>
      <c r="X34" s="1"/>
      <c r="Y34" s="1"/>
      <c r="Z34" s="1"/>
      <c r="AA34" s="1"/>
      <c r="AB34" s="1"/>
      <c r="AC34" s="1"/>
      <c r="AD34" s="1"/>
    </row>
    <row r="35" spans="1:30" ht="15.75" customHeight="1" x14ac:dyDescent="0.3">
      <c r="A35" s="1"/>
      <c r="B35" s="41">
        <v>2135323</v>
      </c>
      <c r="C35" s="30" t="s">
        <v>84</v>
      </c>
      <c r="D35" s="34">
        <v>141858</v>
      </c>
      <c r="E35" s="34">
        <v>13488</v>
      </c>
      <c r="F35" s="33">
        <f t="shared" si="3"/>
        <v>9.5080996489447192E-2</v>
      </c>
      <c r="G35" s="34">
        <v>429</v>
      </c>
      <c r="H35" s="35">
        <v>157</v>
      </c>
      <c r="I35" s="35">
        <v>85479</v>
      </c>
      <c r="J35" s="42">
        <v>8377</v>
      </c>
      <c r="K35" s="34">
        <v>12727</v>
      </c>
      <c r="L35" s="34">
        <f t="shared" si="4"/>
        <v>19.526806526806528</v>
      </c>
      <c r="M35" s="34">
        <f t="shared" si="5"/>
        <v>29.666666666666668</v>
      </c>
      <c r="N35" s="35">
        <f t="shared" si="6"/>
        <v>2727.2611464968154</v>
      </c>
      <c r="O35" s="36">
        <f t="shared" si="7"/>
        <v>3.0715797094679806</v>
      </c>
      <c r="P35" s="36">
        <f t="shared" si="8"/>
        <v>4.6665864823205192</v>
      </c>
      <c r="Q35" s="37">
        <v>125</v>
      </c>
      <c r="X35" s="1"/>
      <c r="Y35" s="1"/>
      <c r="Z35" s="1"/>
      <c r="AA35" s="1"/>
      <c r="AB35" s="1"/>
      <c r="AC35" s="1"/>
      <c r="AD35" s="1"/>
    </row>
    <row r="36" spans="1:30" ht="15.75" customHeight="1" x14ac:dyDescent="0.3">
      <c r="B36" s="41">
        <v>2234266</v>
      </c>
      <c r="C36" s="30" t="s">
        <v>85</v>
      </c>
      <c r="D36" s="34">
        <v>152913</v>
      </c>
      <c r="E36" s="34">
        <v>14500</v>
      </c>
      <c r="F36" s="33">
        <f t="shared" si="3"/>
        <v>9.4825162020233722E-2</v>
      </c>
      <c r="G36" s="34">
        <v>461.2</v>
      </c>
      <c r="H36" s="35">
        <v>157</v>
      </c>
      <c r="I36" s="35">
        <v>96083</v>
      </c>
      <c r="J36" s="42">
        <v>10725</v>
      </c>
      <c r="K36" s="34">
        <v>13680</v>
      </c>
      <c r="L36" s="34">
        <f t="shared" si="4"/>
        <v>23.25455333911535</v>
      </c>
      <c r="M36" s="34">
        <f t="shared" si="5"/>
        <v>29.66175195143105</v>
      </c>
      <c r="N36" s="35">
        <f t="shared" si="6"/>
        <v>3064.9681528662422</v>
      </c>
      <c r="O36" s="36">
        <f t="shared" si="7"/>
        <v>3.4992206982543639</v>
      </c>
      <c r="P36" s="36">
        <f t="shared" si="8"/>
        <v>4.4633416458852864</v>
      </c>
      <c r="Q36" s="37">
        <v>135</v>
      </c>
      <c r="R36" s="46"/>
      <c r="X36" s="1"/>
      <c r="Y36" s="1"/>
      <c r="Z36" s="1"/>
      <c r="AA36" s="1"/>
      <c r="AB36" s="1"/>
      <c r="AC36" s="1"/>
      <c r="AD36" s="1"/>
    </row>
    <row r="37" spans="1:30" ht="15.75" customHeight="1" x14ac:dyDescent="0.3">
      <c r="B37" s="41">
        <f>B36+C52-D52</f>
        <v>2240259</v>
      </c>
      <c r="C37" s="30" t="s">
        <v>86</v>
      </c>
      <c r="D37" s="34">
        <f>D36+C53-D53</f>
        <v>181171</v>
      </c>
      <c r="E37" s="34">
        <f>E36+C57-D57</f>
        <v>14827</v>
      </c>
      <c r="F37" s="33">
        <f t="shared" si="3"/>
        <v>8.1839808799421543E-2</v>
      </c>
      <c r="G37" s="34">
        <f>N46</f>
        <v>462.24</v>
      </c>
      <c r="H37" s="35">
        <v>157</v>
      </c>
      <c r="I37" s="35">
        <v>96083</v>
      </c>
      <c r="J37" s="42">
        <v>11059</v>
      </c>
      <c r="K37" s="34">
        <v>13461</v>
      </c>
      <c r="L37" s="34">
        <f t="shared" si="4"/>
        <v>23.924800969193491</v>
      </c>
      <c r="M37" s="34">
        <f t="shared" si="5"/>
        <v>29.121235721703012</v>
      </c>
      <c r="N37" s="35">
        <f t="shared" si="6"/>
        <v>3064.9681528662422</v>
      </c>
      <c r="O37" s="36">
        <f t="shared" si="7"/>
        <v>3.6081940980881129</v>
      </c>
      <c r="P37" s="36">
        <f t="shared" si="8"/>
        <v>4.3918890274314215</v>
      </c>
      <c r="Q37" s="37">
        <v>135</v>
      </c>
      <c r="X37" s="1"/>
      <c r="Y37" s="1"/>
      <c r="Z37" s="1"/>
      <c r="AA37" s="1"/>
      <c r="AB37" s="1"/>
      <c r="AC37" s="1"/>
      <c r="AD37" s="1"/>
    </row>
    <row r="38" spans="1:30" ht="15.75" customHeight="1" x14ac:dyDescent="0.25"/>
    <row r="39" spans="1:30" ht="15.75" customHeight="1" x14ac:dyDescent="0.3">
      <c r="A39" s="1"/>
      <c r="B39" s="28" t="s">
        <v>26</v>
      </c>
      <c r="C39" s="28" t="s">
        <v>50</v>
      </c>
      <c r="D39" s="28" t="s">
        <v>51</v>
      </c>
      <c r="E39" s="28" t="s">
        <v>52</v>
      </c>
      <c r="F39" s="28" t="s">
        <v>53</v>
      </c>
      <c r="G39" s="28" t="s">
        <v>54</v>
      </c>
      <c r="H39" s="6" t="s">
        <v>11</v>
      </c>
      <c r="I39" s="6" t="s">
        <v>55</v>
      </c>
      <c r="J39" s="28" t="s">
        <v>56</v>
      </c>
      <c r="K39" s="28" t="s">
        <v>57</v>
      </c>
      <c r="L39" s="28" t="s">
        <v>58</v>
      </c>
      <c r="M39" s="28" t="s">
        <v>59</v>
      </c>
      <c r="N39" s="6" t="s">
        <v>87</v>
      </c>
      <c r="O39" s="6" t="s">
        <v>61</v>
      </c>
      <c r="P39" s="6" t="s">
        <v>62</v>
      </c>
      <c r="Q39" s="28" t="s">
        <v>63</v>
      </c>
    </row>
    <row r="40" spans="1:30" ht="15.75" customHeight="1" x14ac:dyDescent="0.3">
      <c r="A40" s="1"/>
      <c r="B40" s="47"/>
      <c r="C40" s="12" t="s">
        <v>88</v>
      </c>
      <c r="D40" s="47">
        <f t="shared" ref="D40:E40" si="10">(D36/D16)^(1/20)-1</f>
        <v>0.12969068082887558</v>
      </c>
      <c r="E40" s="47">
        <f t="shared" si="10"/>
        <v>0.15211413942887342</v>
      </c>
      <c r="F40" s="48">
        <f>MEDIAN(F16:F36)</f>
        <v>7.4737802700665254E-2</v>
      </c>
      <c r="G40" s="47">
        <f t="shared" ref="G40:K40" si="11">(G36/G16)^(1/20)-1</f>
        <v>0.14727251836865851</v>
      </c>
      <c r="H40" s="47">
        <f t="shared" si="11"/>
        <v>4.3309769778288043E-3</v>
      </c>
      <c r="I40" s="47">
        <f t="shared" si="11"/>
        <v>0.16894690398395995</v>
      </c>
      <c r="J40" s="47">
        <f t="shared" si="11"/>
        <v>0.19581446447511386</v>
      </c>
      <c r="K40" s="47">
        <f t="shared" si="11"/>
        <v>0.16922136445254354</v>
      </c>
      <c r="L40" s="49">
        <f t="shared" ref="L40:M40" si="12">MEDIAN(L16:L36)</f>
        <v>15.238095238095239</v>
      </c>
      <c r="M40" s="49">
        <f t="shared" si="12"/>
        <v>25.663826108435224</v>
      </c>
      <c r="N40" s="47">
        <f>(N36/N16)^(1/20)-1</f>
        <v>0.16205620719472269</v>
      </c>
      <c r="O40" s="50">
        <f t="shared" ref="O40:P40" si="13">MEDIAN(O16:O36)</f>
        <v>2.3670555361508905</v>
      </c>
      <c r="P40" s="50">
        <f t="shared" si="13"/>
        <v>4.4633416458852864</v>
      </c>
      <c r="Q40" s="51">
        <f>SUM(Q16:Q36)</f>
        <v>996.69799999999998</v>
      </c>
      <c r="X40" s="1"/>
      <c r="Y40" s="1"/>
      <c r="Z40" s="1"/>
      <c r="AA40" s="1"/>
      <c r="AB40" s="1"/>
      <c r="AC40" s="1"/>
      <c r="AD40" s="1"/>
    </row>
    <row r="41" spans="1:30" ht="15.75" customHeight="1" x14ac:dyDescent="0.3">
      <c r="A41" s="1"/>
      <c r="B41" s="47">
        <f>(B36/B26)^(1/10)-1</f>
        <v>5.6265971084053845E-2</v>
      </c>
      <c r="C41" s="52" t="s">
        <v>89</v>
      </c>
      <c r="D41" s="47">
        <f t="shared" ref="D41:E41" si="14">(D36/D26)^(1/10)-1</f>
        <v>0.11649391345509197</v>
      </c>
      <c r="E41" s="47">
        <f t="shared" si="14"/>
        <v>0.14600814630378256</v>
      </c>
      <c r="F41" s="48">
        <f>MEDIAN(F26:F36)</f>
        <v>7.8528724573941722E-2</v>
      </c>
      <c r="G41" s="47">
        <f t="shared" ref="G41:K41" si="15">(G36/G26)^(1/10)-1</f>
        <v>0.14143560061835991</v>
      </c>
      <c r="H41" s="47">
        <f t="shared" si="15"/>
        <v>3.9041984571119848E-3</v>
      </c>
      <c r="I41" s="47">
        <f t="shared" si="15"/>
        <v>0.14800130367983733</v>
      </c>
      <c r="J41" s="47">
        <f t="shared" si="15"/>
        <v>0.19071862174209686</v>
      </c>
      <c r="K41" s="47">
        <f t="shared" si="15"/>
        <v>0.13695869870395705</v>
      </c>
      <c r="L41" s="51">
        <f t="shared" ref="L41:M41" si="16">MEDIAN(L26:L36)</f>
        <v>23.25455333911535</v>
      </c>
      <c r="M41" s="51">
        <f t="shared" si="16"/>
        <v>35.941869021339215</v>
      </c>
      <c r="N41" s="47">
        <f>(N36/N26)^(1/10)-1</f>
        <v>0.14301125153387528</v>
      </c>
      <c r="O41" s="50">
        <f t="shared" ref="O41:P41" si="17">MEDIAN(O26:O36)</f>
        <v>3.0715797094679806</v>
      </c>
      <c r="P41" s="50">
        <f t="shared" si="17"/>
        <v>4.7421083520531031</v>
      </c>
      <c r="Q41" s="51">
        <f>SUM(Q26:Q36)</f>
        <v>810.56299999999999</v>
      </c>
      <c r="T41" s="33"/>
      <c r="X41" s="1"/>
      <c r="Y41" s="1"/>
      <c r="Z41" s="1"/>
      <c r="AA41" s="1"/>
      <c r="AB41" s="1"/>
      <c r="AC41" s="1"/>
      <c r="AD41" s="1"/>
    </row>
    <row r="42" spans="1:30" ht="15.75" customHeight="1" x14ac:dyDescent="0.3">
      <c r="A42" s="1"/>
      <c r="B42" s="47">
        <f>(B35/B30)^(1/5)-1</f>
        <v>2.7722436313666776E-2</v>
      </c>
      <c r="C42" s="12" t="s">
        <v>90</v>
      </c>
      <c r="D42" s="47">
        <f t="shared" ref="D42:E42" si="18">(D36/D31)^(1/5)-1</f>
        <v>0.15125594369532447</v>
      </c>
      <c r="E42" s="47">
        <f t="shared" si="18"/>
        <v>0.20739268121685206</v>
      </c>
      <c r="F42" s="48">
        <f>MEDIAN(F31:F36)</f>
        <v>7.2260674779717218E-2</v>
      </c>
      <c r="G42" s="47">
        <f t="shared" ref="G42:K42" si="19">(G36/G31)^(1/5)-1</f>
        <v>0.19779273252563212</v>
      </c>
      <c r="H42" s="47">
        <f t="shared" si="19"/>
        <v>7.8236396798163632E-3</v>
      </c>
      <c r="I42" s="47">
        <f t="shared" si="19"/>
        <v>0.1429491340747242</v>
      </c>
      <c r="J42" s="47">
        <f t="shared" si="19"/>
        <v>0.21581559669389083</v>
      </c>
      <c r="K42" s="47">
        <f t="shared" si="19"/>
        <v>0.12009812206539339</v>
      </c>
      <c r="L42" s="51">
        <f t="shared" ref="L42:M42" si="20">MEDIAN(L31:L36)</f>
        <v>24.618446647482621</v>
      </c>
      <c r="M42" s="51">
        <f t="shared" si="20"/>
        <v>38.710269483405625</v>
      </c>
      <c r="N42" s="47">
        <f>(N36/N31)^(1/5)-1</f>
        <v>0.13375270817561158</v>
      </c>
      <c r="O42" s="50">
        <f t="shared" ref="O42:P42" si="21">MEDIAN(O31:O36)</f>
        <v>3.0220284606321135</v>
      </c>
      <c r="P42" s="50">
        <f t="shared" si="21"/>
        <v>4.7043474171868116</v>
      </c>
      <c r="Q42" s="51">
        <f>SUM(Q31:Q36)</f>
        <v>502.65800000000002</v>
      </c>
      <c r="T42" s="33"/>
      <c r="X42" s="1"/>
      <c r="Y42" s="1"/>
      <c r="Z42" s="1"/>
      <c r="AA42" s="1"/>
      <c r="AB42" s="1"/>
      <c r="AC42" s="1"/>
      <c r="AD42" s="1"/>
    </row>
    <row r="43" spans="1:30" ht="15.75" customHeight="1" x14ac:dyDescent="0.3">
      <c r="A43" s="1"/>
      <c r="B43" s="53">
        <f>(B36/B35)-1</f>
        <v>4.6336315395844041E-2</v>
      </c>
      <c r="C43" s="12" t="s">
        <v>91</v>
      </c>
      <c r="D43" s="53">
        <f t="shared" ref="D43:E43" si="22">(D36/D35)-1</f>
        <v>7.7930042718775017E-2</v>
      </c>
      <c r="E43" s="53">
        <f t="shared" si="22"/>
        <v>7.5029655990510147E-2</v>
      </c>
      <c r="F43" s="54">
        <f>F36</f>
        <v>9.4825162020233722E-2</v>
      </c>
      <c r="G43" s="53">
        <f t="shared" ref="G43:K43" si="23">(G36/G35)-1</f>
        <v>7.5058275058275115E-2</v>
      </c>
      <c r="H43" s="53">
        <f t="shared" si="23"/>
        <v>0</v>
      </c>
      <c r="I43" s="53">
        <f t="shared" si="23"/>
        <v>0.12405386118227879</v>
      </c>
      <c r="J43" s="53">
        <f t="shared" si="23"/>
        <v>0.28029127372567753</v>
      </c>
      <c r="K43" s="53">
        <f t="shared" si="23"/>
        <v>7.4880176003771615E-2</v>
      </c>
      <c r="L43" s="55">
        <f t="shared" ref="L43:M43" si="24">L36</f>
        <v>23.25455333911535</v>
      </c>
      <c r="M43" s="55">
        <f t="shared" si="24"/>
        <v>29.66175195143105</v>
      </c>
      <c r="N43" s="53">
        <f>(N36/N35)-1</f>
        <v>0.12382642813769906</v>
      </c>
      <c r="O43" s="56">
        <f t="shared" ref="O43:P43" si="25">O36</f>
        <v>3.4992206982543639</v>
      </c>
      <c r="P43" s="56">
        <f t="shared" si="25"/>
        <v>4.4633416458852864</v>
      </c>
      <c r="Q43" s="55">
        <v>135</v>
      </c>
      <c r="S43" s="46"/>
      <c r="X43" s="1"/>
      <c r="Y43" s="1"/>
      <c r="Z43" s="1"/>
      <c r="AA43" s="1"/>
      <c r="AB43" s="1"/>
      <c r="AC43" s="1"/>
      <c r="AD43" s="1"/>
    </row>
    <row r="44" spans="1:30" ht="15.75" customHeight="1" x14ac:dyDescent="0.3">
      <c r="X44" s="1"/>
      <c r="Y44" s="1"/>
      <c r="Z44" s="1"/>
      <c r="AA44" s="1"/>
      <c r="AB44" s="1"/>
      <c r="AC44" s="1"/>
      <c r="AD44" s="1"/>
    </row>
    <row r="45" spans="1:30" ht="15.75" customHeight="1" x14ac:dyDescent="0.3">
      <c r="A45" s="29"/>
      <c r="B45" s="21" t="s">
        <v>92</v>
      </c>
      <c r="C45" s="21" t="s">
        <v>93</v>
      </c>
      <c r="D45" s="21" t="s">
        <v>94</v>
      </c>
      <c r="E45" s="21" t="s">
        <v>95</v>
      </c>
      <c r="F45" s="21" t="s">
        <v>96</v>
      </c>
      <c r="G45" s="21" t="s">
        <v>97</v>
      </c>
      <c r="H45" s="29"/>
      <c r="I45" s="19" t="s">
        <v>98</v>
      </c>
      <c r="J45" s="21" t="s">
        <v>99</v>
      </c>
      <c r="K45" s="21" t="s">
        <v>100</v>
      </c>
      <c r="L45" s="21" t="s">
        <v>101</v>
      </c>
      <c r="M45" s="21" t="s">
        <v>96</v>
      </c>
      <c r="N45" s="19" t="s">
        <v>102</v>
      </c>
      <c r="O45" s="4"/>
      <c r="P45" s="57" t="s">
        <v>103</v>
      </c>
      <c r="Q45" s="57" t="s">
        <v>102</v>
      </c>
      <c r="R45" s="57" t="s">
        <v>104</v>
      </c>
      <c r="S45" s="57" t="s">
        <v>105</v>
      </c>
    </row>
    <row r="46" spans="1:30" ht="15.75" customHeight="1" x14ac:dyDescent="0.3">
      <c r="A46" s="29"/>
      <c r="B46" s="19" t="s">
        <v>51</v>
      </c>
      <c r="C46" s="58">
        <v>0.05</v>
      </c>
      <c r="D46" s="58">
        <v>0.08</v>
      </c>
      <c r="E46" s="58">
        <v>0.08</v>
      </c>
      <c r="F46" s="58">
        <v>7.9000000000000001E-2</v>
      </c>
      <c r="G46" s="59">
        <v>9.5000000000000001E-2</v>
      </c>
      <c r="I46" s="7" t="s">
        <v>54</v>
      </c>
      <c r="J46" s="60">
        <v>98.68</v>
      </c>
      <c r="K46" s="61">
        <v>118.54</v>
      </c>
      <c r="L46" s="61">
        <v>124.4</v>
      </c>
      <c r="M46" s="61">
        <v>120.62</v>
      </c>
      <c r="N46" s="62">
        <f>SUM(J46:M46)</f>
        <v>462.24</v>
      </c>
      <c r="O46" s="4"/>
      <c r="P46" s="63">
        <v>461.2</v>
      </c>
      <c r="Q46" s="64">
        <v>462.24</v>
      </c>
      <c r="R46" s="65">
        <f>F68</f>
        <v>489.96792634096545</v>
      </c>
      <c r="S46" s="66"/>
    </row>
    <row r="47" spans="1:30" ht="15.75" customHeight="1" x14ac:dyDescent="0.35">
      <c r="A47" s="1"/>
      <c r="B47" s="19" t="s">
        <v>106</v>
      </c>
      <c r="C47" s="58">
        <v>0.08</v>
      </c>
      <c r="D47" s="58">
        <v>0.11</v>
      </c>
      <c r="E47" s="58">
        <v>0.08</v>
      </c>
      <c r="F47" s="58">
        <v>0.01</v>
      </c>
      <c r="G47" s="67">
        <v>0.06</v>
      </c>
      <c r="I47" s="29"/>
      <c r="P47" s="57" t="s">
        <v>107</v>
      </c>
      <c r="Q47" s="57" t="s">
        <v>108</v>
      </c>
      <c r="R47" s="57" t="s">
        <v>109</v>
      </c>
      <c r="S47" s="68">
        <f ca="1">R48/7</f>
        <v>4.2918261171931862</v>
      </c>
    </row>
    <row r="48" spans="1:30" ht="15.75" customHeight="1" x14ac:dyDescent="0.3">
      <c r="A48" s="1"/>
      <c r="B48" s="19" t="s">
        <v>110</v>
      </c>
      <c r="C48" s="69">
        <v>9.9000000000000005E-2</v>
      </c>
      <c r="D48" s="69">
        <v>9.5000000000000001E-2</v>
      </c>
      <c r="E48" s="69">
        <v>9.5000000000000001E-2</v>
      </c>
      <c r="F48" s="69">
        <v>9.8000000000000004E-2</v>
      </c>
      <c r="G48" s="59">
        <v>9.2999999999999999E-2</v>
      </c>
      <c r="I48" s="29"/>
      <c r="P48" s="70">
        <f>C7/P46</f>
        <v>24.982653946227234</v>
      </c>
      <c r="Q48" s="71">
        <f ca="1">C6/Q46</f>
        <v>31.844929041190724</v>
      </c>
      <c r="R48" s="65">
        <f ca="1">C6/R46</f>
        <v>30.042782820352304</v>
      </c>
      <c r="S48" s="66"/>
    </row>
    <row r="49" spans="1:26" ht="15.75" customHeight="1" x14ac:dyDescent="0.3">
      <c r="A49" s="1"/>
      <c r="B49" s="21" t="s">
        <v>111</v>
      </c>
      <c r="C49" s="72" t="str">
        <f ca="1">IFERROR(__xludf.DUMMYFUNCTION("SPARKLINE(GOOGLEFINANCE(B6,""PRICE"",TODAY()-365,TODAY()))"),"")</f>
        <v/>
      </c>
      <c r="D49" s="73"/>
      <c r="E49" s="73"/>
      <c r="F49" s="73"/>
      <c r="G49" s="74"/>
      <c r="J49" s="4"/>
      <c r="L49" s="4"/>
      <c r="M49" s="1"/>
      <c r="N49" s="1"/>
      <c r="O49" s="1"/>
      <c r="P49" s="1"/>
    </row>
    <row r="50" spans="1:26" ht="15.75" customHeight="1" x14ac:dyDescent="0.3">
      <c r="A50" s="1"/>
      <c r="P50" s="4"/>
      <c r="W50" s="75" t="s">
        <v>112</v>
      </c>
      <c r="X50" s="76"/>
      <c r="Y50" s="1"/>
      <c r="Z50" s="1"/>
    </row>
    <row r="51" spans="1:26" ht="15.75" customHeight="1" x14ac:dyDescent="0.3">
      <c r="A51" s="1"/>
      <c r="B51" s="21" t="s">
        <v>113</v>
      </c>
      <c r="C51" s="21" t="s">
        <v>114</v>
      </c>
      <c r="D51" s="21" t="s">
        <v>115</v>
      </c>
      <c r="E51" s="19" t="s">
        <v>26</v>
      </c>
      <c r="F51" s="4"/>
      <c r="G51" s="21" t="s">
        <v>113</v>
      </c>
      <c r="H51" s="21" t="s">
        <v>116</v>
      </c>
      <c r="I51" s="21" t="s">
        <v>117</v>
      </c>
      <c r="J51" s="19" t="s">
        <v>26</v>
      </c>
      <c r="L51" s="21" t="s">
        <v>113</v>
      </c>
      <c r="M51" s="21" t="s">
        <v>95</v>
      </c>
      <c r="N51" s="21" t="s">
        <v>118</v>
      </c>
      <c r="O51" s="19" t="s">
        <v>26</v>
      </c>
      <c r="P51" s="4"/>
      <c r="Q51" s="19" t="s">
        <v>119</v>
      </c>
      <c r="R51" s="21" t="s">
        <v>114</v>
      </c>
      <c r="S51" s="21" t="s">
        <v>115</v>
      </c>
      <c r="T51" s="19" t="s">
        <v>120</v>
      </c>
      <c r="U51" s="19" t="s">
        <v>26</v>
      </c>
      <c r="W51" s="21" t="s">
        <v>121</v>
      </c>
      <c r="X51" s="21" t="s">
        <v>114</v>
      </c>
      <c r="Y51" s="19" t="s">
        <v>120</v>
      </c>
      <c r="Z51" s="19" t="s">
        <v>26</v>
      </c>
    </row>
    <row r="52" spans="1:26" ht="15.75" customHeight="1" x14ac:dyDescent="0.3">
      <c r="A52" s="1"/>
      <c r="B52" s="12" t="s">
        <v>8</v>
      </c>
      <c r="C52" s="52">
        <v>527861</v>
      </c>
      <c r="D52" s="55">
        <v>521868</v>
      </c>
      <c r="E52" s="33">
        <f>(C52/D52)-1</f>
        <v>1.1483746847861909E-2</v>
      </c>
      <c r="F52" s="4"/>
      <c r="G52" s="12" t="s">
        <v>8</v>
      </c>
      <c r="H52" s="52">
        <v>604635</v>
      </c>
      <c r="I52" s="55">
        <v>584031</v>
      </c>
      <c r="J52" s="33">
        <f t="shared" ref="J52:J58" si="26">(H52/I52)^(1/1)-1</f>
        <v>3.5278949233859214E-2</v>
      </c>
      <c r="K52" s="46"/>
      <c r="L52" s="12" t="s">
        <v>8</v>
      </c>
      <c r="M52" s="52">
        <v>2234266</v>
      </c>
      <c r="N52" s="55">
        <v>2135323</v>
      </c>
      <c r="O52" s="33">
        <f>(M52/N52)-1</f>
        <v>4.6336315395844041E-2</v>
      </c>
      <c r="P52" s="4"/>
      <c r="Q52" s="7" t="s">
        <v>122</v>
      </c>
      <c r="R52" s="7">
        <v>219368</v>
      </c>
      <c r="S52" s="7">
        <v>202472</v>
      </c>
      <c r="T52" s="23">
        <f t="shared" ref="T52:T59" si="27">R52/$R$61</f>
        <v>0.61645506303146791</v>
      </c>
      <c r="U52" s="23">
        <f t="shared" ref="U52:U59" si="28">(R52/S52)^(1/1)-1</f>
        <v>8.3448575605515884E-2</v>
      </c>
      <c r="W52" s="7" t="s">
        <v>123</v>
      </c>
      <c r="X52" s="7">
        <v>19522</v>
      </c>
      <c r="Y52" s="17">
        <f t="shared" ref="Y52:Y61" si="29">X52/$X$63</f>
        <v>3.6983220961578897E-2</v>
      </c>
      <c r="Z52" s="23">
        <v>-0.36599999999999999</v>
      </c>
    </row>
    <row r="53" spans="1:26" ht="15.75" customHeight="1" x14ac:dyDescent="0.3">
      <c r="A53" s="1"/>
      <c r="B53" s="12" t="s">
        <v>51</v>
      </c>
      <c r="C53" s="52">
        <v>386052</v>
      </c>
      <c r="D53" s="52">
        <v>357794</v>
      </c>
      <c r="E53" s="33">
        <f t="shared" ref="E53:E58" si="30">(C53/D53)^(1/1)-1</f>
        <v>7.8978406569143234E-2</v>
      </c>
      <c r="F53" s="4"/>
      <c r="G53" s="12" t="s">
        <v>51</v>
      </c>
      <c r="H53" s="52">
        <v>40920</v>
      </c>
      <c r="I53" s="52">
        <v>38471</v>
      </c>
      <c r="J53" s="33">
        <f t="shared" si="26"/>
        <v>6.3658340048348139E-2</v>
      </c>
      <c r="K53" s="46"/>
      <c r="L53" s="12" t="s">
        <v>51</v>
      </c>
      <c r="M53" s="52">
        <v>152913</v>
      </c>
      <c r="N53" s="52">
        <v>141858</v>
      </c>
      <c r="O53" s="33">
        <f t="shared" ref="O53:O55" si="31">(M53/N53)^(1/1)-1</f>
        <v>7.7930042718775017E-2</v>
      </c>
      <c r="P53" s="4"/>
      <c r="Q53" s="7" t="s">
        <v>124</v>
      </c>
      <c r="R53" s="7">
        <v>57038</v>
      </c>
      <c r="S53" s="7">
        <v>56047</v>
      </c>
      <c r="T53" s="23">
        <f t="shared" si="27"/>
        <v>0.16028483591585313</v>
      </c>
      <c r="U53" s="23">
        <f t="shared" si="28"/>
        <v>1.7681588666654813E-2</v>
      </c>
      <c r="W53" s="7" t="s">
        <v>125</v>
      </c>
      <c r="X53" s="7">
        <v>177270</v>
      </c>
      <c r="Y53" s="17">
        <f t="shared" si="29"/>
        <v>0.33582704537747626</v>
      </c>
      <c r="Z53" s="23">
        <v>-6.3E-2</v>
      </c>
    </row>
    <row r="54" spans="1:26" ht="15.75" customHeight="1" x14ac:dyDescent="0.3">
      <c r="A54" s="1"/>
      <c r="B54" s="12" t="s">
        <v>126</v>
      </c>
      <c r="C54" s="52">
        <v>355854</v>
      </c>
      <c r="D54" s="52">
        <v>320618</v>
      </c>
      <c r="E54" s="77">
        <f t="shared" si="30"/>
        <v>0.10990025513227586</v>
      </c>
      <c r="F54" s="1"/>
      <c r="G54" s="12" t="s">
        <v>127</v>
      </c>
      <c r="H54" s="52">
        <v>37585</v>
      </c>
      <c r="I54" s="52">
        <v>34625</v>
      </c>
      <c r="J54" s="77">
        <f t="shared" si="26"/>
        <v>8.5487364620938644E-2</v>
      </c>
      <c r="L54" s="12" t="s">
        <v>126</v>
      </c>
      <c r="M54" s="52">
        <v>138559</v>
      </c>
      <c r="N54" s="52">
        <v>128781</v>
      </c>
      <c r="O54" s="77">
        <f t="shared" si="31"/>
        <v>7.5927349531375032E-2</v>
      </c>
      <c r="P54" s="78"/>
      <c r="Q54" s="12" t="s">
        <v>128</v>
      </c>
      <c r="R54" s="12">
        <v>-2794</v>
      </c>
      <c r="S54" s="12">
        <v>-10904</v>
      </c>
      <c r="T54" s="23">
        <f t="shared" si="27"/>
        <v>-7.8515346181299069E-3</v>
      </c>
      <c r="U54" s="23">
        <f t="shared" si="28"/>
        <v>-0.74376375641966253</v>
      </c>
      <c r="W54" s="12" t="s">
        <v>129</v>
      </c>
      <c r="X54" s="12">
        <f>SUM(X52:X53)</f>
        <v>196792</v>
      </c>
      <c r="Y54" s="17">
        <f t="shared" si="29"/>
        <v>0.37281026633905517</v>
      </c>
      <c r="Z54" s="23">
        <v>-0.106</v>
      </c>
    </row>
    <row r="55" spans="1:26" ht="15.75" customHeight="1" x14ac:dyDescent="0.3">
      <c r="A55" s="1"/>
      <c r="B55" s="12" t="s">
        <v>130</v>
      </c>
      <c r="C55" s="52">
        <v>468</v>
      </c>
      <c r="D55" s="52">
        <v>573</v>
      </c>
      <c r="E55" s="77">
        <f t="shared" si="30"/>
        <v>-0.18324607329842935</v>
      </c>
      <c r="F55" s="4"/>
      <c r="G55" s="12" t="s">
        <v>130</v>
      </c>
      <c r="H55" s="52">
        <v>48</v>
      </c>
      <c r="I55" s="52">
        <v>76</v>
      </c>
      <c r="J55" s="77">
        <f t="shared" si="26"/>
        <v>-0.36842105263157898</v>
      </c>
      <c r="L55" s="12" t="s">
        <v>130</v>
      </c>
      <c r="M55" s="52">
        <v>194</v>
      </c>
      <c r="N55" s="52">
        <v>194</v>
      </c>
      <c r="O55" s="77">
        <f t="shared" si="31"/>
        <v>0</v>
      </c>
      <c r="P55" s="4"/>
      <c r="Q55" s="7" t="s">
        <v>131</v>
      </c>
      <c r="R55" s="7">
        <v>20483</v>
      </c>
      <c r="S55" s="7">
        <v>17579</v>
      </c>
      <c r="T55" s="23">
        <f t="shared" si="27"/>
        <v>5.7560122971780564E-2</v>
      </c>
      <c r="U55" s="23">
        <f t="shared" si="28"/>
        <v>0.16519711018829275</v>
      </c>
      <c r="W55" s="7" t="s">
        <v>132</v>
      </c>
      <c r="X55" s="7">
        <v>1807</v>
      </c>
      <c r="Y55" s="17">
        <f t="shared" si="29"/>
        <v>3.4232496812607867E-3</v>
      </c>
      <c r="Z55" s="23">
        <v>-0.16700000000000001</v>
      </c>
    </row>
    <row r="56" spans="1:26" ht="15.75" customHeight="1" x14ac:dyDescent="0.3">
      <c r="A56" s="1"/>
      <c r="B56" s="29" t="s">
        <v>133</v>
      </c>
      <c r="C56" s="29">
        <f t="shared" ref="C56:D56" si="32">C53-C54+C55</f>
        <v>30666</v>
      </c>
      <c r="D56" s="29">
        <f t="shared" si="32"/>
        <v>37749</v>
      </c>
      <c r="E56" s="77">
        <f t="shared" si="30"/>
        <v>-0.18763410951283477</v>
      </c>
      <c r="G56" s="29" t="s">
        <v>133</v>
      </c>
      <c r="H56" s="29">
        <f t="shared" ref="H56:I56" si="33">H53-H54+H55</f>
        <v>3383</v>
      </c>
      <c r="I56" s="29">
        <f t="shared" si="33"/>
        <v>3922</v>
      </c>
      <c r="J56" s="77">
        <f t="shared" si="26"/>
        <v>-0.13742988271290157</v>
      </c>
      <c r="L56" s="79" t="s">
        <v>133</v>
      </c>
      <c r="M56" s="80">
        <f t="shared" ref="M56:N56" si="34">M53-M54+M55</f>
        <v>14548</v>
      </c>
      <c r="N56" s="80">
        <f t="shared" si="34"/>
        <v>13271</v>
      </c>
      <c r="O56" s="81">
        <f>(M56/N56)^(1/1)-1</f>
        <v>9.622485117926316E-2</v>
      </c>
      <c r="P56" s="4"/>
      <c r="Q56" s="12" t="s">
        <v>134</v>
      </c>
      <c r="R56" s="12">
        <v>468</v>
      </c>
      <c r="S56" s="12">
        <v>573</v>
      </c>
      <c r="T56" s="23">
        <f t="shared" si="27"/>
        <v>1.315146099242948E-3</v>
      </c>
      <c r="U56" s="23">
        <f t="shared" si="28"/>
        <v>-0.18324607329842935</v>
      </c>
      <c r="W56" s="12" t="s">
        <v>135</v>
      </c>
      <c r="X56" s="12">
        <v>161868</v>
      </c>
      <c r="Y56" s="17">
        <f t="shared" si="29"/>
        <v>0.30664890946669671</v>
      </c>
      <c r="Z56" s="23">
        <v>-8.0000000000000002E-3</v>
      </c>
    </row>
    <row r="57" spans="1:26" ht="15.75" customHeight="1" x14ac:dyDescent="0.3">
      <c r="A57" s="1"/>
      <c r="B57" s="12" t="s">
        <v>52</v>
      </c>
      <c r="C57" s="52">
        <v>37924</v>
      </c>
      <c r="D57" s="52">
        <v>37597</v>
      </c>
      <c r="E57" s="77">
        <f t="shared" si="30"/>
        <v>8.6975024603026529E-3</v>
      </c>
      <c r="F57" s="4"/>
      <c r="G57" s="12" t="s">
        <v>52</v>
      </c>
      <c r="H57" s="52">
        <v>3911</v>
      </c>
      <c r="I57" s="52">
        <v>3952</v>
      </c>
      <c r="J57" s="77">
        <f t="shared" si="26"/>
        <v>-1.0374493927125528E-2</v>
      </c>
      <c r="L57" s="12" t="s">
        <v>52</v>
      </c>
      <c r="M57" s="52">
        <v>14500</v>
      </c>
      <c r="N57" s="52">
        <v>13488</v>
      </c>
      <c r="O57" s="77">
        <f t="shared" ref="O57:O58" si="35">(M57/N57)^(1/1)-1</f>
        <v>7.5029655990510147E-2</v>
      </c>
      <c r="P57" s="4"/>
      <c r="Q57" s="7" t="s">
        <v>136</v>
      </c>
      <c r="R57" s="52">
        <v>15560</v>
      </c>
      <c r="S57" s="52">
        <v>13317</v>
      </c>
      <c r="T57" s="23">
        <f t="shared" si="27"/>
        <v>4.3725797658590318E-2</v>
      </c>
      <c r="U57" s="23">
        <f t="shared" si="28"/>
        <v>0.16843132837726205</v>
      </c>
      <c r="W57" s="7" t="s">
        <v>137</v>
      </c>
      <c r="X57" s="7">
        <v>33105</v>
      </c>
      <c r="Y57" s="17">
        <f t="shared" si="29"/>
        <v>6.2715373933668148E-2</v>
      </c>
      <c r="Z57" s="23">
        <v>-0.02</v>
      </c>
    </row>
    <row r="58" spans="1:26" ht="15.75" customHeight="1" x14ac:dyDescent="0.3">
      <c r="A58" s="1"/>
      <c r="B58" s="12" t="s">
        <v>54</v>
      </c>
      <c r="C58" s="82">
        <v>120.62</v>
      </c>
      <c r="D58" s="83">
        <v>119.58</v>
      </c>
      <c r="E58" s="77">
        <f t="shared" si="30"/>
        <v>8.6971065395551328E-3</v>
      </c>
      <c r="F58" s="4"/>
      <c r="G58" s="12" t="s">
        <v>54</v>
      </c>
      <c r="H58" s="82">
        <v>124.4</v>
      </c>
      <c r="I58" s="82">
        <v>125.71</v>
      </c>
      <c r="J58" s="77">
        <f t="shared" si="26"/>
        <v>-1.0420809800333997E-2</v>
      </c>
      <c r="L58" s="12" t="s">
        <v>54</v>
      </c>
      <c r="M58" s="83">
        <v>461.2</v>
      </c>
      <c r="N58" s="83">
        <v>429.01</v>
      </c>
      <c r="O58" s="77">
        <f t="shared" si="35"/>
        <v>7.5033216008950854E-2</v>
      </c>
      <c r="P58" s="4"/>
      <c r="Q58" s="7" t="s">
        <v>138</v>
      </c>
      <c r="R58" s="7">
        <v>46615</v>
      </c>
      <c r="S58" s="7">
        <v>43226</v>
      </c>
      <c r="T58" s="23">
        <f t="shared" si="27"/>
        <v>0.13099473379532056</v>
      </c>
      <c r="U58" s="23">
        <f t="shared" si="28"/>
        <v>7.8401887752741484E-2</v>
      </c>
      <c r="W58" s="7" t="s">
        <v>139</v>
      </c>
      <c r="X58" s="7">
        <v>8510</v>
      </c>
      <c r="Y58" s="17">
        <f t="shared" si="29"/>
        <v>1.612166839376275E-2</v>
      </c>
      <c r="Z58" s="23">
        <v>7.0999999999999994E-2</v>
      </c>
    </row>
    <row r="59" spans="1:26" ht="15.75" customHeight="1" x14ac:dyDescent="0.3">
      <c r="A59" s="1"/>
      <c r="B59" s="12" t="s">
        <v>140</v>
      </c>
      <c r="C59" s="33">
        <f t="shared" ref="C59:D59" si="36">C56/C53</f>
        <v>7.9434894781013954E-2</v>
      </c>
      <c r="D59" s="33">
        <f t="shared" si="36"/>
        <v>0.10550484356920463</v>
      </c>
      <c r="E59" s="33">
        <f t="shared" ref="E59:E61" si="37">C59-D59</f>
        <v>-2.6069948788190675E-2</v>
      </c>
      <c r="F59" s="4"/>
      <c r="G59" s="12" t="s">
        <v>140</v>
      </c>
      <c r="H59" s="33">
        <f t="shared" ref="H59:I59" si="38">H56/H53</f>
        <v>8.2673509286412511E-2</v>
      </c>
      <c r="I59" s="33">
        <f t="shared" si="38"/>
        <v>0.10194692105741987</v>
      </c>
      <c r="J59" s="33">
        <f t="shared" ref="J59:J61" si="39">H59-I59</f>
        <v>-1.9273411771007359E-2</v>
      </c>
      <c r="L59" s="14" t="s">
        <v>140</v>
      </c>
      <c r="M59" s="59">
        <f t="shared" ref="M59:N59" si="40">M56/M53</f>
        <v>9.5139066004852432E-2</v>
      </c>
      <c r="N59" s="59">
        <f t="shared" si="40"/>
        <v>9.3551297776649889E-2</v>
      </c>
      <c r="O59" s="84">
        <f t="shared" ref="O59:O61" si="41">M59-N59</f>
        <v>1.5877682282025435E-3</v>
      </c>
      <c r="P59" s="4"/>
      <c r="Q59" s="15" t="s">
        <v>141</v>
      </c>
      <c r="R59" s="15">
        <v>-884</v>
      </c>
      <c r="S59" s="7">
        <v>-1692</v>
      </c>
      <c r="T59" s="23">
        <f t="shared" si="27"/>
        <v>-2.4841648541255685E-3</v>
      </c>
      <c r="U59" s="23">
        <f t="shared" si="28"/>
        <v>-0.47754137115839246</v>
      </c>
      <c r="W59" s="7" t="s">
        <v>142</v>
      </c>
      <c r="X59" s="7">
        <v>28807</v>
      </c>
      <c r="Y59" s="17">
        <f t="shared" si="29"/>
        <v>5.457307889766435E-2</v>
      </c>
      <c r="Z59" s="23">
        <v>0.188</v>
      </c>
    </row>
    <row r="60" spans="1:26" ht="15.75" customHeight="1" thickBot="1" x14ac:dyDescent="0.35">
      <c r="A60" s="1"/>
      <c r="B60" s="12" t="s">
        <v>53</v>
      </c>
      <c r="C60" s="33">
        <f t="shared" ref="C60:D60" si="42">C57/C53</f>
        <v>9.8235470869209335E-2</v>
      </c>
      <c r="D60" s="33">
        <f t="shared" si="42"/>
        <v>0.10508001811098006</v>
      </c>
      <c r="E60" s="33">
        <f t="shared" si="37"/>
        <v>-6.8445472417707209E-3</v>
      </c>
      <c r="F60" s="4"/>
      <c r="G60" s="12" t="s">
        <v>53</v>
      </c>
      <c r="H60" s="33">
        <f t="shared" ref="H60:I60" si="43">H57/H53</f>
        <v>9.5576735092864129E-2</v>
      </c>
      <c r="I60" s="33">
        <f t="shared" si="43"/>
        <v>0.10272672922461075</v>
      </c>
      <c r="J60" s="33">
        <f t="shared" si="39"/>
        <v>-7.1499941317466204E-3</v>
      </c>
      <c r="L60" s="12" t="s">
        <v>53</v>
      </c>
      <c r="M60" s="33">
        <f t="shared" ref="M60:N60" si="44">M57/M53</f>
        <v>9.4825162020233722E-2</v>
      </c>
      <c r="N60" s="33">
        <f t="shared" si="44"/>
        <v>9.5080996489447192E-2</v>
      </c>
      <c r="O60" s="33">
        <f t="shared" si="41"/>
        <v>-2.5583446921347008E-4</v>
      </c>
      <c r="P60" s="4"/>
      <c r="W60" s="7" t="s">
        <v>143</v>
      </c>
      <c r="X60" s="7">
        <f>SUM(X54:X59)</f>
        <v>430889</v>
      </c>
      <c r="Y60" s="17">
        <f t="shared" si="29"/>
        <v>0.81629254671210794</v>
      </c>
      <c r="Z60" s="23">
        <v>-4.4999999999999998E-2</v>
      </c>
    </row>
    <row r="61" spans="1:26" ht="15.75" customHeight="1" thickTop="1" x14ac:dyDescent="0.3">
      <c r="A61" s="1"/>
      <c r="B61" s="12" t="s">
        <v>39</v>
      </c>
      <c r="C61" s="85">
        <f t="shared" ref="C61:D61" si="45">(C53-C54+C55)/C55</f>
        <v>65.525641025641022</v>
      </c>
      <c r="D61" s="85">
        <f t="shared" si="45"/>
        <v>65.879581151832454</v>
      </c>
      <c r="E61" s="86">
        <f t="shared" si="37"/>
        <v>-0.35394012619143211</v>
      </c>
      <c r="G61" s="12" t="s">
        <v>39</v>
      </c>
      <c r="H61" s="85">
        <f t="shared" ref="H61:I61" si="46">(H53-H54+H55)/H55</f>
        <v>70.479166666666671</v>
      </c>
      <c r="I61" s="85">
        <f t="shared" si="46"/>
        <v>51.60526315789474</v>
      </c>
      <c r="J61" s="86">
        <f t="shared" si="39"/>
        <v>18.873903508771932</v>
      </c>
      <c r="L61" s="12" t="s">
        <v>39</v>
      </c>
      <c r="M61" s="85">
        <f t="shared" ref="M61:N61" si="47">(M53-M54+M55)/M55</f>
        <v>74.989690721649481</v>
      </c>
      <c r="N61" s="85">
        <f t="shared" si="47"/>
        <v>68.407216494845358</v>
      </c>
      <c r="O61" s="86">
        <f t="shared" si="41"/>
        <v>6.5824742268041234</v>
      </c>
      <c r="P61" s="4"/>
      <c r="Q61" s="87" t="s">
        <v>144</v>
      </c>
      <c r="R61" s="87">
        <f t="shared" ref="R61:S61" si="48">SUM(R52:R59)</f>
        <v>355854</v>
      </c>
      <c r="S61" s="87">
        <f t="shared" si="48"/>
        <v>320618</v>
      </c>
      <c r="T61" s="88">
        <f>R61/$R$61</f>
        <v>1</v>
      </c>
      <c r="U61" s="88">
        <f>(R61/S61)^(1/1)-1</f>
        <v>0.10990025513227586</v>
      </c>
      <c r="W61" s="7" t="s">
        <v>145</v>
      </c>
      <c r="X61" s="7">
        <v>96972</v>
      </c>
      <c r="Y61" s="17">
        <f t="shared" si="29"/>
        <v>0.18370745328789206</v>
      </c>
      <c r="Z61" s="23">
        <v>0.374</v>
      </c>
    </row>
    <row r="62" spans="1:26" ht="15.75" customHeight="1" x14ac:dyDescent="0.3">
      <c r="A62" s="1"/>
      <c r="I62" s="4"/>
      <c r="J62" s="4"/>
      <c r="K62" s="4"/>
      <c r="L62" s="4"/>
      <c r="M62" s="4"/>
      <c r="N62" s="4"/>
      <c r="O62" s="4"/>
      <c r="P62" s="4"/>
      <c r="W62" s="7"/>
      <c r="X62" s="7"/>
    </row>
    <row r="63" spans="1:26" ht="15.75" customHeight="1" x14ac:dyDescent="0.3">
      <c r="A63" s="1"/>
      <c r="B63" s="19" t="s">
        <v>146</v>
      </c>
      <c r="C63" s="19" t="s">
        <v>50</v>
      </c>
      <c r="D63" s="19" t="s">
        <v>51</v>
      </c>
      <c r="E63" s="19" t="s">
        <v>52</v>
      </c>
      <c r="F63" s="19" t="s">
        <v>54</v>
      </c>
      <c r="G63" s="19" t="s">
        <v>110</v>
      </c>
      <c r="I63" s="4"/>
      <c r="J63" s="4"/>
      <c r="K63" s="4"/>
      <c r="L63" s="4"/>
      <c r="M63" s="4"/>
      <c r="N63" s="4"/>
      <c r="O63" s="4"/>
      <c r="P63" s="4"/>
      <c r="W63" s="89" t="s">
        <v>147</v>
      </c>
      <c r="X63" s="89">
        <f>SUM(X61+X60)</f>
        <v>527861</v>
      </c>
      <c r="Y63" s="90">
        <f>X63/$X$63</f>
        <v>1</v>
      </c>
      <c r="Z63" s="91">
        <v>1.0999999999999999E-2</v>
      </c>
    </row>
    <row r="64" spans="1:26" ht="15.75" customHeight="1" x14ac:dyDescent="0.3">
      <c r="A64" s="1"/>
      <c r="B64" s="58">
        <v>0</v>
      </c>
      <c r="C64" s="14" t="s">
        <v>148</v>
      </c>
      <c r="D64" s="59">
        <v>9.5000000000000001E-2</v>
      </c>
      <c r="E64" s="92">
        <f>(E68/E36)-1</f>
        <v>6.23762496551723E-2</v>
      </c>
      <c r="F64" s="92">
        <f>E64</f>
        <v>6.23762496551723E-2</v>
      </c>
      <c r="G64" s="93">
        <v>9.1999999999999998E-2</v>
      </c>
      <c r="I64" s="4"/>
      <c r="J64" s="4"/>
      <c r="K64" s="4"/>
      <c r="L64" s="4"/>
      <c r="M64" s="4"/>
      <c r="N64" s="1"/>
      <c r="O64" s="4"/>
      <c r="P64" s="4"/>
    </row>
    <row r="65" spans="1:30" ht="15.75" customHeight="1" x14ac:dyDescent="0.3">
      <c r="A65" s="1"/>
      <c r="B65" s="67">
        <v>7.0000000000000007E-2</v>
      </c>
      <c r="C65" s="7" t="s">
        <v>149</v>
      </c>
      <c r="D65" s="67">
        <v>0.12</v>
      </c>
      <c r="E65" s="67">
        <v>0.12</v>
      </c>
      <c r="F65" s="67">
        <v>0.12</v>
      </c>
      <c r="G65" s="59">
        <f>AVERAGE(F40:F43)</f>
        <v>8.0088091018639479E-2</v>
      </c>
      <c r="I65" s="4"/>
      <c r="J65" s="4"/>
      <c r="K65" s="4"/>
      <c r="L65" s="94"/>
      <c r="M65" s="94"/>
      <c r="N65" s="1"/>
      <c r="O65" s="4"/>
      <c r="P65" s="4"/>
      <c r="W65" s="28" t="s">
        <v>150</v>
      </c>
      <c r="X65" s="95" t="s">
        <v>151</v>
      </c>
      <c r="Y65" s="95" t="s">
        <v>82</v>
      </c>
      <c r="Z65" s="95" t="s">
        <v>76</v>
      </c>
      <c r="AA65" s="95" t="s">
        <v>27</v>
      </c>
    </row>
    <row r="66" spans="1:30" ht="15.75" customHeight="1" x14ac:dyDescent="0.3">
      <c r="A66" s="1"/>
      <c r="B66" s="4"/>
      <c r="C66" s="96"/>
      <c r="D66" s="4"/>
      <c r="E66" s="4"/>
      <c r="F66" s="4"/>
      <c r="G66" s="4"/>
      <c r="H66" s="4"/>
      <c r="I66" s="4"/>
      <c r="J66" s="4"/>
      <c r="K66" s="4"/>
      <c r="L66" s="4"/>
      <c r="M66" s="4"/>
      <c r="N66" s="1"/>
      <c r="O66" s="4"/>
      <c r="P66" s="4"/>
      <c r="W66" s="97" t="s">
        <v>152</v>
      </c>
      <c r="X66" s="4">
        <v>58.2</v>
      </c>
      <c r="Y66" s="78">
        <v>56.5</v>
      </c>
      <c r="Z66" s="98">
        <v>56</v>
      </c>
      <c r="AA66" s="99">
        <f t="shared" ref="AA66:AA69" si="49">(Y66/Z66)-1</f>
        <v>8.9285714285713969E-3</v>
      </c>
    </row>
    <row r="67" spans="1:30" ht="15.75" customHeight="1" x14ac:dyDescent="0.3">
      <c r="A67" s="1"/>
      <c r="B67" s="100" t="s">
        <v>153</v>
      </c>
      <c r="C67" s="101" t="s">
        <v>50</v>
      </c>
      <c r="D67" s="100" t="s">
        <v>51</v>
      </c>
      <c r="E67" s="100" t="s">
        <v>52</v>
      </c>
      <c r="F67" s="100" t="s">
        <v>54</v>
      </c>
      <c r="G67" s="102" t="s">
        <v>87</v>
      </c>
      <c r="H67" s="100" t="s">
        <v>154</v>
      </c>
      <c r="I67" s="100" t="s">
        <v>155</v>
      </c>
      <c r="J67" s="100" t="s">
        <v>156</v>
      </c>
      <c r="K67" s="100" t="s">
        <v>157</v>
      </c>
      <c r="L67" s="100" t="s">
        <v>155</v>
      </c>
      <c r="M67" s="100" t="s">
        <v>158</v>
      </c>
      <c r="N67" s="100" t="s">
        <v>157</v>
      </c>
      <c r="O67" s="100" t="s">
        <v>159</v>
      </c>
      <c r="P67" s="4"/>
      <c r="U67" s="4"/>
      <c r="V67" s="4"/>
      <c r="W67" s="4" t="s">
        <v>160</v>
      </c>
      <c r="X67" s="4"/>
      <c r="Y67" s="98">
        <f>8.22+0.13+5.33+4.81</f>
        <v>18.490000000000002</v>
      </c>
      <c r="Z67" s="98">
        <f>6.07+6.5+4.26</f>
        <v>16.829999999999998</v>
      </c>
      <c r="AA67" s="99">
        <f t="shared" si="49"/>
        <v>9.8633392751040105E-2</v>
      </c>
      <c r="AB67" s="1"/>
      <c r="AC67" s="1"/>
      <c r="AD67" s="1"/>
    </row>
    <row r="68" spans="1:30" ht="15.75" customHeight="1" x14ac:dyDescent="0.3">
      <c r="A68" s="1"/>
      <c r="B68" s="103">
        <f>FV(B64,1,0,-B36,0)</f>
        <v>2234266</v>
      </c>
      <c r="C68" s="104" t="s">
        <v>148</v>
      </c>
      <c r="D68" s="103">
        <f>FV(D64,1,0,-D36,0)</f>
        <v>167439.73499999999</v>
      </c>
      <c r="E68" s="105">
        <f t="shared" ref="E68:E69" si="50">D68*G64</f>
        <v>15404.455619999999</v>
      </c>
      <c r="F68" s="103">
        <f>FV(F64,1,0,-G36,0)</f>
        <v>489.96792634096545</v>
      </c>
      <c r="G68" s="103">
        <f>(F68*75%)+N36</f>
        <v>3432.4440976219662</v>
      </c>
      <c r="H68" s="106">
        <f t="shared" ref="H68:H70" si="51">F68*25</f>
        <v>12249.198158524136</v>
      </c>
      <c r="I68" s="107">
        <f t="shared" ref="I68:I70" si="52">22*F68</f>
        <v>10779.29437950124</v>
      </c>
      <c r="J68" s="107">
        <f t="shared" ref="J68:J70" si="53">AVERAGE(I68,K68)</f>
        <v>13229.134011206068</v>
      </c>
      <c r="K68" s="107">
        <f t="shared" ref="K68:K70" si="54">32*F68</f>
        <v>15678.973642910894</v>
      </c>
      <c r="L68" s="108">
        <f t="shared" ref="L68:L70" si="55">3*G68</f>
        <v>10297.332292865898</v>
      </c>
      <c r="M68" s="107">
        <f t="shared" ref="M68:M70" si="56">AVERAGE(L68,N68)</f>
        <v>13043.287570963472</v>
      </c>
      <c r="N68" s="108">
        <f t="shared" ref="N68:N70" si="57">4.6*G68</f>
        <v>15789.242849061044</v>
      </c>
      <c r="O68" s="107">
        <f t="shared" ref="O68:O70" si="58">J68*60%+M68*40%</f>
        <v>13154.79543510903</v>
      </c>
      <c r="P68" s="4"/>
      <c r="W68" s="1" t="s">
        <v>161</v>
      </c>
      <c r="X68" s="4"/>
      <c r="Y68" s="109">
        <f>22.57</f>
        <v>22.57</v>
      </c>
      <c r="Z68" s="98">
        <v>23.95</v>
      </c>
      <c r="AA68" s="99">
        <f t="shared" si="49"/>
        <v>-5.7620041753653428E-2</v>
      </c>
      <c r="AB68" s="1"/>
      <c r="AC68" s="1"/>
      <c r="AD68" s="1"/>
    </row>
    <row r="69" spans="1:30" ht="15.75" customHeight="1" thickBot="1" x14ac:dyDescent="0.35">
      <c r="A69" s="1"/>
      <c r="B69" s="106">
        <f>FV(B65,4,0,-B68,0)</f>
        <v>2928666.9580786601</v>
      </c>
      <c r="C69" s="110" t="s">
        <v>149</v>
      </c>
      <c r="D69" s="106">
        <f>FV(D65,4,0,-D68,0)</f>
        <v>263469.66465576965</v>
      </c>
      <c r="E69" s="106">
        <f t="shared" si="50"/>
        <v>21100.782483601703</v>
      </c>
      <c r="F69" s="106">
        <f>(E69*F68)/E68</f>
        <v>671.15040561635203</v>
      </c>
      <c r="G69" s="106">
        <f>FV(9%,4,0,-G68,0)</f>
        <v>4845.1749655562135</v>
      </c>
      <c r="H69" s="106">
        <f t="shared" si="51"/>
        <v>16778.760140408802</v>
      </c>
      <c r="I69" s="107">
        <f t="shared" si="52"/>
        <v>14765.308923559745</v>
      </c>
      <c r="J69" s="107">
        <f t="shared" si="53"/>
        <v>18121.060951641506</v>
      </c>
      <c r="K69" s="107">
        <f t="shared" si="54"/>
        <v>21476.812979723265</v>
      </c>
      <c r="L69" s="108">
        <f t="shared" si="55"/>
        <v>14535.524896668641</v>
      </c>
      <c r="M69" s="107">
        <f t="shared" si="56"/>
        <v>18411.664869113611</v>
      </c>
      <c r="N69" s="108">
        <f t="shared" si="57"/>
        <v>22287.80484155858</v>
      </c>
      <c r="O69" s="107">
        <f t="shared" si="58"/>
        <v>18237.302518630349</v>
      </c>
      <c r="P69" s="4"/>
      <c r="W69" s="111" t="s">
        <v>162</v>
      </c>
      <c r="X69" s="112"/>
      <c r="Y69" s="113">
        <v>3.25</v>
      </c>
      <c r="Z69" s="114">
        <f>2.37+0.05</f>
        <v>2.42</v>
      </c>
      <c r="AA69" s="115">
        <f t="shared" si="49"/>
        <v>0.34297520661157033</v>
      </c>
      <c r="AB69" s="1"/>
      <c r="AC69" s="1"/>
      <c r="AD69" s="1"/>
    </row>
    <row r="70" spans="1:30" ht="15.75" customHeight="1" thickTop="1" x14ac:dyDescent="0.3">
      <c r="A70" s="1"/>
      <c r="B70" s="106">
        <f>FV(5%,5,0,-B69,0)</f>
        <v>3737803.6412987546</v>
      </c>
      <c r="C70" s="110" t="s">
        <v>163</v>
      </c>
      <c r="D70" s="106">
        <f t="shared" ref="D70:F70" si="59">FV(12%,5,0,-D69,0)</f>
        <v>464323.57228158874</v>
      </c>
      <c r="E70" s="106">
        <f t="shared" si="59"/>
        <v>37186.788518987712</v>
      </c>
      <c r="F70" s="106">
        <f t="shared" si="59"/>
        <v>1182.7963355142849</v>
      </c>
      <c r="G70" s="106">
        <f>FV(9%,5,0,-G69,0)</f>
        <v>7454.9022676865752</v>
      </c>
      <c r="H70" s="106">
        <f t="shared" si="51"/>
        <v>29569.908387857122</v>
      </c>
      <c r="I70" s="107">
        <f t="shared" si="52"/>
        <v>26021.519381314269</v>
      </c>
      <c r="J70" s="107">
        <f t="shared" si="53"/>
        <v>31935.501058885693</v>
      </c>
      <c r="K70" s="107">
        <f t="shared" si="54"/>
        <v>37849.482736457117</v>
      </c>
      <c r="L70" s="108">
        <f t="shared" si="55"/>
        <v>22364.706803059726</v>
      </c>
      <c r="M70" s="107">
        <f t="shared" si="56"/>
        <v>28328.628617208982</v>
      </c>
      <c r="N70" s="108">
        <f t="shared" si="57"/>
        <v>34292.550431358242</v>
      </c>
      <c r="O70" s="107">
        <f t="shared" si="58"/>
        <v>30492.752082215011</v>
      </c>
      <c r="P70" s="4"/>
      <c r="Y70" s="1"/>
      <c r="Z70" s="1"/>
      <c r="AA70" s="1"/>
      <c r="AB70" s="1"/>
      <c r="AC70" s="1"/>
      <c r="AD70" s="1"/>
    </row>
    <row r="71" spans="1:30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4"/>
      <c r="K71" s="4"/>
      <c r="L71" s="4"/>
      <c r="M71" s="4"/>
      <c r="N71" s="1"/>
      <c r="O71" s="4"/>
      <c r="P71" s="4"/>
      <c r="W71" s="116" t="s">
        <v>164</v>
      </c>
      <c r="X71" s="4"/>
      <c r="Y71" s="117">
        <v>100</v>
      </c>
      <c r="Z71" s="117">
        <v>100</v>
      </c>
      <c r="AA71" s="118">
        <f>(Y71/Z71)-1</f>
        <v>0</v>
      </c>
      <c r="AB71" s="1"/>
      <c r="AC71" s="1"/>
      <c r="AD71" s="1"/>
    </row>
    <row r="72" spans="1:30" ht="15.75" customHeight="1" x14ac:dyDescent="0.3">
      <c r="A72" s="1"/>
      <c r="B72" s="119" t="s">
        <v>3</v>
      </c>
      <c r="C72" s="119" t="s">
        <v>4</v>
      </c>
      <c r="D72" s="119" t="s">
        <v>165</v>
      </c>
      <c r="E72" s="119" t="s">
        <v>166</v>
      </c>
      <c r="F72" s="119" t="s">
        <v>167</v>
      </c>
      <c r="G72" s="1"/>
      <c r="H72" s="1"/>
      <c r="I72" s="1"/>
      <c r="J72" s="4"/>
      <c r="K72" s="4"/>
      <c r="L72" s="4"/>
      <c r="M72" s="4"/>
      <c r="N72" s="1"/>
      <c r="O72" s="4"/>
      <c r="P72" s="4"/>
      <c r="AB72" s="1"/>
      <c r="AC72" s="1"/>
      <c r="AD72" s="1"/>
    </row>
    <row r="73" spans="1:30" ht="15.75" customHeight="1" x14ac:dyDescent="0.3">
      <c r="A73" s="1"/>
      <c r="B73" s="7" t="s">
        <v>0</v>
      </c>
      <c r="C73" s="120">
        <f ca="1">IFERROR(__xludf.DUMMYFUNCTION("GOOGLEFINANCE(""NSE:""&amp;B73,""price"")"),14720)</f>
        <v>14720</v>
      </c>
      <c r="D73" s="121">
        <v>2.2499999999999999E-2</v>
      </c>
      <c r="E73" s="122">
        <f ca="1">IFERROR(MAX(0.5, MIN(1,0.75 - 0.3*((C73/M68)-1))),"")</f>
        <v>0.71143505032958476</v>
      </c>
      <c r="F73" s="123">
        <f ca="1">D73*E73</f>
        <v>1.6007288632415656E-2</v>
      </c>
      <c r="G73" s="1"/>
      <c r="H73" s="1"/>
      <c r="I73" s="1"/>
      <c r="J73" s="4"/>
      <c r="K73" s="1"/>
      <c r="L73" s="1"/>
      <c r="M73" s="1"/>
      <c r="N73" s="1"/>
      <c r="O73" s="4"/>
      <c r="P73" s="4"/>
      <c r="AB73" s="1"/>
      <c r="AC73" s="1"/>
      <c r="AD73" s="1"/>
    </row>
    <row r="74" spans="1:30" ht="15.75" customHeight="1" x14ac:dyDescent="0.3">
      <c r="A74" s="1"/>
      <c r="B74" s="1"/>
      <c r="C74" s="1"/>
      <c r="D74" s="1"/>
      <c r="E74" s="1"/>
      <c r="F74" s="1"/>
      <c r="G74" s="1"/>
      <c r="H74" s="1"/>
      <c r="I74" s="4"/>
      <c r="J74" s="1"/>
      <c r="K74" s="1"/>
      <c r="L74" s="1"/>
      <c r="M74" s="1"/>
      <c r="N74" s="4"/>
      <c r="O74" s="4"/>
      <c r="P74" s="4"/>
      <c r="AB74" s="1"/>
      <c r="AC74" s="1"/>
      <c r="AD74" s="1"/>
    </row>
    <row r="75" spans="1:30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"/>
      <c r="O75" s="4"/>
      <c r="P75" s="4"/>
      <c r="AB75" s="1"/>
      <c r="AC75" s="1"/>
      <c r="AD75" s="1"/>
    </row>
    <row r="76" spans="1:30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"/>
      <c r="O76" s="4"/>
      <c r="P76" s="4"/>
      <c r="AA76" s="1"/>
      <c r="AB76" s="1"/>
      <c r="AC76" s="1"/>
      <c r="AD76" s="1"/>
    </row>
    <row r="77" spans="1:30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"/>
      <c r="O77" s="4"/>
      <c r="P77" s="4"/>
      <c r="AA77" s="1"/>
      <c r="AB77" s="1"/>
      <c r="AC77" s="1"/>
      <c r="AD77" s="1"/>
    </row>
    <row r="78" spans="1:30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"/>
      <c r="O78" s="4"/>
      <c r="P78" s="4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"/>
      <c r="O79" s="4"/>
      <c r="P79" s="4"/>
      <c r="AB79" s="1"/>
      <c r="AC79" s="1"/>
      <c r="AD79" s="1"/>
    </row>
    <row r="80" spans="1:30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"/>
      <c r="O80" s="4"/>
      <c r="P80" s="4"/>
      <c r="AB80" s="1"/>
      <c r="AC80" s="1"/>
      <c r="AD80" s="1"/>
    </row>
    <row r="81" spans="1:30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"/>
      <c r="O81" s="4"/>
      <c r="P81" s="4"/>
      <c r="AB81" s="1"/>
      <c r="AC81" s="1"/>
      <c r="AD81" s="1"/>
    </row>
    <row r="82" spans="1:30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AB82" s="1"/>
      <c r="AC82" s="1"/>
      <c r="AD82" s="1"/>
    </row>
    <row r="83" spans="1:30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AB83" s="1"/>
      <c r="AC83" s="1"/>
      <c r="AD83" s="1"/>
    </row>
    <row r="84" spans="1:30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 x14ac:dyDescent="0.3">
      <c r="A91" s="1"/>
      <c r="B91" s="124" t="s">
        <v>168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125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 x14ac:dyDescent="0.3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125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 x14ac:dyDescent="0.3">
      <c r="A93" s="1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 x14ac:dyDescent="0.3">
      <c r="A95" s="1"/>
      <c r="B95" s="21" t="s">
        <v>169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 x14ac:dyDescent="0.3">
      <c r="A96" s="1"/>
      <c r="B96" s="1" t="s">
        <v>170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 x14ac:dyDescent="0.3">
      <c r="A106" s="1"/>
      <c r="B106" s="4"/>
      <c r="C106" s="94"/>
      <c r="D106" s="94"/>
      <c r="E106" s="94"/>
      <c r="F106" s="4"/>
      <c r="G106" s="4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 x14ac:dyDescent="0.3">
      <c r="A107" s="1"/>
      <c r="B107" s="4"/>
      <c r="C107" s="4"/>
      <c r="D107" s="98"/>
      <c r="E107" s="98"/>
      <c r="F107" s="4"/>
      <c r="G107" s="4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 x14ac:dyDescent="0.3">
      <c r="A108" s="1"/>
      <c r="B108" s="4"/>
      <c r="C108" s="4"/>
      <c r="D108" s="98"/>
      <c r="E108" s="98"/>
      <c r="F108" s="4"/>
      <c r="G108" s="4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 x14ac:dyDescent="0.3">
      <c r="A109" s="1"/>
      <c r="B109" s="4"/>
      <c r="C109" s="4"/>
      <c r="D109" s="98"/>
      <c r="E109" s="98"/>
      <c r="F109" s="4"/>
      <c r="G109" s="4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 x14ac:dyDescent="0.3">
      <c r="A110" s="1"/>
      <c r="B110" s="4"/>
      <c r="C110" s="4"/>
      <c r="D110" s="98"/>
      <c r="E110" s="98"/>
      <c r="F110" s="4"/>
      <c r="G110" s="4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 x14ac:dyDescent="0.3">
      <c r="A111" s="1"/>
      <c r="B111" s="4"/>
      <c r="C111" s="4"/>
      <c r="D111" s="98"/>
      <c r="E111" s="98"/>
      <c r="F111" s="4"/>
      <c r="G111" s="4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 x14ac:dyDescent="0.3">
      <c r="A112" s="1"/>
      <c r="B112" s="4"/>
      <c r="C112" s="4"/>
      <c r="D112" s="98"/>
      <c r="E112" s="98"/>
      <c r="F112" s="4"/>
      <c r="G112" s="4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 x14ac:dyDescent="0.3">
      <c r="A113" s="1"/>
      <c r="B113" s="4"/>
      <c r="C113" s="4"/>
      <c r="D113" s="98"/>
      <c r="E113" s="98"/>
      <c r="F113" s="4"/>
      <c r="G113" s="4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 x14ac:dyDescent="0.3">
      <c r="A114" s="1"/>
      <c r="B114" s="4"/>
      <c r="C114" s="4"/>
      <c r="D114" s="98"/>
      <c r="E114" s="98"/>
      <c r="F114" s="4"/>
      <c r="G114" s="4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 x14ac:dyDescent="0.3">
      <c r="A115" s="1"/>
      <c r="B115" s="4"/>
      <c r="C115" s="4"/>
      <c r="D115" s="98"/>
      <c r="E115" s="98"/>
      <c r="F115" s="4"/>
      <c r="G115" s="4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 x14ac:dyDescent="0.3">
      <c r="A116" s="1"/>
      <c r="B116" s="4"/>
      <c r="C116" s="4"/>
      <c r="D116" s="98"/>
      <c r="E116" s="98"/>
      <c r="F116" s="4"/>
      <c r="G116" s="4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 x14ac:dyDescent="0.3">
      <c r="A117" s="1"/>
      <c r="B117" s="4"/>
      <c r="C117" s="4"/>
      <c r="D117" s="98"/>
      <c r="E117" s="98"/>
      <c r="F117" s="4"/>
      <c r="G117" s="4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 x14ac:dyDescent="0.3">
      <c r="A118" s="1"/>
      <c r="B118" s="4"/>
      <c r="C118" s="4"/>
      <c r="D118" s="98"/>
      <c r="E118" s="98"/>
      <c r="F118" s="4"/>
      <c r="G118" s="4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 x14ac:dyDescent="0.3">
      <c r="A119" s="1"/>
      <c r="B119" s="4"/>
      <c r="C119" s="4"/>
      <c r="D119" s="98"/>
      <c r="E119" s="98"/>
      <c r="F119" s="4"/>
      <c r="G119" s="4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 x14ac:dyDescent="0.3">
      <c r="A120" s="1"/>
      <c r="B120" s="4"/>
      <c r="C120" s="4"/>
      <c r="D120" s="98"/>
      <c r="E120" s="98"/>
      <c r="F120" s="4"/>
      <c r="G120" s="4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 x14ac:dyDescent="0.3">
      <c r="A121" s="1"/>
      <c r="B121" s="4"/>
      <c r="C121" s="4"/>
      <c r="D121" s="98"/>
      <c r="E121" s="98"/>
      <c r="F121" s="4"/>
      <c r="G121" s="4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 x14ac:dyDescent="0.3">
      <c r="A122" s="1"/>
      <c r="B122" s="4"/>
      <c r="C122" s="4"/>
      <c r="D122" s="98"/>
      <c r="E122" s="98"/>
      <c r="F122" s="4"/>
      <c r="G122" s="4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 x14ac:dyDescent="0.3">
      <c r="A123" s="1"/>
      <c r="B123" s="4"/>
      <c r="C123" s="4"/>
      <c r="D123" s="98"/>
      <c r="E123" s="98"/>
      <c r="F123" s="4"/>
      <c r="G123" s="4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 x14ac:dyDescent="0.3">
      <c r="A124" s="1"/>
      <c r="B124" s="4"/>
      <c r="C124" s="4"/>
      <c r="D124" s="98"/>
      <c r="E124" s="98"/>
      <c r="F124" s="4"/>
      <c r="G124" s="4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 x14ac:dyDescent="0.3">
      <c r="A125" s="1"/>
      <c r="B125" s="4"/>
      <c r="C125" s="4"/>
      <c r="D125" s="98"/>
      <c r="E125" s="98"/>
      <c r="F125" s="4"/>
      <c r="G125" s="4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 x14ac:dyDescent="0.3">
      <c r="A126" s="1"/>
      <c r="B126" s="4"/>
      <c r="C126" s="4"/>
      <c r="D126" s="98"/>
      <c r="E126" s="98"/>
      <c r="F126" s="4"/>
      <c r="G126" s="4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 x14ac:dyDescent="0.3">
      <c r="A127" s="1"/>
      <c r="B127" s="4"/>
      <c r="C127" s="4"/>
      <c r="D127" s="98"/>
      <c r="E127" s="98"/>
      <c r="F127" s="4"/>
      <c r="G127" s="4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 x14ac:dyDescent="0.3">
      <c r="A128" s="1"/>
      <c r="B128" s="4"/>
      <c r="C128" s="4"/>
      <c r="D128" s="98"/>
      <c r="E128" s="98"/>
      <c r="F128" s="4"/>
      <c r="G128" s="4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 x14ac:dyDescent="0.3">
      <c r="A129" s="1"/>
      <c r="B129" s="4"/>
      <c r="C129" s="4"/>
      <c r="D129" s="4"/>
      <c r="E129" s="4"/>
      <c r="F129" s="4"/>
      <c r="G129" s="4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 x14ac:dyDescent="0.3">
      <c r="A130" s="1"/>
      <c r="B130" s="4"/>
      <c r="C130" s="4"/>
      <c r="D130" s="4"/>
      <c r="E130" s="4"/>
      <c r="F130" s="4"/>
      <c r="G130" s="4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 x14ac:dyDescent="0.3">
      <c r="A131" s="1"/>
      <c r="B131" s="4"/>
      <c r="C131" s="4"/>
      <c r="D131" s="4"/>
      <c r="E131" s="4"/>
      <c r="F131" s="4"/>
      <c r="G131" s="4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 x14ac:dyDescent="0.3">
      <c r="A132" s="1"/>
      <c r="B132" s="4"/>
      <c r="C132" s="4"/>
      <c r="D132" s="4"/>
      <c r="E132" s="4"/>
      <c r="F132" s="4"/>
      <c r="G132" s="4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 x14ac:dyDescent="0.3">
      <c r="A133" s="1"/>
      <c r="B133" s="4"/>
      <c r="C133" s="4"/>
      <c r="D133" s="4"/>
      <c r="E133" s="4"/>
      <c r="F133" s="4"/>
      <c r="G133" s="4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 x14ac:dyDescent="0.3">
      <c r="A134" s="1"/>
      <c r="B134" s="4"/>
      <c r="C134" s="4"/>
      <c r="D134" s="4"/>
      <c r="E134" s="4"/>
      <c r="F134" s="4"/>
      <c r="G134" s="4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 x14ac:dyDescent="0.3">
      <c r="A135" s="1"/>
      <c r="B135" s="4"/>
      <c r="C135" s="4"/>
      <c r="D135" s="4"/>
      <c r="E135" s="4"/>
      <c r="F135" s="4"/>
      <c r="G135" s="4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 x14ac:dyDescent="0.3">
      <c r="A136" s="1"/>
      <c r="B136" s="4"/>
      <c r="C136" s="4"/>
      <c r="D136" s="4"/>
      <c r="E136" s="4"/>
      <c r="F136" s="4"/>
      <c r="G136" s="4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 x14ac:dyDescent="0.3">
      <c r="A137" s="1"/>
      <c r="B137" s="4"/>
      <c r="C137" s="4"/>
      <c r="D137" s="4"/>
      <c r="E137" s="4"/>
      <c r="F137" s="4"/>
      <c r="G137" s="4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 x14ac:dyDescent="0.3">
      <c r="A138" s="1"/>
      <c r="B138" s="4"/>
      <c r="C138" s="4"/>
      <c r="D138" s="4"/>
      <c r="E138" s="4"/>
      <c r="F138" s="4"/>
      <c r="G138" s="4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 x14ac:dyDescent="0.3">
      <c r="A139" s="1"/>
      <c r="B139" s="4"/>
      <c r="C139" s="4"/>
      <c r="D139" s="4"/>
      <c r="E139" s="4"/>
      <c r="F139" s="4"/>
      <c r="G139" s="4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 x14ac:dyDescent="0.3">
      <c r="A140" s="1"/>
      <c r="B140" s="4"/>
      <c r="C140" s="4"/>
      <c r="D140" s="4"/>
      <c r="E140" s="4"/>
      <c r="F140" s="4"/>
      <c r="G140" s="4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ht="15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 ht="15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 ht="15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 ht="15.7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 ht="15.75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 ht="15.75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 ht="15.75" customHeigh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 ht="15.75" customHeight="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 ht="15.75" customHeight="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 ht="15.75" customHeight="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 ht="15.75" customHeight="1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 ht="15.75" customHeight="1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 ht="15.75" customHeight="1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 ht="15.75" customHeight="1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1:30" ht="15.75" customHeight="1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1:30" ht="15.75" customHeight="1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1:30" ht="15.75" customHeight="1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</row>
    <row r="1020" spans="1:30" ht="15.75" customHeight="1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</row>
    <row r="1021" spans="1:30" ht="15.75" customHeight="1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</row>
  </sheetData>
  <mergeCells count="3">
    <mergeCell ref="B1:R3"/>
    <mergeCell ref="C49:G49"/>
    <mergeCell ref="B91:R93"/>
  </mergeCells>
  <conditionalFormatting sqref="B19:B37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39:B44">
    <cfRule type="colorScale" priority="28">
      <colorScale>
        <cfvo type="min"/>
        <cfvo type="max"/>
        <color rgb="FFFFFFFF"/>
        <color rgb="FF57BB8A"/>
      </colorScale>
    </cfRule>
  </conditionalFormatting>
  <conditionalFormatting sqref="B42:B44 D42:E44 G42:G44 B63:B65 D63:F65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63:B70">
    <cfRule type="colorScale" priority="15">
      <colorScale>
        <cfvo type="min"/>
        <cfvo type="max"/>
        <color rgb="FFFFFFFF"/>
        <color rgb="FF57BB8A"/>
      </colorScale>
    </cfRule>
  </conditionalFormatting>
  <conditionalFormatting sqref="C46:F46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7:F47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8:F48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3:D34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63:D70 B66 B68 G69">
    <cfRule type="colorScale" priority="16">
      <colorScale>
        <cfvo type="min"/>
        <cfvo type="max"/>
        <color rgb="FFFFFFFF"/>
        <color rgb="FF57BB8A"/>
      </colorScale>
    </cfRule>
  </conditionalFormatting>
  <conditionalFormatting sqref="D39:E44 G39:K42 N40:N42 B43">
    <cfRule type="colorScale" priority="29">
      <colorScale>
        <cfvo type="min"/>
        <cfvo type="max"/>
        <color rgb="FFFFFFFF"/>
        <color rgb="FF57BB8A"/>
      </colorScale>
    </cfRule>
  </conditionalFormatting>
  <conditionalFormatting sqref="E13:E34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63:E70">
    <cfRule type="colorScale" priority="17">
      <colorScale>
        <cfvo type="min"/>
        <cfvo type="max"/>
        <color rgb="FFFFFFFF"/>
        <color rgb="FF57BB8A"/>
      </colorScale>
    </cfRule>
  </conditionalFormatting>
  <conditionalFormatting sqref="F13:F37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35:F44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42:F44 G63:G65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51:F60 U51:U61 U67:U81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63:F65 G66 H67:H70 I67:O67">
    <cfRule type="colorScale" priority="19">
      <colorScale>
        <cfvo type="min"/>
        <cfvo type="max"/>
        <color rgb="FFFFFFFF"/>
        <color rgb="FF57BB8A"/>
      </colorScale>
    </cfRule>
  </conditionalFormatting>
  <conditionalFormatting sqref="G15:G37">
    <cfRule type="colorScale" priority="3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63:G65 F66:F70 G67:G70">
    <cfRule type="colorScale" priority="18">
      <colorScale>
        <cfvo type="min"/>
        <cfvo type="max"/>
        <color rgb="FFFFFFFF"/>
        <color rgb="FF57BB8A"/>
      </colorScale>
    </cfRule>
  </conditionalFormatting>
  <conditionalFormatting sqref="G39:K44 N40:N43">
    <cfRule type="colorScale" priority="30">
      <colorScale>
        <cfvo type="min"/>
        <cfvo type="max"/>
        <color rgb="FFFFFFFF"/>
        <color rgb="FF57BB8A"/>
      </colorScale>
    </cfRule>
  </conditionalFormatting>
  <conditionalFormatting sqref="H15:H37">
    <cfRule type="colorScale" priority="36">
      <colorScale>
        <cfvo type="min"/>
        <cfvo type="max"/>
        <color rgb="FFFFFFFF"/>
        <color rgb="FF57BB8A"/>
      </colorScale>
    </cfRule>
  </conditionalFormatting>
  <conditionalFormatting sqref="I15:I37">
    <cfRule type="colorScale" priority="37">
      <colorScale>
        <cfvo type="min"/>
        <cfvo type="max"/>
        <color rgb="FFFFFFFF"/>
        <color rgb="FF57BB8A"/>
      </colorScale>
    </cfRule>
  </conditionalFormatting>
  <conditionalFormatting sqref="I67:I70 H66">
    <cfRule type="colorScale" priority="20">
      <colorScale>
        <cfvo type="min"/>
        <cfvo type="max"/>
        <color rgb="FFFFFFFF"/>
        <color rgb="FF57BB8A"/>
      </colorScale>
    </cfRule>
  </conditionalFormatting>
  <conditionalFormatting sqref="J15:K37">
    <cfRule type="colorScale" priority="3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46:M46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13:L37 M14:M37 N14:P14 N39:P39">
    <cfRule type="colorScale" priority="7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M14:M37 K13">
    <cfRule type="colorScale" priority="6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N15:N37">
    <cfRule type="colorScale" priority="3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15:P37">
    <cfRule type="colorScale" priority="3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46:R46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48:R48">
    <cfRule type="colorScale" priority="9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Q14:Q37 J13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T39:T42 T46 AD46 E51:E61 O51:O61 J56 J59 T67">
    <cfRule type="colorScale" priority="3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57 U59 AA65:AA75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X50:X60">
    <cfRule type="colorScale" priority="2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Y42:Y46 J51:J58 J60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Y50:Y61">
    <cfRule type="colorScale" priority="2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Z52:Z61">
    <cfRule type="colorScale" priority="3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91" r:id="rId1" xr:uid="{0080419F-5D1D-4069-81DA-8CE819DB3792}"/>
  </hyperlinks>
  <pageMargins left="0.7" right="0.7" top="0.75" bottom="0.75" header="0" footer="0"/>
  <pageSetup orientation="landscape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Maruti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2025-08-27T05:59:21Z</dcterms:created>
  <dcterms:modified xsi:type="dcterms:W3CDTF">2025-08-27T05:59:40Z</dcterms:modified>
</cp:coreProperties>
</file>