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1_fy25\"/>
    </mc:Choice>
  </mc:AlternateContent>
  <xr:revisionPtr revIDLastSave="0" documentId="13_ncr:1_{76A09B7D-87BB-49C7-94E1-EA3D0D7C2B65}" xr6:coauthVersionLast="47" xr6:coauthVersionMax="47" xr10:uidLastSave="{00000000-0000-0000-0000-000000000000}"/>
  <bookViews>
    <workbookView xWindow="-108" yWindow="-108" windowWidth="23256" windowHeight="12456" xr2:uid="{E0FC2098-20AC-4CFD-B54D-990D049E7F70}"/>
  </bookViews>
  <sheets>
    <sheet name="Maruti" sheetId="3" r:id="rId1"/>
    <sheet name="  Passenger Cars &amp; Utility Vehi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5" i="3" l="1"/>
  <c r="T65" i="3"/>
  <c r="S65" i="3"/>
  <c r="R65" i="3"/>
  <c r="U63" i="3"/>
  <c r="T63" i="3"/>
  <c r="AA62" i="3"/>
  <c r="U62" i="3"/>
  <c r="T62" i="3"/>
  <c r="U61" i="3"/>
  <c r="T61" i="3"/>
  <c r="Z60" i="3"/>
  <c r="AA60" i="3" s="1"/>
  <c r="U60" i="3"/>
  <c r="T60" i="3"/>
  <c r="AA59" i="3"/>
  <c r="Y59" i="3"/>
  <c r="U59" i="3"/>
  <c r="T59" i="3"/>
  <c r="Z58" i="3"/>
  <c r="Y58" i="3"/>
  <c r="AA58" i="3" s="1"/>
  <c r="U58" i="3"/>
  <c r="T58" i="3"/>
  <c r="AA57" i="3"/>
  <c r="U57" i="3"/>
  <c r="T57" i="3"/>
  <c r="L57" i="3"/>
  <c r="AD53" i="3"/>
  <c r="AC53" i="3"/>
  <c r="AB53" i="3"/>
  <c r="X53" i="3"/>
  <c r="W53" i="3"/>
  <c r="Y53" i="3" s="1"/>
  <c r="S53" i="3"/>
  <c r="R53" i="3"/>
  <c r="T53" i="3" s="1"/>
  <c r="AC52" i="3"/>
  <c r="AD52" i="3" s="1"/>
  <c r="AB52" i="3"/>
  <c r="X52" i="3"/>
  <c r="W52" i="3"/>
  <c r="Y52" i="3" s="1"/>
  <c r="S52" i="3"/>
  <c r="R52" i="3"/>
  <c r="T52" i="3" s="1"/>
  <c r="K52" i="3"/>
  <c r="AD51" i="3"/>
  <c r="Y51" i="3"/>
  <c r="T51" i="3"/>
  <c r="D51" i="3"/>
  <c r="D52" i="3" s="1"/>
  <c r="AD50" i="3"/>
  <c r="Y50" i="3"/>
  <c r="T50" i="3"/>
  <c r="E50" i="3"/>
  <c r="E46" i="3" s="1"/>
  <c r="G46" i="3" s="1"/>
  <c r="F50" i="3" s="1"/>
  <c r="D50" i="3"/>
  <c r="B50" i="3"/>
  <c r="B51" i="3" s="1"/>
  <c r="B52" i="3" s="1"/>
  <c r="AD49" i="3"/>
  <c r="Y49" i="3"/>
  <c r="T49" i="3"/>
  <c r="AD48" i="3"/>
  <c r="Y48" i="3"/>
  <c r="T48" i="3"/>
  <c r="AD47" i="3"/>
  <c r="Y47" i="3"/>
  <c r="T47" i="3"/>
  <c r="AD46" i="3"/>
  <c r="Y46" i="3"/>
  <c r="T46" i="3"/>
  <c r="O46" i="3"/>
  <c r="J42" i="3"/>
  <c r="I42" i="3"/>
  <c r="H42" i="3"/>
  <c r="G42" i="3"/>
  <c r="F42" i="3"/>
  <c r="E42" i="3"/>
  <c r="D42" i="3"/>
  <c r="B42" i="3"/>
  <c r="K41" i="3"/>
  <c r="M41" i="3" s="1"/>
  <c r="I41" i="3"/>
  <c r="H41" i="3"/>
  <c r="G41" i="3"/>
  <c r="E41" i="3"/>
  <c r="D41" i="3"/>
  <c r="B41" i="3"/>
  <c r="I40" i="3"/>
  <c r="H40" i="3"/>
  <c r="G40" i="3"/>
  <c r="F40" i="3"/>
  <c r="E40" i="3"/>
  <c r="D40" i="3"/>
  <c r="B40" i="3"/>
  <c r="I39" i="3"/>
  <c r="H39" i="3"/>
  <c r="G39" i="3"/>
  <c r="E39" i="3"/>
  <c r="D39" i="3"/>
  <c r="L36" i="3"/>
  <c r="K36" i="3"/>
  <c r="F36" i="3"/>
  <c r="E36" i="3"/>
  <c r="D36" i="3"/>
  <c r="L35" i="3"/>
  <c r="L42" i="3" s="1"/>
  <c r="K35" i="3"/>
  <c r="K42" i="3" s="1"/>
  <c r="F35" i="3"/>
  <c r="L34" i="3"/>
  <c r="K34" i="3"/>
  <c r="J34" i="3"/>
  <c r="F34" i="3"/>
  <c r="L33" i="3"/>
  <c r="K33" i="3"/>
  <c r="F33" i="3"/>
  <c r="L32" i="3"/>
  <c r="K32" i="3"/>
  <c r="F32" i="3"/>
  <c r="L31" i="3"/>
  <c r="K31" i="3"/>
  <c r="J31" i="3"/>
  <c r="F31" i="3"/>
  <c r="L30" i="3"/>
  <c r="L41" i="3" s="1"/>
  <c r="K30" i="3"/>
  <c r="J30" i="3"/>
  <c r="J41" i="3" s="1"/>
  <c r="F30" i="3"/>
  <c r="F41" i="3" s="1"/>
  <c r="L29" i="3"/>
  <c r="K29" i="3"/>
  <c r="J29" i="3"/>
  <c r="F29" i="3"/>
  <c r="L28" i="3"/>
  <c r="K28" i="3"/>
  <c r="J28" i="3"/>
  <c r="F28" i="3"/>
  <c r="P27" i="3"/>
  <c r="O27" i="3"/>
  <c r="P24" i="3" s="1"/>
  <c r="L27" i="3"/>
  <c r="L40" i="3" s="1"/>
  <c r="K27" i="3"/>
  <c r="J27" i="3"/>
  <c r="F27" i="3"/>
  <c r="L26" i="3"/>
  <c r="K26" i="3"/>
  <c r="J26" i="3"/>
  <c r="F26" i="3"/>
  <c r="P25" i="3"/>
  <c r="L25" i="3"/>
  <c r="K25" i="3"/>
  <c r="K40" i="3" s="1"/>
  <c r="M40" i="3" s="1"/>
  <c r="J25" i="3"/>
  <c r="J40" i="3" s="1"/>
  <c r="F25" i="3"/>
  <c r="L24" i="3"/>
  <c r="K24" i="3"/>
  <c r="J24" i="3"/>
  <c r="F24" i="3"/>
  <c r="P23" i="3"/>
  <c r="L23" i="3"/>
  <c r="K23" i="3"/>
  <c r="J23" i="3"/>
  <c r="F23" i="3"/>
  <c r="P22" i="3"/>
  <c r="L22" i="3"/>
  <c r="K22" i="3"/>
  <c r="J22" i="3"/>
  <c r="F22" i="3"/>
  <c r="P21" i="3"/>
  <c r="L21" i="3"/>
  <c r="K21" i="3"/>
  <c r="J21" i="3"/>
  <c r="F21" i="3"/>
  <c r="P20" i="3"/>
  <c r="L20" i="3"/>
  <c r="K20" i="3"/>
  <c r="J20" i="3"/>
  <c r="F20" i="3"/>
  <c r="P19" i="3"/>
  <c r="L19" i="3"/>
  <c r="K19" i="3"/>
  <c r="K39" i="3" s="1"/>
  <c r="J19" i="3"/>
  <c r="F19" i="3"/>
  <c r="P18" i="3"/>
  <c r="L18" i="3"/>
  <c r="K18" i="3"/>
  <c r="J18" i="3"/>
  <c r="F18" i="3"/>
  <c r="P17" i="3"/>
  <c r="L17" i="3"/>
  <c r="K17" i="3"/>
  <c r="J17" i="3"/>
  <c r="F17" i="3"/>
  <c r="P16" i="3"/>
  <c r="L16" i="3"/>
  <c r="K16" i="3"/>
  <c r="J16" i="3"/>
  <c r="F16" i="3"/>
  <c r="L15" i="3"/>
  <c r="L39" i="3" s="1"/>
  <c r="K15" i="3"/>
  <c r="J15" i="3"/>
  <c r="J39" i="3" s="1"/>
  <c r="F15" i="3"/>
  <c r="F39" i="3" s="1"/>
  <c r="F47" i="3" s="1"/>
  <c r="N12" i="3"/>
  <c r="J12" i="3"/>
  <c r="H12" i="3"/>
  <c r="G12" i="3"/>
  <c r="F12" i="3"/>
  <c r="D12" i="3"/>
  <c r="C12" i="3"/>
  <c r="B12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F8" i="3"/>
  <c r="V7" i="3"/>
  <c r="G7" i="3"/>
  <c r="F7" i="3"/>
  <c r="E7" i="3"/>
  <c r="D7" i="3"/>
  <c r="D8" i="3" s="1"/>
  <c r="V6" i="3"/>
  <c r="G6" i="3"/>
  <c r="G8" i="3" s="1"/>
  <c r="F6" i="3"/>
  <c r="K12" i="3" s="1"/>
  <c r="E6" i="3"/>
  <c r="E8" i="3" s="1"/>
  <c r="D6" i="3"/>
  <c r="C6" i="3"/>
  <c r="O12" i="3" s="1"/>
  <c r="K103" i="2"/>
  <c r="H103" i="2"/>
  <c r="G103" i="2"/>
  <c r="J101" i="2"/>
  <c r="I101" i="2"/>
  <c r="K101" i="2" s="1"/>
  <c r="H101" i="2"/>
  <c r="G101" i="2"/>
  <c r="K77" i="2"/>
  <c r="G77" i="2"/>
  <c r="C77" i="2"/>
  <c r="E50" i="2"/>
  <c r="E32" i="2"/>
  <c r="E14" i="2"/>
  <c r="AG10" i="2"/>
  <c r="AF10" i="2"/>
  <c r="Y10" i="2"/>
  <c r="X10" i="2"/>
  <c r="AD10" i="2" s="1"/>
  <c r="W10" i="2"/>
  <c r="V10" i="2"/>
  <c r="Z10" i="2" s="1"/>
  <c r="U10" i="2"/>
  <c r="AC10" i="2" s="1"/>
  <c r="T10" i="2"/>
  <c r="S10" i="2"/>
  <c r="R10" i="2"/>
  <c r="AK10" i="2" s="1"/>
  <c r="Q10" i="2"/>
  <c r="AA10" i="2" s="1"/>
  <c r="P10" i="2"/>
  <c r="M10" i="2"/>
  <c r="L10" i="2"/>
  <c r="K10" i="2"/>
  <c r="J10" i="2"/>
  <c r="I10" i="2"/>
  <c r="H10" i="2"/>
  <c r="AH10" i="2" s="1"/>
  <c r="G10" i="2"/>
  <c r="F10" i="2"/>
  <c r="E10" i="2"/>
  <c r="AE10" i="2" s="1"/>
  <c r="D8" i="2"/>
  <c r="C8" i="2"/>
  <c r="D7" i="2"/>
  <c r="AN6" i="2"/>
  <c r="AO6" i="2" s="1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AN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N5" i="2"/>
  <c r="D5" i="2"/>
  <c r="C5" i="2"/>
  <c r="AO5" i="2" s="1"/>
  <c r="AN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N4" i="2"/>
  <c r="D4" i="2"/>
  <c r="C4" i="2"/>
  <c r="AN3" i="2"/>
  <c r="AK3" i="2"/>
  <c r="AJ3" i="2"/>
  <c r="AI3" i="2"/>
  <c r="AH3" i="2"/>
  <c r="AG3" i="2"/>
  <c r="AF3" i="2"/>
  <c r="AE3" i="2"/>
  <c r="AD3" i="2"/>
  <c r="AC3" i="2"/>
  <c r="AB3" i="2"/>
  <c r="AA3" i="2"/>
  <c r="Y3" i="2"/>
  <c r="N3" i="2"/>
  <c r="D3" i="2"/>
  <c r="C3" i="2"/>
  <c r="AO3" i="2" s="1"/>
  <c r="AN2" i="2"/>
  <c r="AN10" i="2" s="1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N2" i="2"/>
  <c r="D2" i="2"/>
  <c r="C2" i="2"/>
  <c r="H6" i="3" l="1"/>
  <c r="H50" i="3"/>
  <c r="F51" i="3"/>
  <c r="G50" i="3"/>
  <c r="M39" i="3"/>
  <c r="M42" i="3" s="1"/>
  <c r="I12" i="3"/>
  <c r="E51" i="3"/>
  <c r="E52" i="3" s="1"/>
  <c r="AL2" i="2"/>
  <c r="M57" i="3"/>
  <c r="N57" i="3"/>
  <c r="O56" i="3" s="1"/>
  <c r="P12" i="3" s="1"/>
  <c r="C8" i="3"/>
  <c r="E12" i="3"/>
  <c r="AM3" i="2"/>
  <c r="AM4" i="2"/>
  <c r="D10" i="2"/>
  <c r="O6" i="2" s="1"/>
  <c r="N10" i="2"/>
  <c r="AL4" i="2"/>
  <c r="AM5" i="2"/>
  <c r="AO2" i="2"/>
  <c r="AL3" i="2"/>
  <c r="AO4" i="2"/>
  <c r="AI10" i="2"/>
  <c r="AL5" i="2"/>
  <c r="AB10" i="2"/>
  <c r="AJ10" i="2"/>
  <c r="AM2" i="2"/>
  <c r="M12" i="3" l="1"/>
  <c r="H8" i="3"/>
  <c r="L12" i="3"/>
  <c r="H51" i="3"/>
  <c r="F52" i="3"/>
  <c r="G51" i="3"/>
  <c r="O2" i="2"/>
  <c r="O3" i="2"/>
  <c r="O5" i="2"/>
  <c r="O4" i="2"/>
  <c r="AL10" i="2"/>
  <c r="AM10" i="2"/>
  <c r="AO10" i="2"/>
  <c r="H52" i="3" l="1"/>
  <c r="G52" i="3"/>
</calcChain>
</file>

<file path=xl/sharedStrings.xml><?xml version="1.0" encoding="utf-8"?>
<sst xmlns="http://schemas.openxmlformats.org/spreadsheetml/2006/main" count="453" uniqueCount="218">
  <si>
    <t>MARUTI</t>
  </si>
  <si>
    <t>BALANCESHEET</t>
  </si>
  <si>
    <t>CASHFLOW</t>
  </si>
  <si>
    <t>Company</t>
  </si>
  <si>
    <t>Price</t>
  </si>
  <si>
    <t>Marketcap in Cr</t>
  </si>
  <si>
    <t>Sales in Cr</t>
  </si>
  <si>
    <t>Profit in Cr</t>
  </si>
  <si>
    <t>UNITS</t>
  </si>
  <si>
    <t>F_EPS</t>
  </si>
  <si>
    <t>FV</t>
  </si>
  <si>
    <t>Equity</t>
  </si>
  <si>
    <t>Total Equity</t>
  </si>
  <si>
    <t>BORROWING</t>
  </si>
  <si>
    <t xml:space="preserve">Lease </t>
  </si>
  <si>
    <t>CUR.ASSETS</t>
  </si>
  <si>
    <t>CUR.LIABILITIES</t>
  </si>
  <si>
    <t>ASSETS</t>
  </si>
  <si>
    <t>LIABILITIES</t>
  </si>
  <si>
    <t>TRADE REC</t>
  </si>
  <si>
    <t>CFO</t>
  </si>
  <si>
    <t>CFI</t>
  </si>
  <si>
    <t>CFF</t>
  </si>
  <si>
    <t>NETCAFLOW</t>
  </si>
  <si>
    <t>PPE</t>
  </si>
  <si>
    <t>Pres Yr_24</t>
  </si>
  <si>
    <t>Growth</t>
  </si>
  <si>
    <t>GROWTH</t>
  </si>
  <si>
    <t>LIQUIDITY</t>
  </si>
  <si>
    <t>SOLVENCY</t>
  </si>
  <si>
    <t>PROFITABILITY</t>
  </si>
  <si>
    <t>VALUATIONS</t>
  </si>
  <si>
    <t>MSHARE</t>
  </si>
  <si>
    <t>SALES GROWTH</t>
  </si>
  <si>
    <t>P-MARGIN</t>
  </si>
  <si>
    <t>CUR.RATIO</t>
  </si>
  <si>
    <t>TRADE CYC</t>
  </si>
  <si>
    <t>DEBT2EQUITY</t>
  </si>
  <si>
    <t>DEBTRATIO</t>
  </si>
  <si>
    <t>ICR</t>
  </si>
  <si>
    <t>ROE</t>
  </si>
  <si>
    <t>ROPE</t>
  </si>
  <si>
    <t>ROA</t>
  </si>
  <si>
    <t>F_PE</t>
  </si>
  <si>
    <t>YIELD_23</t>
  </si>
  <si>
    <t>BOOKVALUE</t>
  </si>
  <si>
    <t>PBV</t>
  </si>
  <si>
    <t>PEG</t>
  </si>
  <si>
    <t>MKT.SHARE</t>
  </si>
  <si>
    <t>Vehicles</t>
  </si>
  <si>
    <t>Year</t>
  </si>
  <si>
    <t>Sales</t>
  </si>
  <si>
    <t>Profit</t>
  </si>
  <si>
    <t>Margin</t>
  </si>
  <si>
    <t>EPS</t>
  </si>
  <si>
    <t>High Price</t>
  </si>
  <si>
    <t>Low Price</t>
  </si>
  <si>
    <t>Dividend</t>
  </si>
  <si>
    <t>HIGHPE</t>
  </si>
  <si>
    <t>LOWPE</t>
  </si>
  <si>
    <t>MARKETSHARE</t>
  </si>
  <si>
    <t>FY_2004</t>
  </si>
  <si>
    <t>SEGMENT</t>
  </si>
  <si>
    <t>Q1_FY_25</t>
  </si>
  <si>
    <t>Share</t>
  </si>
  <si>
    <t>FY_2005</t>
  </si>
  <si>
    <t>MINI</t>
  </si>
  <si>
    <t>FY_2006</t>
  </si>
  <si>
    <t>COMPACT</t>
  </si>
  <si>
    <t>FY_2007</t>
  </si>
  <si>
    <t>MINI+COMPACT</t>
  </si>
  <si>
    <t>FY_2008</t>
  </si>
  <si>
    <t>MIDSIZE</t>
  </si>
  <si>
    <t>FY_2009</t>
  </si>
  <si>
    <t>UV</t>
  </si>
  <si>
    <t>FY_2010</t>
  </si>
  <si>
    <t>VANS</t>
  </si>
  <si>
    <t>FY_2011</t>
  </si>
  <si>
    <t>LCV</t>
  </si>
  <si>
    <t>FY_2012</t>
  </si>
  <si>
    <t>OTHER OEM</t>
  </si>
  <si>
    <t>FY_2013</t>
  </si>
  <si>
    <t>DOMESTIC SALES</t>
  </si>
  <si>
    <t>FY_2014</t>
  </si>
  <si>
    <t>EXPORTS</t>
  </si>
  <si>
    <t>FY_2015</t>
  </si>
  <si>
    <t>FY_2016</t>
  </si>
  <si>
    <t>TOTAL SALES</t>
  </si>
  <si>
    <t>FY_2017</t>
  </si>
  <si>
    <t>FY_2018</t>
  </si>
  <si>
    <t>FY_2019</t>
  </si>
  <si>
    <t>FY_2020</t>
  </si>
  <si>
    <t>FY_2021</t>
  </si>
  <si>
    <t>FY_2022</t>
  </si>
  <si>
    <t>FY_2023</t>
  </si>
  <si>
    <t>FY_2024</t>
  </si>
  <si>
    <t>TRL_FY25</t>
  </si>
  <si>
    <t>IntPE</t>
  </si>
  <si>
    <t>PRE-C</t>
  </si>
  <si>
    <t>20 Years</t>
  </si>
  <si>
    <t>10 Year</t>
  </si>
  <si>
    <t>5 Year</t>
  </si>
  <si>
    <t>POST-C</t>
  </si>
  <si>
    <t>LAST YEAR</t>
  </si>
  <si>
    <t>Estimates</t>
  </si>
  <si>
    <t>MARGIN</t>
  </si>
  <si>
    <t>QUARTER</t>
  </si>
  <si>
    <t>Q2_FY24</t>
  </si>
  <si>
    <t>Q3_FY24</t>
  </si>
  <si>
    <t>Q4_FY24</t>
  </si>
  <si>
    <t>Q1_FY25</t>
  </si>
  <si>
    <t>TRAILEPS</t>
  </si>
  <si>
    <t>RESULT</t>
  </si>
  <si>
    <t>Q1_FY_24</t>
  </si>
  <si>
    <t>Q4_FY_24</t>
  </si>
  <si>
    <t>Q4_FY_23</t>
  </si>
  <si>
    <t>FY_24</t>
  </si>
  <si>
    <t>FY_23</t>
  </si>
  <si>
    <t>FY_2025</t>
  </si>
  <si>
    <t>FY_2030</t>
  </si>
  <si>
    <t>Current Trend</t>
  </si>
  <si>
    <t>H1_FY_24</t>
  </si>
  <si>
    <t>9M_FY_24</t>
  </si>
  <si>
    <t>Est-2025</t>
  </si>
  <si>
    <t>TOTAL COST</t>
  </si>
  <si>
    <t>Exp</t>
  </si>
  <si>
    <t>Expectation</t>
  </si>
  <si>
    <t>FairValue</t>
  </si>
  <si>
    <t>Finance</t>
  </si>
  <si>
    <t>PROFIT</t>
  </si>
  <si>
    <t>FY_2035</t>
  </si>
  <si>
    <t>PRICE CHART</t>
  </si>
  <si>
    <t>EPS_24</t>
  </si>
  <si>
    <t>F_EPS_25</t>
  </si>
  <si>
    <t>F_PEG</t>
  </si>
  <si>
    <t>PE_24</t>
  </si>
  <si>
    <t>TRAIL_PE</t>
  </si>
  <si>
    <t>F_PE_25</t>
  </si>
  <si>
    <t>SHP</t>
  </si>
  <si>
    <t>POST_MERGER</t>
  </si>
  <si>
    <t>SUZUKI MOTOR CORPORATION</t>
  </si>
  <si>
    <t>MF, AIF, INSURANCE</t>
  </si>
  <si>
    <t>FPI</t>
  </si>
  <si>
    <t>MajorCost</t>
  </si>
  <si>
    <t>RETAIL</t>
  </si>
  <si>
    <t>Cost of Material</t>
  </si>
  <si>
    <t>StockInTrade</t>
  </si>
  <si>
    <t>TOTAL</t>
  </si>
  <si>
    <t>OtherCost</t>
  </si>
  <si>
    <t>Employee</t>
  </si>
  <si>
    <t>D&amp;A</t>
  </si>
  <si>
    <t>Inventory</t>
  </si>
  <si>
    <t>Total</t>
  </si>
  <si>
    <t>www.profitfromit.in</t>
  </si>
  <si>
    <t>CSPRADHAN</t>
  </si>
  <si>
    <t>INVESTMENT ADVISOR</t>
  </si>
  <si>
    <t>Security Code</t>
  </si>
  <si>
    <t>COMPANY</t>
  </si>
  <si>
    <t>CMP</t>
  </si>
  <si>
    <t>MARKETCAP</t>
  </si>
  <si>
    <t>CUR ASSET</t>
  </si>
  <si>
    <t>CUR LIABILITY</t>
  </si>
  <si>
    <t>TOT. ASSET</t>
  </si>
  <si>
    <t>TOT. LIABILITY</t>
  </si>
  <si>
    <t>EQUITY</t>
  </si>
  <si>
    <t>TOT. EQUITY</t>
  </si>
  <si>
    <t xml:space="preserve">TRADE REC. </t>
  </si>
  <si>
    <t>TRAIL_EPS</t>
  </si>
  <si>
    <t>Companies weightage</t>
  </si>
  <si>
    <t>SALES_18</t>
  </si>
  <si>
    <t>SALES_23</t>
  </si>
  <si>
    <t>PROFIT_23</t>
  </si>
  <si>
    <t>9M_FY24_SALES</t>
  </si>
  <si>
    <t>9M_FY23_SALES</t>
  </si>
  <si>
    <t>9M_FY24_PROFIT</t>
  </si>
  <si>
    <t>9M_FY23_PROFIT</t>
  </si>
  <si>
    <t>FINANCE</t>
  </si>
  <si>
    <t>EXPENSE</t>
  </si>
  <si>
    <t>CY_SALES GR</t>
  </si>
  <si>
    <t>CY_PRPFIT_GR</t>
  </si>
  <si>
    <t>SALES_5Y_GR</t>
  </si>
  <si>
    <t>MARGIN_23</t>
  </si>
  <si>
    <t>CY_MARGIN</t>
  </si>
  <si>
    <t>CUR. RATIO</t>
  </si>
  <si>
    <t>TR.DAYS</t>
  </si>
  <si>
    <t>YIELD</t>
  </si>
  <si>
    <t>TATAMOTORS</t>
  </si>
  <si>
    <t>NA</t>
  </si>
  <si>
    <t>M&amp;M</t>
  </si>
  <si>
    <t>OLECTRA</t>
  </si>
  <si>
    <t>FORCEMOT</t>
  </si>
  <si>
    <t>MERCURYEV</t>
  </si>
  <si>
    <t>HINDMOTORS</t>
  </si>
  <si>
    <t>INDUSTRY</t>
  </si>
  <si>
    <t>INDSUTRY</t>
  </si>
  <si>
    <t>PV</t>
  </si>
  <si>
    <t>CLY_2022</t>
  </si>
  <si>
    <t>CLY_2023</t>
  </si>
  <si>
    <t>MARKET SHARE</t>
  </si>
  <si>
    <t>TOTAL UNIT SOLD</t>
  </si>
  <si>
    <t>HYUNDAI</t>
  </si>
  <si>
    <t>TOYOTA KIRLOSKAR</t>
  </si>
  <si>
    <t>OTHERS</t>
  </si>
  <si>
    <t>TRACTORS</t>
  </si>
  <si>
    <t>M&amp;M (SWARAJ)</t>
  </si>
  <si>
    <t>INTERNATIONAL TRACTORS</t>
  </si>
  <si>
    <t>TAFE LIMITED</t>
  </si>
  <si>
    <t>ESCORTS</t>
  </si>
  <si>
    <t>EICHER</t>
  </si>
  <si>
    <t>COM. VEHCILES</t>
  </si>
  <si>
    <t xml:space="preserve">M&amp;M </t>
  </si>
  <si>
    <t>ASHOK LEYLAND</t>
  </si>
  <si>
    <t>VE COMMERCIAL</t>
  </si>
  <si>
    <t>Q1_SALES_GR</t>
  </si>
  <si>
    <t>Q1_PROFIT_GR</t>
  </si>
  <si>
    <t>Margin_Q1_25</t>
  </si>
  <si>
    <t>Margin_Q1_24</t>
  </si>
  <si>
    <t>MARGIN 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</si>
</sst>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 * #,##0.0_ ;_ * \-#,##0.0_ ;_ * &quot;-&quot;??_ ;_ @_ "/>
    <numFmt numFmtId="165" formatCode="0.0%"/>
    <numFmt numFmtId="166" formatCode="0.0"/>
  </numFmts>
  <fonts count="23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Source Code Pro"/>
    </font>
    <font>
      <sz val="36"/>
      <color rgb="FFFFFFFF"/>
      <name val="Source Code Pro"/>
    </font>
    <font>
      <b/>
      <sz val="11"/>
      <color rgb="FFFFFFFF"/>
      <name val="Source Code Pro"/>
    </font>
    <font>
      <b/>
      <i/>
      <sz val="11"/>
      <color theme="1"/>
      <name val="Source Code Pro"/>
    </font>
    <font>
      <sz val="11"/>
      <color rgb="FF000000"/>
      <name val="Source Code Pro"/>
    </font>
    <font>
      <i/>
      <sz val="11"/>
      <color rgb="FF000000"/>
      <name val="Source Code Pro"/>
    </font>
    <font>
      <b/>
      <i/>
      <sz val="11"/>
      <color rgb="FF7F7F7F"/>
      <name val="Source Code Pro"/>
    </font>
    <font>
      <sz val="11"/>
      <color rgb="FFFFFFFF"/>
      <name val="Source Code Pro"/>
    </font>
    <font>
      <sz val="11"/>
      <name val="Arial"/>
    </font>
    <font>
      <b/>
      <sz val="14"/>
      <color rgb="FFFFFFFF"/>
      <name val="Source Code Pro"/>
    </font>
    <font>
      <b/>
      <i/>
      <u/>
      <sz val="11"/>
      <color theme="1"/>
      <name val="Source Code Pro"/>
    </font>
    <font>
      <u/>
      <sz val="36"/>
      <color theme="0"/>
      <name val="Source Code Pro"/>
    </font>
    <font>
      <sz val="10"/>
      <color rgb="FFFFFFFF"/>
      <name val="Arial"/>
    </font>
    <font>
      <b/>
      <sz val="10"/>
      <color rgb="FFFFFFFF"/>
      <name val="Arial"/>
    </font>
    <font>
      <sz val="11"/>
      <color rgb="FF000000"/>
      <name val="Calibri"/>
    </font>
    <font>
      <sz val="10"/>
      <color theme="1"/>
      <name val="Arial"/>
    </font>
    <font>
      <sz val="7"/>
      <color theme="1"/>
      <name val="Arial"/>
    </font>
    <font>
      <b/>
      <i/>
      <sz val="10"/>
      <color theme="1"/>
      <name val="Arial"/>
    </font>
    <font>
      <sz val="11"/>
      <color theme="1"/>
      <name val="Calibri"/>
    </font>
    <font>
      <b/>
      <i/>
      <u/>
      <sz val="10"/>
      <color theme="1"/>
      <name val="Arial"/>
    </font>
    <font>
      <u/>
      <sz val="22"/>
      <color theme="0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C343D"/>
        <bgColor rgb="FF0C343D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4CCCC"/>
        <bgColor rgb="FFF4CCCC"/>
      </patternFill>
    </fill>
    <fill>
      <patternFill patternType="solid">
        <fgColor rgb="FFE67C73"/>
        <bgColor rgb="FFE67C73"/>
      </patternFill>
    </fill>
    <fill>
      <patternFill patternType="solid">
        <fgColor rgb="FFCCCCCC"/>
        <bgColor rgb="FFCCCCCC"/>
      </patternFill>
    </fill>
    <fill>
      <patternFill patternType="solid">
        <fgColor rgb="FFD9EAD3"/>
        <bgColor rgb="FFD9EAD3"/>
      </patternFill>
    </fill>
    <fill>
      <patternFill patternType="solid">
        <fgColor rgb="FF999999"/>
        <bgColor rgb="FF999999"/>
      </patternFill>
    </fill>
    <fill>
      <patternFill patternType="solid">
        <fgColor rgb="FF073763"/>
        <bgColor rgb="FF073763"/>
      </patternFill>
    </fill>
    <fill>
      <patternFill patternType="solid">
        <fgColor rgb="FF4C1130"/>
        <bgColor rgb="FF4C1130"/>
      </patternFill>
    </fill>
    <fill>
      <patternFill patternType="solid">
        <fgColor rgb="FFB7B7B7"/>
        <bgColor rgb="FFB7B7B7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2" borderId="0" xfId="0" applyFont="1" applyFill="1"/>
    <xf numFmtId="0" fontId="2" fillId="0" borderId="0" xfId="0" applyFont="1"/>
    <xf numFmtId="9" fontId="2" fillId="0" borderId="0" xfId="0" applyNumberFormat="1" applyFont="1"/>
    <xf numFmtId="0" fontId="4" fillId="3" borderId="0" xfId="0" applyFont="1" applyFill="1" applyAlignment="1">
      <alignment wrapText="1"/>
    </xf>
    <xf numFmtId="0" fontId="2" fillId="0" borderId="1" xfId="0" applyFont="1" applyBorder="1"/>
    <xf numFmtId="1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1" fontId="2" fillId="0" borderId="1" xfId="0" applyNumberFormat="1" applyFont="1" applyBorder="1"/>
    <xf numFmtId="0" fontId="2" fillId="4" borderId="1" xfId="0" applyFont="1" applyFill="1" applyBorder="1"/>
    <xf numFmtId="0" fontId="1" fillId="0" borderId="1" xfId="0" applyFont="1" applyBorder="1"/>
    <xf numFmtId="10" fontId="1" fillId="0" borderId="1" xfId="0" applyNumberFormat="1" applyFont="1" applyBorder="1"/>
    <xf numFmtId="9" fontId="1" fillId="0" borderId="1" xfId="0" applyNumberFormat="1" applyFont="1" applyBorder="1"/>
    <xf numFmtId="0" fontId="2" fillId="4" borderId="0" xfId="0" applyFont="1" applyFill="1"/>
    <xf numFmtId="165" fontId="4" fillId="3" borderId="1" xfId="0" applyNumberFormat="1" applyFont="1" applyFill="1" applyBorder="1" applyAlignment="1">
      <alignment wrapText="1"/>
    </xf>
    <xf numFmtId="9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166" fontId="4" fillId="3" borderId="1" xfId="0" applyNumberFormat="1" applyFont="1" applyFill="1" applyBorder="1" applyAlignment="1">
      <alignment wrapText="1"/>
    </xf>
    <xf numFmtId="9" fontId="2" fillId="0" borderId="1" xfId="0" applyNumberFormat="1" applyFont="1" applyBorder="1"/>
    <xf numFmtId="9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/>
    <xf numFmtId="165" fontId="4" fillId="3" borderId="0" xfId="0" applyNumberFormat="1" applyFont="1" applyFill="1" applyAlignment="1">
      <alignment wrapText="1"/>
    </xf>
    <xf numFmtId="0" fontId="4" fillId="3" borderId="2" xfId="0" applyFont="1" applyFill="1" applyBorder="1" applyAlignment="1">
      <alignment wrapText="1"/>
    </xf>
    <xf numFmtId="10" fontId="2" fillId="5" borderId="0" xfId="0" applyNumberFormat="1" applyFont="1" applyFill="1"/>
    <xf numFmtId="0" fontId="1" fillId="0" borderId="0" xfId="0" applyFont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right" wrapText="1"/>
    </xf>
    <xf numFmtId="1" fontId="2" fillId="2" borderId="1" xfId="0" applyNumberFormat="1" applyFont="1" applyFill="1" applyBorder="1" applyAlignment="1">
      <alignment horizontal="right"/>
    </xf>
    <xf numFmtId="9" fontId="2" fillId="2" borderId="1" xfId="0" applyNumberFormat="1" applyFont="1" applyFill="1" applyBorder="1"/>
    <xf numFmtId="1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 wrapText="1"/>
    </xf>
    <xf numFmtId="166" fontId="2" fillId="2" borderId="1" xfId="0" applyNumberFormat="1" applyFont="1" applyFill="1" applyBorder="1"/>
    <xf numFmtId="165" fontId="1" fillId="0" borderId="0" xfId="0" applyNumberFormat="1" applyFont="1"/>
    <xf numFmtId="10" fontId="1" fillId="0" borderId="0" xfId="0" applyNumberFormat="1" applyFont="1"/>
    <xf numFmtId="1" fontId="2" fillId="6" borderId="1" xfId="0" applyNumberFormat="1" applyFont="1" applyFill="1" applyBorder="1"/>
    <xf numFmtId="9" fontId="1" fillId="0" borderId="0" xfId="0" applyNumberFormat="1" applyFont="1"/>
    <xf numFmtId="0" fontId="2" fillId="7" borderId="1" xfId="0" applyFont="1" applyFill="1" applyBorder="1"/>
    <xf numFmtId="0" fontId="5" fillId="8" borderId="1" xfId="0" applyFont="1" applyFill="1" applyBorder="1"/>
    <xf numFmtId="9" fontId="1" fillId="8" borderId="1" xfId="0" applyNumberFormat="1" applyFont="1" applyFill="1" applyBorder="1"/>
    <xf numFmtId="10" fontId="5" fillId="8" borderId="1" xfId="0" applyNumberFormat="1" applyFont="1" applyFill="1" applyBorder="1"/>
    <xf numFmtId="0" fontId="6" fillId="2" borderId="1" xfId="0" applyFont="1" applyFill="1" applyBorder="1"/>
    <xf numFmtId="10" fontId="2" fillId="2" borderId="0" xfId="0" applyNumberFormat="1" applyFont="1" applyFill="1"/>
    <xf numFmtId="0" fontId="6" fillId="7" borderId="1" xfId="0" applyFont="1" applyFill="1" applyBorder="1"/>
    <xf numFmtId="0" fontId="6" fillId="6" borderId="1" xfId="0" applyFont="1" applyFill="1" applyBorder="1"/>
    <xf numFmtId="1" fontId="6" fillId="2" borderId="1" xfId="0" applyNumberFormat="1" applyFont="1" applyFill="1" applyBorder="1"/>
    <xf numFmtId="3" fontId="2" fillId="0" borderId="0" xfId="0" applyNumberFormat="1" applyFont="1"/>
    <xf numFmtId="9" fontId="7" fillId="2" borderId="1" xfId="0" applyNumberFormat="1" applyFont="1" applyFill="1" applyBorder="1"/>
    <xf numFmtId="9" fontId="8" fillId="2" borderId="1" xfId="0" applyNumberFormat="1" applyFont="1" applyFill="1" applyBorder="1"/>
    <xf numFmtId="3" fontId="7" fillId="2" borderId="1" xfId="0" applyNumberFormat="1" applyFont="1" applyFill="1" applyBorder="1"/>
    <xf numFmtId="1" fontId="7" fillId="2" borderId="1" xfId="0" applyNumberFormat="1" applyFont="1" applyFill="1" applyBorder="1"/>
    <xf numFmtId="9" fontId="6" fillId="2" borderId="1" xfId="0" applyNumberFormat="1" applyFont="1" applyFill="1" applyBorder="1"/>
    <xf numFmtId="3" fontId="6" fillId="2" borderId="1" xfId="0" applyNumberFormat="1" applyFont="1" applyFill="1" applyBorder="1"/>
    <xf numFmtId="1" fontId="1" fillId="0" borderId="0" xfId="0" applyNumberFormat="1" applyFont="1"/>
    <xf numFmtId="0" fontId="2" fillId="2" borderId="1" xfId="0" applyFont="1" applyFill="1" applyBorder="1" applyAlignment="1">
      <alignment horizontal="left"/>
    </xf>
    <xf numFmtId="165" fontId="2" fillId="2" borderId="1" xfId="0" applyNumberFormat="1" applyFont="1" applyFill="1" applyBorder="1"/>
    <xf numFmtId="2" fontId="2" fillId="2" borderId="1" xfId="0" applyNumberFormat="1" applyFont="1" applyFill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65" fontId="9" fillId="3" borderId="1" xfId="0" applyNumberFormat="1" applyFont="1" applyFill="1" applyBorder="1" applyAlignment="1">
      <alignment wrapText="1"/>
    </xf>
    <xf numFmtId="165" fontId="9" fillId="3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1" fontId="2" fillId="9" borderId="1" xfId="0" applyNumberFormat="1" applyFont="1" applyFill="1" applyBorder="1"/>
    <xf numFmtId="166" fontId="6" fillId="2" borderId="1" xfId="0" applyNumberFormat="1" applyFont="1" applyFill="1" applyBorder="1"/>
    <xf numFmtId="166" fontId="2" fillId="0" borderId="0" xfId="0" applyNumberFormat="1" applyFont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166" fontId="11" fillId="10" borderId="1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 wrapText="1"/>
    </xf>
    <xf numFmtId="1" fontId="2" fillId="0" borderId="0" xfId="0" applyNumberFormat="1" applyFont="1"/>
    <xf numFmtId="0" fontId="6" fillId="4" borderId="0" xfId="0" applyFont="1" applyFill="1" applyAlignment="1">
      <alignment horizontal="left"/>
    </xf>
    <xf numFmtId="165" fontId="2" fillId="2" borderId="0" xfId="0" applyNumberFormat="1" applyFont="1" applyFill="1"/>
    <xf numFmtId="1" fontId="2" fillId="2" borderId="0" xfId="0" applyNumberFormat="1" applyFont="1" applyFill="1"/>
    <xf numFmtId="0" fontId="2" fillId="2" borderId="6" xfId="0" applyFont="1" applyFill="1" applyBorder="1"/>
    <xf numFmtId="0" fontId="2" fillId="0" borderId="6" xfId="0" applyFont="1" applyBorder="1"/>
    <xf numFmtId="1" fontId="2" fillId="2" borderId="6" xfId="0" applyNumberFormat="1" applyFont="1" applyFill="1" applyBorder="1"/>
    <xf numFmtId="1" fontId="2" fillId="0" borderId="6" xfId="0" applyNumberFormat="1" applyFont="1" applyBorder="1"/>
    <xf numFmtId="165" fontId="2" fillId="2" borderId="6" xfId="0" applyNumberFormat="1" applyFont="1" applyFill="1" applyBorder="1"/>
    <xf numFmtId="0" fontId="5" fillId="0" borderId="7" xfId="0" applyFont="1" applyBorder="1"/>
    <xf numFmtId="0" fontId="5" fillId="2" borderId="7" xfId="0" applyFont="1" applyFill="1" applyBorder="1"/>
    <xf numFmtId="165" fontId="5" fillId="2" borderId="1" xfId="0" applyNumberFormat="1" applyFont="1" applyFill="1" applyBorder="1"/>
    <xf numFmtId="165" fontId="2" fillId="0" borderId="0" xfId="0" applyNumberFormat="1" applyFont="1"/>
    <xf numFmtId="0" fontId="12" fillId="8" borderId="8" xfId="0" applyFont="1" applyFill="1" applyBorder="1"/>
    <xf numFmtId="9" fontId="12" fillId="8" borderId="9" xfId="0" applyNumberFormat="1" applyFont="1" applyFill="1" applyBorder="1"/>
    <xf numFmtId="0" fontId="14" fillId="11" borderId="1" xfId="0" applyFont="1" applyFill="1" applyBorder="1"/>
    <xf numFmtId="0" fontId="15" fillId="1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16" fillId="0" borderId="1" xfId="0" applyFont="1" applyBorder="1"/>
    <xf numFmtId="1" fontId="17" fillId="0" borderId="1" xfId="0" applyNumberFormat="1" applyFont="1" applyBorder="1"/>
    <xf numFmtId="0" fontId="17" fillId="0" borderId="1" xfId="0" applyFont="1" applyBorder="1"/>
    <xf numFmtId="10" fontId="17" fillId="0" borderId="1" xfId="0" applyNumberFormat="1" applyFont="1" applyBorder="1"/>
    <xf numFmtId="2" fontId="17" fillId="0" borderId="1" xfId="0" applyNumberFormat="1" applyFont="1" applyBorder="1"/>
    <xf numFmtId="0" fontId="17" fillId="0" borderId="0" xfId="0" applyFont="1"/>
    <xf numFmtId="1" fontId="17" fillId="0" borderId="0" xfId="0" applyNumberFormat="1" applyFont="1"/>
    <xf numFmtId="10" fontId="17" fillId="0" borderId="0" xfId="0" applyNumberFormat="1" applyFont="1"/>
    <xf numFmtId="165" fontId="14" fillId="11" borderId="1" xfId="0" applyNumberFormat="1" applyFont="1" applyFill="1" applyBorder="1"/>
    <xf numFmtId="0" fontId="14" fillId="11" borderId="0" xfId="0" applyFont="1" applyFill="1"/>
    <xf numFmtId="4" fontId="17" fillId="0" borderId="0" xfId="0" applyNumberFormat="1" applyFont="1"/>
    <xf numFmtId="3" fontId="17" fillId="0" borderId="0" xfId="0" applyNumberFormat="1" applyFont="1"/>
    <xf numFmtId="165" fontId="17" fillId="0" borderId="0" xfId="0" applyNumberFormat="1" applyFont="1"/>
    <xf numFmtId="0" fontId="16" fillId="0" borderId="0" xfId="0" applyFont="1"/>
    <xf numFmtId="9" fontId="17" fillId="0" borderId="0" xfId="0" applyNumberFormat="1" applyFont="1"/>
    <xf numFmtId="0" fontId="18" fillId="0" borderId="0" xfId="0" applyFont="1"/>
    <xf numFmtId="0" fontId="16" fillId="0" borderId="10" xfId="0" applyFont="1" applyBorder="1"/>
    <xf numFmtId="9" fontId="17" fillId="0" borderId="10" xfId="0" applyNumberFormat="1" applyFont="1" applyBorder="1"/>
    <xf numFmtId="0" fontId="16" fillId="0" borderId="11" xfId="0" applyFont="1" applyBorder="1"/>
    <xf numFmtId="0" fontId="19" fillId="8" borderId="7" xfId="0" applyFont="1" applyFill="1" applyBorder="1"/>
    <xf numFmtId="9" fontId="19" fillId="8" borderId="7" xfId="0" applyNumberFormat="1" applyFont="1" applyFill="1" applyBorder="1"/>
    <xf numFmtId="0" fontId="14" fillId="11" borderId="3" xfId="0" applyFont="1" applyFill="1" applyBorder="1"/>
    <xf numFmtId="0" fontId="14" fillId="11" borderId="5" xfId="0" applyFont="1" applyFill="1" applyBorder="1"/>
    <xf numFmtId="0" fontId="20" fillId="0" borderId="0" xfId="0" applyFont="1"/>
    <xf numFmtId="0" fontId="17" fillId="0" borderId="0" xfId="0" applyFont="1" applyAlignment="1">
      <alignment horizontal="right"/>
    </xf>
    <xf numFmtId="0" fontId="20" fillId="0" borderId="11" xfId="0" applyFont="1" applyBorder="1"/>
    <xf numFmtId="0" fontId="17" fillId="0" borderId="12" xfId="0" applyFont="1" applyBorder="1" applyAlignment="1">
      <alignment horizontal="right"/>
    </xf>
    <xf numFmtId="1" fontId="17" fillId="0" borderId="12" xfId="0" applyNumberFormat="1" applyFont="1" applyBorder="1" applyAlignment="1">
      <alignment horizontal="right"/>
    </xf>
    <xf numFmtId="0" fontId="20" fillId="0" borderId="10" xfId="0" applyFont="1" applyBorder="1"/>
    <xf numFmtId="0" fontId="17" fillId="0" borderId="10" xfId="0" applyFont="1" applyBorder="1"/>
    <xf numFmtId="0" fontId="17" fillId="0" borderId="12" xfId="0" applyFont="1" applyBorder="1"/>
    <xf numFmtId="0" fontId="21" fillId="8" borderId="0" xfId="0" applyFont="1" applyFill="1"/>
    <xf numFmtId="1" fontId="21" fillId="8" borderId="0" xfId="0" applyNumberFormat="1" applyFont="1" applyFill="1" applyAlignment="1">
      <alignment horizontal="right"/>
    </xf>
    <xf numFmtId="165" fontId="17" fillId="0" borderId="0" xfId="0" applyNumberFormat="1" applyFont="1" applyAlignment="1">
      <alignment horizontal="right"/>
    </xf>
    <xf numFmtId="165" fontId="17" fillId="0" borderId="10" xfId="0" applyNumberFormat="1" applyFont="1" applyBorder="1" applyAlignment="1">
      <alignment horizontal="right"/>
    </xf>
    <xf numFmtId="0" fontId="20" fillId="0" borderId="6" xfId="0" applyFont="1" applyBorder="1"/>
    <xf numFmtId="165" fontId="17" fillId="0" borderId="6" xfId="0" applyNumberFormat="1" applyFont="1" applyBorder="1" applyAlignment="1">
      <alignment horizontal="right"/>
    </xf>
    <xf numFmtId="10" fontId="1" fillId="0" borderId="6" xfId="0" applyNumberFormat="1" applyFont="1" applyBorder="1"/>
    <xf numFmtId="0" fontId="21" fillId="8" borderId="7" xfId="0" applyFont="1" applyFill="1" applyBorder="1"/>
    <xf numFmtId="165" fontId="21" fillId="8" borderId="7" xfId="0" applyNumberFormat="1" applyFont="1" applyFill="1" applyBorder="1"/>
    <xf numFmtId="165" fontId="17" fillId="0" borderId="12" xfId="0" applyNumberFormat="1" applyFont="1" applyBorder="1" applyAlignment="1">
      <alignment horizontal="right"/>
    </xf>
    <xf numFmtId="2" fontId="17" fillId="0" borderId="12" xfId="0" applyNumberFormat="1" applyFont="1" applyBorder="1" applyAlignment="1">
      <alignment horizontal="right"/>
    </xf>
    <xf numFmtId="165" fontId="17" fillId="0" borderId="10" xfId="0" applyNumberFormat="1" applyFont="1" applyBorder="1"/>
    <xf numFmtId="165" fontId="21" fillId="8" borderId="5" xfId="0" applyNumberFormat="1" applyFont="1" applyFill="1" applyBorder="1" applyAlignment="1">
      <alignment horizontal="right"/>
    </xf>
    <xf numFmtId="0" fontId="21" fillId="13" borderId="0" xfId="0" applyFont="1" applyFill="1"/>
    <xf numFmtId="1" fontId="21" fillId="13" borderId="0" xfId="0" applyNumberFormat="1" applyFont="1" applyFill="1" applyAlignment="1">
      <alignment horizontal="right"/>
    </xf>
    <xf numFmtId="10" fontId="21" fillId="1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0" fillId="0" borderId="0" xfId="0"/>
    <xf numFmtId="0" fontId="2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3" fillId="3" borderId="0" xfId="0" applyFont="1" applyFill="1" applyAlignment="1">
      <alignment horizontal="center"/>
    </xf>
    <xf numFmtId="0" fontId="10" fillId="0" borderId="0" xfId="0" applyFont="1"/>
    <xf numFmtId="0" fontId="22" fillId="11" borderId="13" xfId="0" applyFont="1" applyFill="1" applyBorder="1" applyAlignment="1">
      <alignment horizontal="center" vertical="center"/>
    </xf>
    <xf numFmtId="0" fontId="10" fillId="0" borderId="7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0" xfId="0" applyFont="1" applyBorder="1"/>
    <xf numFmtId="0" fontId="10" fillId="0" borderId="12" xfId="0" applyFont="1" applyBorder="1"/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 defaultTableStyle="TableStyleMedium2" defaultPivotStyle="PivotStyleLight16">
    <tableStyle name="Maruti-style" pivot="0" count="3" xr9:uid="{E32382F3-EE50-4B58-8076-19174BB9E84E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PASSENGER VEHICLE GROWTH LAST YEAR: 10.6%</a:t>
            </a:r>
          </a:p>
        </c:rich>
      </c:tx>
      <c:layout>
        <c:manualLayout>
          <c:xMode val="edge"/>
          <c:yMode val="edge"/>
          <c:x val="3.4989648033126292E-2"/>
          <c:y val="3.6577181208053693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INDSUTRY TOTAL UNIT SOLD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C96-4BF9-8F68-AF435250BB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 Passenger Cars &amp; Utility Vehi'!$C$13:$D$13</c:f>
              <c:strCache>
                <c:ptCount val="2"/>
                <c:pt idx="0">
                  <c:v>CLY_2022</c:v>
                </c:pt>
                <c:pt idx="1">
                  <c:v>CLY_2023</c:v>
                </c:pt>
              </c:strCache>
            </c:strRef>
          </c:cat>
          <c:val>
            <c:numRef>
              <c:f>'  Passenger Cars &amp; Utility Vehi'!$C$14:$D$14</c:f>
              <c:numCache>
                <c:formatCode>#,##0</c:formatCode>
                <c:ptCount val="2"/>
                <c:pt idx="0">
                  <c:v>3489953</c:v>
                </c:pt>
                <c:pt idx="1">
                  <c:v>3860268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0C96-4BF9-8F68-AF435250B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28242"/>
        <c:axId val="277175841"/>
      </c:barChart>
      <c:catAx>
        <c:axId val="1925282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PV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77175841"/>
        <c:crosses val="autoZero"/>
        <c:auto val="1"/>
        <c:lblAlgn val="ctr"/>
        <c:lblOffset val="100"/>
        <c:noMultiLvlLbl val="1"/>
      </c:catAx>
      <c:valAx>
        <c:axId val="2771758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TOTAL UNIT SOLD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252824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800" b="1" i="0">
                <a:solidFill>
                  <a:schemeClr val="dk1"/>
                </a:solidFill>
                <a:latin typeface="+mn-lt"/>
              </a:defRPr>
            </a:pPr>
            <a:r>
              <a:rPr lang="en-IN" sz="1800" b="1" i="0">
                <a:solidFill>
                  <a:schemeClr val="dk1"/>
                </a:solidFill>
                <a:latin typeface="+mn-lt"/>
              </a:rPr>
              <a:t>PASSENGER CARS: MARKETSHARE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  Passenger Cars &amp; Utility Vehi'!$H$13</c:f>
              <c:strCache>
                <c:ptCount val="1"/>
                <c:pt idx="0">
                  <c:v>MARKET SHARE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479C-4FB1-9418-45E674120D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479C-4FB1-9418-45E674120D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479C-4FB1-9418-45E674120D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479C-4FB1-9418-45E674120D6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479C-4FB1-9418-45E674120D6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479C-4FB1-9418-45E674120D6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  Passenger Cars &amp; Utility Vehi'!$G$14:$G$19</c:f>
              <c:strCache>
                <c:ptCount val="6"/>
                <c:pt idx="0">
                  <c:v>MARUTI</c:v>
                </c:pt>
                <c:pt idx="1">
                  <c:v>TATAMOTORS</c:v>
                </c:pt>
                <c:pt idx="2">
                  <c:v>HYUNDAI</c:v>
                </c:pt>
                <c:pt idx="3">
                  <c:v>M&amp;M</c:v>
                </c:pt>
                <c:pt idx="4">
                  <c:v>TOYOTA KIRLOSKAR</c:v>
                </c:pt>
                <c:pt idx="5">
                  <c:v>OTHERS</c:v>
                </c:pt>
              </c:strCache>
            </c:strRef>
          </c:cat>
          <c:val>
            <c:numRef>
              <c:f>'  Passenger Cars &amp; Utility Vehi'!$H$14:$H$19</c:f>
              <c:numCache>
                <c:formatCode>0%</c:formatCode>
                <c:ptCount val="6"/>
                <c:pt idx="0">
                  <c:v>0.43940000000000001</c:v>
                </c:pt>
                <c:pt idx="1">
                  <c:v>0.13500000000000001</c:v>
                </c:pt>
                <c:pt idx="2">
                  <c:v>0.1313</c:v>
                </c:pt>
                <c:pt idx="3">
                  <c:v>0.10489999999999999</c:v>
                </c:pt>
                <c:pt idx="4">
                  <c:v>5.1499999999999997E-2</c:v>
                </c:pt>
                <c:pt idx="5">
                  <c:v>0.13800000000000001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9C-4FB1-9418-45E674120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900" b="0" i="0">
              <a:solidFill>
                <a:schemeClr val="dk1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TRACTORS GROWTH LAST YEAR: 7.1%</a:t>
            </a:r>
          </a:p>
        </c:rich>
      </c:tx>
      <c:layout>
        <c:manualLayout>
          <c:xMode val="edge"/>
          <c:yMode val="edge"/>
          <c:x val="3.4989648033126292E-2"/>
          <c:y val="0.05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 UNIT SOLD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2C6-47C9-ACC8-9692449B5B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 Passenger Cars &amp; Utility Vehi'!$C$31:$D$31</c:f>
              <c:strCache>
                <c:ptCount val="2"/>
                <c:pt idx="0">
                  <c:v>CLY_2022</c:v>
                </c:pt>
                <c:pt idx="1">
                  <c:v>CLY_2023</c:v>
                </c:pt>
              </c:strCache>
            </c:strRef>
          </c:cat>
          <c:val>
            <c:numRef>
              <c:f>'  Passenger Cars &amp; Utility Vehi'!$C$32:$D$32</c:f>
              <c:numCache>
                <c:formatCode>#,##0</c:formatCode>
                <c:ptCount val="2"/>
                <c:pt idx="0">
                  <c:v>813923</c:v>
                </c:pt>
                <c:pt idx="1">
                  <c:v>871627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92C6-47C9-ACC8-9692449B5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681385"/>
        <c:axId val="147747171"/>
      </c:barChart>
      <c:catAx>
        <c:axId val="15136813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TRACTORS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7747171"/>
        <c:crosses val="autoZero"/>
        <c:auto val="1"/>
        <c:lblAlgn val="ctr"/>
        <c:lblOffset val="100"/>
        <c:noMultiLvlLbl val="1"/>
      </c:catAx>
      <c:valAx>
        <c:axId val="1477471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TOTAL UNIT SOLD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1368138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MARKET SHARE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  Passenger Cars &amp; Utility Vehi'!$H$31</c:f>
              <c:strCache>
                <c:ptCount val="1"/>
                <c:pt idx="0">
                  <c:v>MARKET SHARE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5AE6-43A4-898C-D4C05EFBE921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5AE6-43A4-898C-D4C05EFBE921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5AE6-43A4-898C-D4C05EFBE921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5AE6-43A4-898C-D4C05EFBE921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5AE6-43A4-898C-D4C05EFBE921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5AE6-43A4-898C-D4C05EFBE921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5AE6-43A4-898C-D4C05EFBE92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  Passenger Cars &amp; Utility Vehi'!$G$32:$G$38</c:f>
              <c:strCache>
                <c:ptCount val="7"/>
                <c:pt idx="0">
                  <c:v>M&amp;M</c:v>
                </c:pt>
                <c:pt idx="1">
                  <c:v>M&amp;M (SWARAJ)</c:v>
                </c:pt>
                <c:pt idx="2">
                  <c:v>INTERNATIONAL TRACTORS</c:v>
                </c:pt>
                <c:pt idx="3">
                  <c:v>TAFE LIMITED</c:v>
                </c:pt>
                <c:pt idx="4">
                  <c:v>ESCORTS</c:v>
                </c:pt>
                <c:pt idx="5">
                  <c:v>EICHER</c:v>
                </c:pt>
                <c:pt idx="6">
                  <c:v>OTHERS</c:v>
                </c:pt>
              </c:strCache>
            </c:strRef>
          </c:cat>
          <c:val>
            <c:numRef>
              <c:f>'  Passenger Cars &amp; Utility Vehi'!$H$32:$H$38</c:f>
              <c:numCache>
                <c:formatCode>0%</c:formatCode>
                <c:ptCount val="7"/>
                <c:pt idx="0">
                  <c:v>0.23089999999999999</c:v>
                </c:pt>
                <c:pt idx="1">
                  <c:v>0.18559999999999999</c:v>
                </c:pt>
                <c:pt idx="2">
                  <c:v>0.12989999999999999</c:v>
                </c:pt>
                <c:pt idx="3">
                  <c:v>0.1241</c:v>
                </c:pt>
                <c:pt idx="4">
                  <c:v>9.2299999999999993E-2</c:v>
                </c:pt>
                <c:pt idx="5">
                  <c:v>7.0199999999999999E-2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AE6-43A4-898C-D4C05EFBE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COM. VEHICLE GROWTH LAST YEAR: 8.3%</a:t>
            </a:r>
          </a:p>
        </c:rich>
      </c:tx>
      <c:layout>
        <c:manualLayout>
          <c:xMode val="edge"/>
          <c:yMode val="edge"/>
          <c:x val="3.4989648033126292E-2"/>
          <c:y val="0.05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 UNIT SOLD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C2F-4FDA-9176-5A82F2BE41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 Passenger Cars &amp; Utility Vehi'!$C$49:$D$49</c:f>
              <c:strCache>
                <c:ptCount val="2"/>
                <c:pt idx="0">
                  <c:v>CLY_2022</c:v>
                </c:pt>
                <c:pt idx="1">
                  <c:v>CLY_2023</c:v>
                </c:pt>
              </c:strCache>
            </c:strRef>
          </c:cat>
          <c:val>
            <c:numRef>
              <c:f>'  Passenger Cars &amp; Utility Vehi'!$C$50:$D$50</c:f>
              <c:numCache>
                <c:formatCode>#,##0</c:formatCode>
                <c:ptCount val="2"/>
                <c:pt idx="0">
                  <c:v>918284</c:v>
                </c:pt>
                <c:pt idx="1">
                  <c:v>994330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CC2F-4FDA-9176-5A82F2BE4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434156"/>
        <c:axId val="832730804"/>
      </c:barChart>
      <c:catAx>
        <c:axId val="15434341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TRACTORS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32730804"/>
        <c:crosses val="autoZero"/>
        <c:auto val="1"/>
        <c:lblAlgn val="ctr"/>
        <c:lblOffset val="100"/>
        <c:noMultiLvlLbl val="1"/>
      </c:catAx>
      <c:valAx>
        <c:axId val="8327308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TOTAL UNIT SOLD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4343415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MARKET SHARE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  Passenger Cars &amp; Utility Vehi'!$H$49</c:f>
              <c:strCache>
                <c:ptCount val="1"/>
                <c:pt idx="0">
                  <c:v>MARKET SHARE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6365-491E-AB06-AA8082EAC9A0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6365-491E-AB06-AA8082EAC9A0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6365-491E-AB06-AA8082EAC9A0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6365-491E-AB06-AA8082EAC9A0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6365-491E-AB06-AA8082EAC9A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  Passenger Cars &amp; Utility Vehi'!$G$50:$G$54</c:f>
              <c:strCache>
                <c:ptCount val="5"/>
                <c:pt idx="0">
                  <c:v>TATAMOTORS</c:v>
                </c:pt>
                <c:pt idx="1">
                  <c:v>M&amp;M </c:v>
                </c:pt>
                <c:pt idx="2">
                  <c:v>ASHOK LEYLAND</c:v>
                </c:pt>
                <c:pt idx="3">
                  <c:v>VE COMMERCIAL</c:v>
                </c:pt>
                <c:pt idx="4">
                  <c:v>OTHERS</c:v>
                </c:pt>
              </c:strCache>
            </c:strRef>
          </c:cat>
          <c:val>
            <c:numRef>
              <c:f>'  Passenger Cars &amp; Utility Vehi'!$H$50:$H$54</c:f>
              <c:numCache>
                <c:formatCode>0%</c:formatCode>
                <c:ptCount val="5"/>
                <c:pt idx="0">
                  <c:v>0.34960000000000002</c:v>
                </c:pt>
                <c:pt idx="1">
                  <c:v>0.26429999999999998</c:v>
                </c:pt>
                <c:pt idx="2">
                  <c:v>0.15659999999999999</c:v>
                </c:pt>
                <c:pt idx="3">
                  <c:v>6.5199999999999994E-2</c:v>
                </c:pt>
                <c:pt idx="4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65-491E-AB06-AA8082EAC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SALES_23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  Passenger Cars &amp; Utility Vehi'!$C$68</c:f>
              <c:strCache>
                <c:ptCount val="1"/>
                <c:pt idx="0">
                  <c:v>SALES_23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4A07-46CF-8BC3-C9232EA8DE59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4A07-46CF-8BC3-C9232EA8DE59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4A07-46CF-8BC3-C9232EA8DE59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4A07-46CF-8BC3-C9232EA8DE59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4A07-46CF-8BC3-C9232EA8DE59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4A07-46CF-8BC3-C9232EA8DE59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4A07-46CF-8BC3-C9232EA8DE5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  Passenger Cars &amp; Utility Vehi'!$B$69:$B$75</c:f>
              <c:strCache>
                <c:ptCount val="7"/>
                <c:pt idx="0">
                  <c:v>MARUTI</c:v>
                </c:pt>
                <c:pt idx="1">
                  <c:v>TATAMOTORS</c:v>
                </c:pt>
                <c:pt idx="2">
                  <c:v>M&amp;M</c:v>
                </c:pt>
                <c:pt idx="3">
                  <c:v>OLECTRA</c:v>
                </c:pt>
                <c:pt idx="4">
                  <c:v>FORCEMOT</c:v>
                </c:pt>
                <c:pt idx="5">
                  <c:v>MERCURYEV</c:v>
                </c:pt>
                <c:pt idx="6">
                  <c:v>HINDMOTORS</c:v>
                </c:pt>
              </c:strCache>
            </c:strRef>
          </c:cat>
          <c:val>
            <c:numRef>
              <c:f>'  Passenger Cars &amp; Utility Vehi'!$C$69:$C$75</c:f>
              <c:numCache>
                <c:formatCode>General</c:formatCode>
                <c:ptCount val="7"/>
                <c:pt idx="0">
                  <c:v>117571</c:v>
                </c:pt>
                <c:pt idx="1">
                  <c:v>345967</c:v>
                </c:pt>
                <c:pt idx="2">
                  <c:v>121269</c:v>
                </c:pt>
                <c:pt idx="3">
                  <c:v>1091</c:v>
                </c:pt>
                <c:pt idx="4">
                  <c:v>5029</c:v>
                </c:pt>
                <c:pt idx="5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A07-46CF-8BC3-C9232EA8D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PROFIT_23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  Passenger Cars &amp; Utility Vehi'!$G$68</c:f>
              <c:strCache>
                <c:ptCount val="1"/>
                <c:pt idx="0">
                  <c:v>PROFIT_23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543E-41BD-A548-AAC322C6B2C4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543E-41BD-A548-AAC322C6B2C4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543E-41BD-A548-AAC322C6B2C4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543E-41BD-A548-AAC322C6B2C4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543E-41BD-A548-AAC322C6B2C4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543E-41BD-A548-AAC322C6B2C4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543E-41BD-A548-AAC322C6B2C4}"/>
              </c:ext>
            </c:extLst>
          </c:dPt>
          <c:cat>
            <c:strRef>
              <c:f>'  Passenger Cars &amp; Utility Vehi'!$F$69:$F$75</c:f>
              <c:strCache>
                <c:ptCount val="7"/>
                <c:pt idx="0">
                  <c:v>MARUTI</c:v>
                </c:pt>
                <c:pt idx="1">
                  <c:v>TATAMOTORS</c:v>
                </c:pt>
                <c:pt idx="2">
                  <c:v>M&amp;M</c:v>
                </c:pt>
                <c:pt idx="3">
                  <c:v>OLECTRA</c:v>
                </c:pt>
                <c:pt idx="4">
                  <c:v>FORCEMOT</c:v>
                </c:pt>
                <c:pt idx="5">
                  <c:v>MERCURYEV</c:v>
                </c:pt>
                <c:pt idx="6">
                  <c:v>HINDMOTORS</c:v>
                </c:pt>
              </c:strCache>
            </c:strRef>
          </c:cat>
          <c:val>
            <c:numRef>
              <c:f>'  Passenger Cars &amp; Utility Vehi'!$G$69:$G$75</c:f>
              <c:numCache>
                <c:formatCode>General</c:formatCode>
                <c:ptCount val="7"/>
                <c:pt idx="0">
                  <c:v>8211</c:v>
                </c:pt>
                <c:pt idx="1">
                  <c:v>2690</c:v>
                </c:pt>
                <c:pt idx="2">
                  <c:v>11374</c:v>
                </c:pt>
                <c:pt idx="3">
                  <c:v>67</c:v>
                </c:pt>
                <c:pt idx="4">
                  <c:v>134</c:v>
                </c:pt>
                <c:pt idx="5">
                  <c:v>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43E-41BD-A548-AAC322C6B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MARKETCAP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  Passenger Cars &amp; Utility Vehi'!$K$68</c:f>
              <c:strCache>
                <c:ptCount val="1"/>
                <c:pt idx="0">
                  <c:v>MARKETCAP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CF8E-46C3-B2E9-D43BA6A2D628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CF8E-46C3-B2E9-D43BA6A2D628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CF8E-46C3-B2E9-D43BA6A2D628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CF8E-46C3-B2E9-D43BA6A2D628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CF8E-46C3-B2E9-D43BA6A2D628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CF8E-46C3-B2E9-D43BA6A2D628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CF8E-46C3-B2E9-D43BA6A2D628}"/>
              </c:ext>
            </c:extLst>
          </c:dPt>
          <c:cat>
            <c:strRef>
              <c:f>'  Passenger Cars &amp; Utility Vehi'!$J$69:$J$75</c:f>
              <c:strCache>
                <c:ptCount val="7"/>
                <c:pt idx="0">
                  <c:v>MARUTI</c:v>
                </c:pt>
                <c:pt idx="1">
                  <c:v>TATAMOTORS</c:v>
                </c:pt>
                <c:pt idx="2">
                  <c:v>M&amp;M</c:v>
                </c:pt>
                <c:pt idx="3">
                  <c:v>OLECTRA</c:v>
                </c:pt>
                <c:pt idx="4">
                  <c:v>FORCEMOT</c:v>
                </c:pt>
                <c:pt idx="5">
                  <c:v>MERCURYEV</c:v>
                </c:pt>
                <c:pt idx="6">
                  <c:v>HINDMOTORS</c:v>
                </c:pt>
              </c:strCache>
            </c:strRef>
          </c:cat>
          <c:val>
            <c:numRef>
              <c:f>'  Passenger Cars &amp; Utility Vehi'!$K$69:$K$75</c:f>
              <c:numCache>
                <c:formatCode>0</c:formatCode>
                <c:ptCount val="7"/>
                <c:pt idx="0">
                  <c:v>360526.91262179997</c:v>
                </c:pt>
                <c:pt idx="1">
                  <c:v>337209.94719979999</c:v>
                </c:pt>
                <c:pt idx="2">
                  <c:v>221757.43505639999</c:v>
                </c:pt>
                <c:pt idx="3">
                  <c:v>17060.481809000001</c:v>
                </c:pt>
                <c:pt idx="4">
                  <c:v>7731</c:v>
                </c:pt>
                <c:pt idx="5">
                  <c:v>1457.04259</c:v>
                </c:pt>
                <c:pt idx="6">
                  <c:v>420.44828000000001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F8E-46C3-B2E9-D43BA6A2D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SALES_5Y_GR: 4.7% MUTED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SALES_5Y_GR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B46-4916-8727-4536DDED3361}"/>
              </c:ext>
            </c:extLst>
          </c:dPt>
          <c:dPt>
            <c:idx val="3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B46-4916-8727-4536DDED33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 Passenger Cars &amp; Utility Vehi'!$B$97:$B$101</c:f>
              <c:strCache>
                <c:ptCount val="5"/>
                <c:pt idx="0">
                  <c:v>MARUTI</c:v>
                </c:pt>
                <c:pt idx="1">
                  <c:v>TATAMOTORS</c:v>
                </c:pt>
                <c:pt idx="2">
                  <c:v>M&amp;M</c:v>
                </c:pt>
                <c:pt idx="3">
                  <c:v>OLECTRA</c:v>
                </c:pt>
                <c:pt idx="4">
                  <c:v>FORCEMOT</c:v>
                </c:pt>
              </c:strCache>
            </c:strRef>
          </c:cat>
          <c:val>
            <c:numRef>
              <c:f>'  Passenger Cars &amp; Utility Vehi'!$C$97:$C$101</c:f>
              <c:numCache>
                <c:formatCode>0.0%</c:formatCode>
                <c:ptCount val="5"/>
                <c:pt idx="0">
                  <c:v>7.4617362999614967E-2</c:v>
                </c:pt>
                <c:pt idx="1">
                  <c:v>3.5000000000000003E-2</c:v>
                </c:pt>
                <c:pt idx="2">
                  <c:v>5.3916540096863086E-2</c:v>
                </c:pt>
                <c:pt idx="3">
                  <c:v>0.46081823198345173</c:v>
                </c:pt>
                <c:pt idx="4">
                  <c:v>7.3289260123837519E-2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DB46-4916-8727-4536DDED3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5867133"/>
        <c:axId val="1348705619"/>
      </c:barChart>
      <c:catAx>
        <c:axId val="14158671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48705619"/>
        <c:crosses val="autoZero"/>
        <c:auto val="1"/>
        <c:lblAlgn val="ctr"/>
        <c:lblOffset val="100"/>
        <c:noMultiLvlLbl val="1"/>
      </c:catAx>
      <c:valAx>
        <c:axId val="13487056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SALES_5Y_GR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1586713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CY_SALES GR : 27.9%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CY_SALES GR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8BA-416D-86B5-270CEC0DC1EF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8BA-416D-86B5-270CEC0DC1EF}"/>
              </c:ext>
            </c:extLst>
          </c:dPt>
          <c:dPt>
            <c:idx val="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8BA-416D-86B5-270CEC0DC1EF}"/>
              </c:ext>
            </c:extLst>
          </c:dPt>
          <c:dPt>
            <c:idx val="4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8BA-416D-86B5-270CEC0DC1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 Passenger Cars &amp; Utility Vehi'!$F$97:$F$101</c:f>
              <c:strCache>
                <c:ptCount val="5"/>
                <c:pt idx="0">
                  <c:v>MARUTI</c:v>
                </c:pt>
                <c:pt idx="1">
                  <c:v>TATAMOTORS</c:v>
                </c:pt>
                <c:pt idx="2">
                  <c:v>M&amp;M</c:v>
                </c:pt>
                <c:pt idx="3">
                  <c:v>OLECTRA</c:v>
                </c:pt>
                <c:pt idx="4">
                  <c:v>FORCEMOT</c:v>
                </c:pt>
              </c:strCache>
            </c:strRef>
          </c:cat>
          <c:val>
            <c:numRef>
              <c:f>'  Passenger Cars &amp; Utility Vehi'!$G$97:$G$101</c:f>
              <c:numCache>
                <c:formatCode>0.0%</c:formatCode>
                <c:ptCount val="5"/>
                <c:pt idx="0">
                  <c:v>9.3600000000000003E-2</c:v>
                </c:pt>
                <c:pt idx="1">
                  <c:v>5.6800000000000003E-2</c:v>
                </c:pt>
                <c:pt idx="2">
                  <c:v>0.1079</c:v>
                </c:pt>
                <c:pt idx="3">
                  <c:v>0.45369999999999999</c:v>
                </c:pt>
                <c:pt idx="4">
                  <c:v>0.2661290322580645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B8BA-416D-86B5-270CEC0DC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540418"/>
        <c:axId val="971274251"/>
      </c:barChart>
      <c:catAx>
        <c:axId val="1325404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71274251"/>
        <c:crosses val="autoZero"/>
        <c:auto val="1"/>
        <c:lblAlgn val="ctr"/>
        <c:lblOffset val="100"/>
        <c:noMultiLvlLbl val="1"/>
      </c:catAx>
      <c:valAx>
        <c:axId val="9712742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CY_SALES 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254041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INDUSTRY MARGIN EXPANDED BY 320 BPS</a:t>
            </a:r>
          </a:p>
        </c:rich>
      </c:tx>
      <c:layout>
        <c:manualLayout>
          <c:xMode val="edge"/>
          <c:yMode val="edge"/>
          <c:x val="3.1122448979591835E-2"/>
          <c:y val="4.6721311475409838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MARGIN_23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 Passenger Cars &amp; Utility Vehi'!$B$123:$B$127</c:f>
              <c:strCache>
                <c:ptCount val="5"/>
                <c:pt idx="0">
                  <c:v>MARUTI</c:v>
                </c:pt>
                <c:pt idx="1">
                  <c:v>TATAMOTORS</c:v>
                </c:pt>
                <c:pt idx="2">
                  <c:v>M&amp;M</c:v>
                </c:pt>
                <c:pt idx="3">
                  <c:v>OLECTRA</c:v>
                </c:pt>
                <c:pt idx="4">
                  <c:v>FORCEMOT</c:v>
                </c:pt>
              </c:strCache>
            </c:strRef>
          </c:cat>
          <c:val>
            <c:numRef>
              <c:f>'  Passenger Cars &amp; Utility Vehi'!$C$123:$C$127</c:f>
              <c:numCache>
                <c:formatCode>0.0%</c:formatCode>
                <c:ptCount val="5"/>
                <c:pt idx="0">
                  <c:v>6.9838650687669576E-2</c:v>
                </c:pt>
                <c:pt idx="1">
                  <c:v>7.7753080496116679E-3</c:v>
                </c:pt>
                <c:pt idx="2">
                  <c:v>9.3791488344094537E-2</c:v>
                </c:pt>
                <c:pt idx="3">
                  <c:v>6.1411549037580199E-2</c:v>
                </c:pt>
                <c:pt idx="4">
                  <c:v>2.6645456353151721E-2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D34-4CB5-8E97-63031D0D38FD}"/>
            </c:ext>
          </c:extLst>
        </c:ser>
        <c:ser>
          <c:idx val="1"/>
          <c:order val="1"/>
          <c:tx>
            <c:v>CY_MARGIN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 Passenger Cars &amp; Utility Vehi'!$B$123:$B$127</c:f>
              <c:strCache>
                <c:ptCount val="5"/>
                <c:pt idx="0">
                  <c:v>MARUTI</c:v>
                </c:pt>
                <c:pt idx="1">
                  <c:v>TATAMOTORS</c:v>
                </c:pt>
                <c:pt idx="2">
                  <c:v>M&amp;M</c:v>
                </c:pt>
                <c:pt idx="3">
                  <c:v>OLECTRA</c:v>
                </c:pt>
                <c:pt idx="4">
                  <c:v>FORCEMOT</c:v>
                </c:pt>
              </c:strCache>
            </c:strRef>
          </c:cat>
          <c:val>
            <c:numRef>
              <c:f>'  Passenger Cars &amp; Utility Vehi'!$D$123:$D$127</c:f>
              <c:numCache>
                <c:formatCode>0.0%</c:formatCode>
                <c:ptCount val="5"/>
                <c:pt idx="0">
                  <c:v>8.9833445653220378E-2</c:v>
                </c:pt>
                <c:pt idx="1">
                  <c:v>5.7029448860008616E-2</c:v>
                </c:pt>
                <c:pt idx="2">
                  <c:v>8.8868373742772455E-2</c:v>
                </c:pt>
                <c:pt idx="3">
                  <c:v>7.3988439306358386E-2</c:v>
                </c:pt>
                <c:pt idx="4">
                  <c:v>4.9799196787148593E-2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D34-4CB5-8E97-63031D0D3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0076900"/>
        <c:axId val="290513340"/>
      </c:barChart>
      <c:catAx>
        <c:axId val="5500769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90513340"/>
        <c:crosses val="autoZero"/>
        <c:auto val="1"/>
        <c:lblAlgn val="ctr"/>
        <c:lblOffset val="100"/>
        <c:noMultiLvlLbl val="1"/>
      </c:catAx>
      <c:valAx>
        <c:axId val="2905133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5007690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CUR. RATIO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CUR. RATIO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41A-4D58-8BFB-66D830501929}"/>
              </c:ext>
            </c:extLst>
          </c:dPt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41A-4D58-8BFB-66D830501929}"/>
              </c:ext>
            </c:extLst>
          </c:dPt>
          <c:dPt>
            <c:idx val="3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41A-4D58-8BFB-66D830501929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41A-4D58-8BFB-66D8305019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 Passenger Cars &amp; Utility Vehi'!$G$123:$G$127</c:f>
              <c:strCache>
                <c:ptCount val="5"/>
                <c:pt idx="0">
                  <c:v>MARUTI</c:v>
                </c:pt>
                <c:pt idx="1">
                  <c:v>TATAMOTORS</c:v>
                </c:pt>
                <c:pt idx="2">
                  <c:v>M&amp;M</c:v>
                </c:pt>
                <c:pt idx="3">
                  <c:v>OLECTRA</c:v>
                </c:pt>
                <c:pt idx="4">
                  <c:v>FORCEMOT</c:v>
                </c:pt>
              </c:strCache>
            </c:strRef>
          </c:cat>
          <c:val>
            <c:numRef>
              <c:f>'  Passenger Cars &amp; Utility Vehi'!$H$123:$H$127</c:f>
              <c:numCache>
                <c:formatCode>0.00</c:formatCode>
                <c:ptCount val="5"/>
                <c:pt idx="0">
                  <c:v>0.66301445539084802</c:v>
                </c:pt>
                <c:pt idx="1">
                  <c:v>0.98175047040221297</c:v>
                </c:pt>
                <c:pt idx="2">
                  <c:v>1.3053082308162849</c:v>
                </c:pt>
                <c:pt idx="3">
                  <c:v>1.7734138972809668</c:v>
                </c:pt>
                <c:pt idx="4">
                  <c:v>1.0214362272240085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841A-4D58-8BFB-66D830501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577122"/>
        <c:axId val="272248673"/>
      </c:barChart>
      <c:catAx>
        <c:axId val="6675771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72248673"/>
        <c:crosses val="autoZero"/>
        <c:auto val="1"/>
        <c:lblAlgn val="ctr"/>
        <c:lblOffset val="100"/>
        <c:noMultiLvlLbl val="1"/>
      </c:catAx>
      <c:valAx>
        <c:axId val="2722486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6757712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TR.DAYS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TR.DAYS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1D3-4409-A336-55648AB2A41A}"/>
              </c:ext>
            </c:extLst>
          </c:dPt>
          <c:dPt>
            <c:idx val="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1D3-4409-A336-55648AB2A41A}"/>
              </c:ext>
            </c:extLst>
          </c:dPt>
          <c:dPt>
            <c:idx val="4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1D3-4409-A336-55648AB2A4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 Passenger Cars &amp; Utility Vehi'!$K$123:$K$127</c:f>
              <c:strCache>
                <c:ptCount val="5"/>
                <c:pt idx="0">
                  <c:v>MARUTI</c:v>
                </c:pt>
                <c:pt idx="1">
                  <c:v>TATAMOTORS</c:v>
                </c:pt>
                <c:pt idx="2">
                  <c:v>M&amp;M</c:v>
                </c:pt>
                <c:pt idx="3">
                  <c:v>OLECTRA</c:v>
                </c:pt>
                <c:pt idx="4">
                  <c:v>FORCEMOT</c:v>
                </c:pt>
              </c:strCache>
            </c:strRef>
          </c:cat>
          <c:val>
            <c:numRef>
              <c:f>'  Passenger Cars &amp; Utility Vehi'!$L$123:$L$127</c:f>
              <c:numCache>
                <c:formatCode>0</c:formatCode>
                <c:ptCount val="5"/>
                <c:pt idx="0">
                  <c:v>13.849206011686556</c:v>
                </c:pt>
                <c:pt idx="1">
                  <c:v>18.034756060549128</c:v>
                </c:pt>
                <c:pt idx="2">
                  <c:v>25.977908616381761</c:v>
                </c:pt>
                <c:pt idx="3">
                  <c:v>173.63428047662697</c:v>
                </c:pt>
                <c:pt idx="4">
                  <c:v>10.669119109166832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B1D3-4409-A336-55648AB2A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6878338"/>
        <c:axId val="1871099482"/>
      </c:barChart>
      <c:catAx>
        <c:axId val="13568783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71099482"/>
        <c:crosses val="autoZero"/>
        <c:auto val="1"/>
        <c:lblAlgn val="ctr"/>
        <c:lblOffset val="100"/>
        <c:noMultiLvlLbl val="1"/>
      </c:catAx>
      <c:valAx>
        <c:axId val="18710994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5687833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DEBT2EQUITY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DEBT2EQUITY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62-4C01-9DB6-0F5A019A2F34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62-4C01-9DB6-0F5A019A2F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 Passenger Cars &amp; Utility Vehi'!$B$152:$B$158</c:f>
              <c:strCache>
                <c:ptCount val="7"/>
                <c:pt idx="0">
                  <c:v>MARUTI</c:v>
                </c:pt>
                <c:pt idx="1">
                  <c:v>TATAMOTORS</c:v>
                </c:pt>
                <c:pt idx="2">
                  <c:v>M&amp;M</c:v>
                </c:pt>
                <c:pt idx="3">
                  <c:v>OLECTRA</c:v>
                </c:pt>
                <c:pt idx="4">
                  <c:v>FORCEMOT</c:v>
                </c:pt>
                <c:pt idx="5">
                  <c:v>MERCURYEV</c:v>
                </c:pt>
                <c:pt idx="6">
                  <c:v>HINDMOTORS</c:v>
                </c:pt>
              </c:strCache>
            </c:strRef>
          </c:cat>
          <c:val>
            <c:numRef>
              <c:f>'  Passenger Cars &amp; Utility Vehi'!$C$152:$C$158</c:f>
              <c:numCache>
                <c:formatCode>0.00</c:formatCode>
                <c:ptCount val="7"/>
                <c:pt idx="0">
                  <c:v>5.5173042724909948E-3</c:v>
                </c:pt>
                <c:pt idx="1">
                  <c:v>1.9623371734105641</c:v>
                </c:pt>
                <c:pt idx="2">
                  <c:v>1.356009740579649</c:v>
                </c:pt>
                <c:pt idx="3">
                  <c:v>0.14874141876430205</c:v>
                </c:pt>
                <c:pt idx="4">
                  <c:v>0.35865811544153919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A162-4C01-9DB6-0F5A019A2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492771"/>
        <c:axId val="1334241805"/>
      </c:barChart>
      <c:catAx>
        <c:axId val="11864927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34241805"/>
        <c:crosses val="autoZero"/>
        <c:auto val="1"/>
        <c:lblAlgn val="ctr"/>
        <c:lblOffset val="100"/>
        <c:noMultiLvlLbl val="1"/>
      </c:catAx>
      <c:valAx>
        <c:axId val="13342418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8649277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ICR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ICR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CAD-4924-A4A3-CDB8BA766F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 Passenger Cars &amp; Utility Vehi'!$F$152:$F$158</c:f>
              <c:strCache>
                <c:ptCount val="7"/>
                <c:pt idx="0">
                  <c:v>MARUTI</c:v>
                </c:pt>
                <c:pt idx="1">
                  <c:v>TATAMOTORS</c:v>
                </c:pt>
                <c:pt idx="2">
                  <c:v>M&amp;M</c:v>
                </c:pt>
                <c:pt idx="3">
                  <c:v>OLECTRA</c:v>
                </c:pt>
                <c:pt idx="4">
                  <c:v>FORCEMOT</c:v>
                </c:pt>
                <c:pt idx="5">
                  <c:v>MERCURYEV</c:v>
                </c:pt>
                <c:pt idx="6">
                  <c:v>HINDMOTORS</c:v>
                </c:pt>
              </c:strCache>
            </c:strRef>
          </c:cat>
          <c:val>
            <c:numRef>
              <c:f>'  Passenger Cars &amp; Utility Vehi'!$G$152:$G$158</c:f>
              <c:numCache>
                <c:formatCode>0</c:formatCode>
                <c:ptCount val="7"/>
                <c:pt idx="0">
                  <c:v>43.80748663101604</c:v>
                </c:pt>
                <c:pt idx="1">
                  <c:v>0.6903667481662592</c:v>
                </c:pt>
                <c:pt idx="2">
                  <c:v>2.7324185248713553</c:v>
                </c:pt>
                <c:pt idx="3">
                  <c:v>3.4838709677419355</c:v>
                </c:pt>
                <c:pt idx="4">
                  <c:v>1.3088235294117647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2CAD-4924-A4A3-CDB8BA766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914253"/>
        <c:axId val="401160125"/>
      </c:barChart>
      <c:catAx>
        <c:axId val="3169142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01160125"/>
        <c:crosses val="autoZero"/>
        <c:auto val="1"/>
        <c:lblAlgn val="ctr"/>
        <c:lblOffset val="100"/>
        <c:noMultiLvlLbl val="1"/>
      </c:catAx>
      <c:valAx>
        <c:axId val="40116012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1691425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DEBTRATIO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DEBTRATIO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777-4710-91D7-2C58209CA964}"/>
              </c:ext>
            </c:extLst>
          </c:dPt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777-4710-91D7-2C58209CA964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777-4710-91D7-2C58209CA9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 Passenger Cars &amp; Utility Vehi'!$J$152:$J$158</c:f>
              <c:strCache>
                <c:ptCount val="7"/>
                <c:pt idx="0">
                  <c:v>MARUTI</c:v>
                </c:pt>
                <c:pt idx="1">
                  <c:v>TATAMOTORS</c:v>
                </c:pt>
                <c:pt idx="2">
                  <c:v>M&amp;M</c:v>
                </c:pt>
                <c:pt idx="3">
                  <c:v>OLECTRA</c:v>
                </c:pt>
                <c:pt idx="4">
                  <c:v>FORCEMOT</c:v>
                </c:pt>
                <c:pt idx="5">
                  <c:v>MERCURYEV</c:v>
                </c:pt>
                <c:pt idx="6">
                  <c:v>HINDMOTORS</c:v>
                </c:pt>
              </c:strCache>
            </c:strRef>
          </c:cat>
          <c:val>
            <c:numRef>
              <c:f>'  Passenger Cars &amp; Utility Vehi'!$K$152:$K$158</c:f>
              <c:numCache>
                <c:formatCode>0.00</c:formatCode>
                <c:ptCount val="7"/>
                <c:pt idx="0">
                  <c:v>0.30553959060966446</c:v>
                </c:pt>
                <c:pt idx="1">
                  <c:v>0.8245522200826888</c:v>
                </c:pt>
                <c:pt idx="2">
                  <c:v>0.67819887395650735</c:v>
                </c:pt>
                <c:pt idx="3">
                  <c:v>0.44962216624685136</c:v>
                </c:pt>
                <c:pt idx="4">
                  <c:v>0.52991651205936918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0777-4710-91D7-2C58209CA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3217620"/>
        <c:axId val="1563298709"/>
      </c:barChart>
      <c:catAx>
        <c:axId val="8732176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63298709"/>
        <c:crosses val="autoZero"/>
        <c:auto val="1"/>
        <c:lblAlgn val="ctr"/>
        <c:lblOffset val="100"/>
        <c:noMultiLvlLbl val="1"/>
      </c:catAx>
      <c:valAx>
        <c:axId val="15632987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7321762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ROE and ROA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ROE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 Passenger Cars &amp; Utility Vehi'!$B$178:$B$186</c:f>
              <c:strCache>
                <c:ptCount val="9"/>
                <c:pt idx="0">
                  <c:v>MARUTI</c:v>
                </c:pt>
                <c:pt idx="1">
                  <c:v>TATAMOTORS</c:v>
                </c:pt>
                <c:pt idx="2">
                  <c:v>M&amp;M</c:v>
                </c:pt>
                <c:pt idx="3">
                  <c:v>OLECTRA</c:v>
                </c:pt>
                <c:pt idx="4">
                  <c:v>FORCEMOT</c:v>
                </c:pt>
                <c:pt idx="5">
                  <c:v>MERCURYEV</c:v>
                </c:pt>
                <c:pt idx="6">
                  <c:v>HINDMOTORS</c:v>
                </c:pt>
                <c:pt idx="8">
                  <c:v>INDUSTRY</c:v>
                </c:pt>
              </c:strCache>
            </c:strRef>
          </c:cat>
          <c:val>
            <c:numRef>
              <c:f>'  Passenger Cars &amp; Utility Vehi'!$C$178:$C$186</c:f>
              <c:numCache>
                <c:formatCode>0.0%</c:formatCode>
                <c:ptCount val="9"/>
                <c:pt idx="0">
                  <c:v>0.12480051069262688</c:v>
                </c:pt>
                <c:pt idx="1">
                  <c:v>4.4184759969987213E-2</c:v>
                </c:pt>
                <c:pt idx="2">
                  <c:v>0.16010022099291979</c:v>
                </c:pt>
                <c:pt idx="3">
                  <c:v>7.6659038901601834E-2</c:v>
                </c:pt>
                <c:pt idx="4">
                  <c:v>6.6107548100641345E-2</c:v>
                </c:pt>
                <c:pt idx="8">
                  <c:v>0.11204090047479355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722-40AC-87A3-1F898DD9ACA7}"/>
            </c:ext>
          </c:extLst>
        </c:ser>
        <c:ser>
          <c:idx val="1"/>
          <c:order val="1"/>
          <c:tx>
            <c:v>ROA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 Passenger Cars &amp; Utility Vehi'!$B$178:$B$186</c:f>
              <c:strCache>
                <c:ptCount val="9"/>
                <c:pt idx="0">
                  <c:v>MARUTI</c:v>
                </c:pt>
                <c:pt idx="1">
                  <c:v>TATAMOTORS</c:v>
                </c:pt>
                <c:pt idx="2">
                  <c:v>M&amp;M</c:v>
                </c:pt>
                <c:pt idx="3">
                  <c:v>OLECTRA</c:v>
                </c:pt>
                <c:pt idx="4">
                  <c:v>FORCEMOT</c:v>
                </c:pt>
                <c:pt idx="5">
                  <c:v>MERCURYEV</c:v>
                </c:pt>
                <c:pt idx="6">
                  <c:v>HINDMOTORS</c:v>
                </c:pt>
                <c:pt idx="8">
                  <c:v>INDUSTRY</c:v>
                </c:pt>
              </c:strCache>
            </c:strRef>
          </c:cat>
          <c:val>
            <c:numRef>
              <c:f>'  Passenger Cars &amp; Utility Vehi'!$D$178:$D$186</c:f>
              <c:numCache>
                <c:formatCode>0.0%</c:formatCode>
                <c:ptCount val="9"/>
                <c:pt idx="0">
                  <c:v>9.0753348954418847E-2</c:v>
                </c:pt>
                <c:pt idx="1">
                  <c:v>7.7521180429135353E-3</c:v>
                </c:pt>
                <c:pt idx="2">
                  <c:v>5.151898103481857E-2</c:v>
                </c:pt>
                <c:pt idx="3">
                  <c:v>4.2191435768261967E-2</c:v>
                </c:pt>
                <c:pt idx="4">
                  <c:v>3.1076066790352505E-2</c:v>
                </c:pt>
                <c:pt idx="8">
                  <c:v>3.3843797616246694E-2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722-40AC-87A3-1F898DD9A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9740142"/>
        <c:axId val="2093987867"/>
      </c:barChart>
      <c:catAx>
        <c:axId val="17997401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93987867"/>
        <c:crosses val="autoZero"/>
        <c:auto val="1"/>
        <c:lblAlgn val="ctr"/>
        <c:lblOffset val="100"/>
        <c:noMultiLvlLbl val="1"/>
      </c:catAx>
      <c:valAx>
        <c:axId val="20939878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9974014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TRAIL_PE and PBV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TRAIL_PE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 Passenger Cars &amp; Utility Vehi'!$G$178:$G$186</c:f>
              <c:strCache>
                <c:ptCount val="9"/>
                <c:pt idx="0">
                  <c:v>MARUTI</c:v>
                </c:pt>
                <c:pt idx="1">
                  <c:v>TATAMOTORS</c:v>
                </c:pt>
                <c:pt idx="2">
                  <c:v>M&amp;M</c:v>
                </c:pt>
                <c:pt idx="3">
                  <c:v>OLECTRA</c:v>
                </c:pt>
                <c:pt idx="4">
                  <c:v>FORCEMOT</c:v>
                </c:pt>
                <c:pt idx="5">
                  <c:v>MERCURYEV</c:v>
                </c:pt>
                <c:pt idx="6">
                  <c:v>HINDMOTORS</c:v>
                </c:pt>
                <c:pt idx="8">
                  <c:v>INDUSTRY</c:v>
                </c:pt>
              </c:strCache>
            </c:strRef>
          </c:cat>
          <c:val>
            <c:numRef>
              <c:f>'  Passenger Cars &amp; Utility Vehi'!$H$178:$H$186</c:f>
              <c:numCache>
                <c:formatCode>0</c:formatCode>
                <c:ptCount val="9"/>
                <c:pt idx="0">
                  <c:v>29.299744572158367</c:v>
                </c:pt>
                <c:pt idx="1">
                  <c:v>16.228641888321295</c:v>
                </c:pt>
                <c:pt idx="2">
                  <c:v>18.627706495589415</c:v>
                </c:pt>
                <c:pt idx="3">
                  <c:v>188.36065573770489</c:v>
                </c:pt>
                <c:pt idx="4">
                  <c:v>18.891719745222929</c:v>
                </c:pt>
                <c:pt idx="8">
                  <c:v>18.891719745222929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828-4AEE-8D90-0832E27F703C}"/>
            </c:ext>
          </c:extLst>
        </c:ser>
        <c:ser>
          <c:idx val="1"/>
          <c:order val="1"/>
          <c:tx>
            <c:v>PBV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 Passenger Cars &amp; Utility Vehi'!$G$178:$G$186</c:f>
              <c:strCache>
                <c:ptCount val="9"/>
                <c:pt idx="0">
                  <c:v>MARUTI</c:v>
                </c:pt>
                <c:pt idx="1">
                  <c:v>TATAMOTORS</c:v>
                </c:pt>
                <c:pt idx="2">
                  <c:v>M&amp;M</c:v>
                </c:pt>
                <c:pt idx="3">
                  <c:v>OLECTRA</c:v>
                </c:pt>
                <c:pt idx="4">
                  <c:v>FORCEMOT</c:v>
                </c:pt>
                <c:pt idx="5">
                  <c:v>MERCURYEV</c:v>
                </c:pt>
                <c:pt idx="6">
                  <c:v>HINDMOTORS</c:v>
                </c:pt>
                <c:pt idx="8">
                  <c:v>INDUSTRY</c:v>
                </c:pt>
              </c:strCache>
            </c:strRef>
          </c:cat>
          <c:val>
            <c:numRef>
              <c:f>'  Passenger Cars &amp; Utility Vehi'!$I$178:$I$186</c:f>
              <c:numCache>
                <c:formatCode>0</c:formatCode>
                <c:ptCount val="9"/>
                <c:pt idx="0">
                  <c:v>5.2532401734805294</c:v>
                </c:pt>
                <c:pt idx="1">
                  <c:v>5.7254211442483838</c:v>
                </c:pt>
                <c:pt idx="2">
                  <c:v>2.8912656424581007</c:v>
                </c:pt>
                <c:pt idx="3">
                  <c:v>18.262251655629136</c:v>
                </c:pt>
                <c:pt idx="4">
                  <c:v>3.7801960784313726</c:v>
                </c:pt>
                <c:pt idx="8">
                  <c:v>5.2532401734805294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828-4AEE-8D90-0832E27F7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4917463"/>
        <c:axId val="686551190"/>
      </c:barChart>
      <c:catAx>
        <c:axId val="12549174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86551190"/>
        <c:crosses val="autoZero"/>
        <c:auto val="1"/>
        <c:lblAlgn val="ctr"/>
        <c:lblOffset val="100"/>
        <c:noMultiLvlLbl val="1"/>
      </c:catAx>
      <c:valAx>
        <c:axId val="6865511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5491746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YIELD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YIELD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 Passenger Cars &amp; Utility Vehi'!$G$178:$G$186</c:f>
              <c:strCache>
                <c:ptCount val="9"/>
                <c:pt idx="0">
                  <c:v>MARUTI</c:v>
                </c:pt>
                <c:pt idx="1">
                  <c:v>TATAMOTORS</c:v>
                </c:pt>
                <c:pt idx="2">
                  <c:v>M&amp;M</c:v>
                </c:pt>
                <c:pt idx="3">
                  <c:v>OLECTRA</c:v>
                </c:pt>
                <c:pt idx="4">
                  <c:v>FORCEMOT</c:v>
                </c:pt>
                <c:pt idx="5">
                  <c:v>MERCURYEV</c:v>
                </c:pt>
                <c:pt idx="6">
                  <c:v>HINDMOTORS</c:v>
                </c:pt>
                <c:pt idx="8">
                  <c:v>INDUSTRY</c:v>
                </c:pt>
              </c:strCache>
            </c:strRef>
          </c:cat>
          <c:val>
            <c:numRef>
              <c:f>'  Passenger Cars &amp; Utility Vehi'!$J$178:$J$186</c:f>
              <c:numCache>
                <c:formatCode>0.0%</c:formatCode>
                <c:ptCount val="9"/>
                <c:pt idx="0">
                  <c:v>3.4129990366886499E-2</c:v>
                </c:pt>
                <c:pt idx="1">
                  <c:v>6.1619450776077292E-2</c:v>
                </c:pt>
                <c:pt idx="2">
                  <c:v>5.3683474143033962E-2</c:v>
                </c:pt>
                <c:pt idx="3">
                  <c:v>5.3089643167972154E-3</c:v>
                </c:pt>
                <c:pt idx="4">
                  <c:v>5.2933243425488871E-2</c:v>
                </c:pt>
                <c:pt idx="8" formatCode="0.00%">
                  <c:v>5.2933243425488871E-2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62D-4FF0-BFC8-2E8195CF3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3052306"/>
        <c:axId val="1110719166"/>
      </c:barChart>
      <c:catAx>
        <c:axId val="10930523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10719166"/>
        <c:crosses val="autoZero"/>
        <c:auto val="1"/>
        <c:lblAlgn val="ctr"/>
        <c:lblOffset val="100"/>
        <c:noMultiLvlLbl val="1"/>
      </c:catAx>
      <c:valAx>
        <c:axId val="11107191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YIELD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9305230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0</xdr:rowOff>
    </xdr:from>
    <xdr:ext cx="523875" cy="523875"/>
    <xdr:pic>
      <xdr:nvPicPr>
        <xdr:cNvPr id="2" name="image9.jpg" title="Image">
          <a:extLst>
            <a:ext uri="{FF2B5EF4-FFF2-40B4-BE49-F238E27FC236}">
              <a16:creationId xmlns:a16="http://schemas.microsoft.com/office/drawing/2014/main" id="{1D4BAE1E-9C1E-4133-BBC1-4B94DEF5AD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3895" y="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295275</xdr:colOff>
      <xdr:row>0</xdr:row>
      <xdr:rowOff>28575</xdr:rowOff>
    </xdr:from>
    <xdr:ext cx="476250" cy="4762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46671AE5-00E0-4798-8FEA-E46351F3E6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680055" y="28575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87</xdr:row>
      <xdr:rowOff>200025</xdr:rowOff>
    </xdr:from>
    <xdr:ext cx="523875" cy="523875"/>
    <xdr:pic>
      <xdr:nvPicPr>
        <xdr:cNvPr id="4" name="image10.jpg" title="Image">
          <a:extLst>
            <a:ext uri="{FF2B5EF4-FFF2-40B4-BE49-F238E27FC236}">
              <a16:creationId xmlns:a16="http://schemas.microsoft.com/office/drawing/2014/main" id="{449A8466-3652-47E0-92D3-A4CBE00668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6745" y="1752790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266700</xdr:colOff>
      <xdr:row>85</xdr:row>
      <xdr:rowOff>19050</xdr:rowOff>
    </xdr:from>
    <xdr:ext cx="523875" cy="523875"/>
    <xdr:pic>
      <xdr:nvPicPr>
        <xdr:cNvPr id="5" name="image10.jpg" title="Image">
          <a:extLst>
            <a:ext uri="{FF2B5EF4-FFF2-40B4-BE49-F238E27FC236}">
              <a16:creationId xmlns:a16="http://schemas.microsoft.com/office/drawing/2014/main" id="{8E4E10AC-EB27-486F-8DF0-E010059FA1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51480" y="1695069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1228725</xdr:colOff>
      <xdr:row>0</xdr:row>
      <xdr:rowOff>28575</xdr:rowOff>
    </xdr:from>
    <xdr:ext cx="523875" cy="523875"/>
    <xdr:pic>
      <xdr:nvPicPr>
        <xdr:cNvPr id="6" name="image9.jpg" title="Image">
          <a:extLst>
            <a:ext uri="{FF2B5EF4-FFF2-40B4-BE49-F238E27FC236}">
              <a16:creationId xmlns:a16="http://schemas.microsoft.com/office/drawing/2014/main" id="{9A6ECA63-399D-48EE-99CD-DF43665FDD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3045" y="285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53</xdr:row>
      <xdr:rowOff>-152400</xdr:rowOff>
    </xdr:from>
    <xdr:ext cx="6962775" cy="6962775"/>
    <xdr:pic>
      <xdr:nvPicPr>
        <xdr:cNvPr id="7" name="image2.png" title="Image">
          <a:extLst>
            <a:ext uri="{FF2B5EF4-FFF2-40B4-BE49-F238E27FC236}">
              <a16:creationId xmlns:a16="http://schemas.microsoft.com/office/drawing/2014/main" id="{FC7A5A7E-DC2C-4CC6-935D-EE4DAB15237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4300" y="10439400"/>
          <a:ext cx="6962775" cy="69627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390525</xdr:colOff>
      <xdr:row>14</xdr:row>
      <xdr:rowOff>152400</xdr:rowOff>
    </xdr:from>
    <xdr:ext cx="4600575" cy="28384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29CFEC2-1B38-480A-8976-BBB906B30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190500</xdr:colOff>
      <xdr:row>15</xdr:row>
      <xdr:rowOff>0</xdr:rowOff>
    </xdr:from>
    <xdr:ext cx="4505325" cy="27717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FAF5C4F2-0195-4745-88F8-B2D04203A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390525</xdr:colOff>
      <xdr:row>32</xdr:row>
      <xdr:rowOff>104775</xdr:rowOff>
    </xdr:from>
    <xdr:ext cx="4600575" cy="283845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AC5EB1A5-03DE-4E88-B3AC-610876994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8</xdr:col>
      <xdr:colOff>161925</xdr:colOff>
      <xdr:row>32</xdr:row>
      <xdr:rowOff>9525</xdr:rowOff>
    </xdr:from>
    <xdr:ext cx="4562475" cy="2838450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373B8D89-AD82-4F72-8217-496F8262C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0</xdr:col>
      <xdr:colOff>438150</xdr:colOff>
      <xdr:row>50</xdr:row>
      <xdr:rowOff>104775</xdr:rowOff>
    </xdr:from>
    <xdr:ext cx="4600575" cy="2838450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FF430BCC-0DD6-4E4B-BDF2-B22C36470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8</xdr:col>
      <xdr:colOff>161925</xdr:colOff>
      <xdr:row>48</xdr:row>
      <xdr:rowOff>47625</xdr:rowOff>
    </xdr:from>
    <xdr:ext cx="4562475" cy="2838450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BA52EE1B-4ADC-4AED-A3E5-7F8868B2E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0</xdr:col>
      <xdr:colOff>323850</xdr:colOff>
      <xdr:row>77</xdr:row>
      <xdr:rowOff>190500</xdr:rowOff>
    </xdr:from>
    <xdr:ext cx="4667250" cy="2905125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5A0ADB73-C2FA-410E-9F2B-9994A6271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5</xdr:col>
      <xdr:colOff>9525</xdr:colOff>
      <xdr:row>77</xdr:row>
      <xdr:rowOff>190500</xdr:rowOff>
    </xdr:from>
    <xdr:ext cx="4733925" cy="2905125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D351D21A-E23E-4B41-9D38-D56188D53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9</xdr:col>
      <xdr:colOff>771525</xdr:colOff>
      <xdr:row>77</xdr:row>
      <xdr:rowOff>190500</xdr:rowOff>
    </xdr:from>
    <xdr:ext cx="4733925" cy="2905125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460F8E5C-5CC7-4035-A71E-965073AF8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0</xdr:col>
      <xdr:colOff>323850</xdr:colOff>
      <xdr:row>104</xdr:row>
      <xdr:rowOff>38100</xdr:rowOff>
    </xdr:from>
    <xdr:ext cx="4562475" cy="2838450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30482F65-D43D-41E7-9D1F-C43C34050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4</xdr:col>
      <xdr:colOff>866775</xdr:colOff>
      <xdr:row>104</xdr:row>
      <xdr:rowOff>38100</xdr:rowOff>
    </xdr:from>
    <xdr:ext cx="4562475" cy="2838450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FCD5A8BD-98C4-4FEC-A66C-657986A0B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0</xdr:col>
      <xdr:colOff>323850</xdr:colOff>
      <xdr:row>131</xdr:row>
      <xdr:rowOff>171450</xdr:rowOff>
    </xdr:from>
    <xdr:ext cx="4667250" cy="2905125"/>
    <xdr:graphicFrame macro="">
      <xdr:nvGraphicFramePr>
        <xdr:cNvPr id="13" name="Chart 12" title="Chart">
          <a:extLst>
            <a:ext uri="{FF2B5EF4-FFF2-40B4-BE49-F238E27FC236}">
              <a16:creationId xmlns:a16="http://schemas.microsoft.com/office/drawing/2014/main" id="{F312C1CE-D42A-4F45-AE1E-3DFFF5932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5</xdr:col>
      <xdr:colOff>38100</xdr:colOff>
      <xdr:row>132</xdr:row>
      <xdr:rowOff>9525</xdr:rowOff>
    </xdr:from>
    <xdr:ext cx="4733925" cy="2905125"/>
    <xdr:graphicFrame macro="">
      <xdr:nvGraphicFramePr>
        <xdr:cNvPr id="14" name="Chart 13" title="Chart">
          <a:extLst>
            <a:ext uri="{FF2B5EF4-FFF2-40B4-BE49-F238E27FC236}">
              <a16:creationId xmlns:a16="http://schemas.microsoft.com/office/drawing/2014/main" id="{8E9C6BA1-0D88-42C0-B25D-209F7051D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9</xdr:col>
      <xdr:colOff>828675</xdr:colOff>
      <xdr:row>132</xdr:row>
      <xdr:rowOff>9525</xdr:rowOff>
    </xdr:from>
    <xdr:ext cx="4733925" cy="2905125"/>
    <xdr:graphicFrame macro="">
      <xdr:nvGraphicFramePr>
        <xdr:cNvPr id="15" name="Chart 14" title="Chart">
          <a:extLst>
            <a:ext uri="{FF2B5EF4-FFF2-40B4-BE49-F238E27FC236}">
              <a16:creationId xmlns:a16="http://schemas.microsoft.com/office/drawing/2014/main" id="{8D58EDAB-96E2-4AED-87C5-3D3105B83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0</xdr:col>
      <xdr:colOff>323850</xdr:colOff>
      <xdr:row>160</xdr:row>
      <xdr:rowOff>57150</xdr:rowOff>
    </xdr:from>
    <xdr:ext cx="4505325" cy="2771775"/>
    <xdr:graphicFrame macro="">
      <xdr:nvGraphicFramePr>
        <xdr:cNvPr id="16" name="Chart 15" title="Chart">
          <a:extLst>
            <a:ext uri="{FF2B5EF4-FFF2-40B4-BE49-F238E27FC236}">
              <a16:creationId xmlns:a16="http://schemas.microsoft.com/office/drawing/2014/main" id="{B4B8DEC9-99A0-43F4-88B0-791382E05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4</xdr:col>
      <xdr:colOff>809625</xdr:colOff>
      <xdr:row>160</xdr:row>
      <xdr:rowOff>57150</xdr:rowOff>
    </xdr:from>
    <xdr:ext cx="4505325" cy="2771775"/>
    <xdr:graphicFrame macro="">
      <xdr:nvGraphicFramePr>
        <xdr:cNvPr id="17" name="Chart 16" title="Chart">
          <a:extLst>
            <a:ext uri="{FF2B5EF4-FFF2-40B4-BE49-F238E27FC236}">
              <a16:creationId xmlns:a16="http://schemas.microsoft.com/office/drawing/2014/main" id="{5A06550F-825D-4CFB-9DC5-00C3B39FE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9</xdr:col>
      <xdr:colOff>381000</xdr:colOff>
      <xdr:row>160</xdr:row>
      <xdr:rowOff>57150</xdr:rowOff>
    </xdr:from>
    <xdr:ext cx="4505325" cy="2771775"/>
    <xdr:graphicFrame macro="">
      <xdr:nvGraphicFramePr>
        <xdr:cNvPr id="18" name="Chart 17" title="Chart">
          <a:extLst>
            <a:ext uri="{FF2B5EF4-FFF2-40B4-BE49-F238E27FC236}">
              <a16:creationId xmlns:a16="http://schemas.microsoft.com/office/drawing/2014/main" id="{A5EE63CE-2B6C-42E0-AA1D-06E77F3C7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  <xdr:oneCellAnchor>
    <xdr:from>
      <xdr:col>0</xdr:col>
      <xdr:colOff>323850</xdr:colOff>
      <xdr:row>186</xdr:row>
      <xdr:rowOff>85725</xdr:rowOff>
    </xdr:from>
    <xdr:ext cx="4667250" cy="2905125"/>
    <xdr:graphicFrame macro="">
      <xdr:nvGraphicFramePr>
        <xdr:cNvPr id="19" name="Chart 18" title="Chart">
          <a:extLst>
            <a:ext uri="{FF2B5EF4-FFF2-40B4-BE49-F238E27FC236}">
              <a16:creationId xmlns:a16="http://schemas.microsoft.com/office/drawing/2014/main" id="{3A656194-DBC6-427A-B89A-D8C345292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oneCellAnchor>
  <xdr:oneCellAnchor>
    <xdr:from>
      <xdr:col>5</xdr:col>
      <xdr:colOff>38100</xdr:colOff>
      <xdr:row>186</xdr:row>
      <xdr:rowOff>85725</xdr:rowOff>
    </xdr:from>
    <xdr:ext cx="4733925" cy="2905125"/>
    <xdr:graphicFrame macro="">
      <xdr:nvGraphicFramePr>
        <xdr:cNvPr id="20" name="Chart 19" title="Chart">
          <a:extLst>
            <a:ext uri="{FF2B5EF4-FFF2-40B4-BE49-F238E27FC236}">
              <a16:creationId xmlns:a16="http://schemas.microsoft.com/office/drawing/2014/main" id="{E3E05ACF-2642-441F-9DA7-3633808BB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oneCellAnchor>
  <xdr:oneCellAnchor>
    <xdr:from>
      <xdr:col>9</xdr:col>
      <xdr:colOff>771525</xdr:colOff>
      <xdr:row>186</xdr:row>
      <xdr:rowOff>85725</xdr:rowOff>
    </xdr:from>
    <xdr:ext cx="4733925" cy="2905125"/>
    <xdr:graphicFrame macro="">
      <xdr:nvGraphicFramePr>
        <xdr:cNvPr id="21" name="Chart 20" title="Chart">
          <a:extLst>
            <a:ext uri="{FF2B5EF4-FFF2-40B4-BE49-F238E27FC236}">
              <a16:creationId xmlns:a16="http://schemas.microsoft.com/office/drawing/2014/main" id="{226F2D15-B123-4DB4-9218-65D9AFDC4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26870C-B878-49FD-ABEE-97C56D3B269D}" name="Table_1" displayName="Table_1" ref="I15:I36" headerRowCount="0">
  <tableColumns count="1">
    <tableColumn id="1" xr3:uid="{CF0586AF-EBF0-4160-A4CB-8A35EC2F6213}" name="Column1"/>
  </tableColumns>
  <tableStyleInfo name="Maruti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://www.profitfromit.i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profitfromit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92869-A55E-4B5A-8CD0-2198232AAE31}">
  <dimension ref="A1:AD1021"/>
  <sheetViews>
    <sheetView showGridLines="0" tabSelected="1" workbookViewId="0"/>
  </sheetViews>
  <sheetFormatPr defaultColWidth="14" defaultRowHeight="15" customHeight="1" x14ac:dyDescent="0.3"/>
  <cols>
    <col min="1" max="1" width="8.44140625" customWidth="1"/>
    <col min="2" max="2" width="12.44140625" customWidth="1"/>
    <col min="3" max="3" width="10.5546875" customWidth="1"/>
    <col min="4" max="4" width="11" customWidth="1"/>
    <col min="5" max="5" width="9.44140625" customWidth="1"/>
    <col min="6" max="6" width="8.77734375" customWidth="1"/>
    <col min="7" max="7" width="14.109375" customWidth="1"/>
    <col min="8" max="8" width="11.88671875" customWidth="1"/>
    <col min="9" max="9" width="13.21875" customWidth="1"/>
    <col min="10" max="10" width="17.88671875" customWidth="1"/>
    <col min="11" max="11" width="10.77734375" customWidth="1"/>
    <col min="12" max="12" width="13.77734375" customWidth="1"/>
    <col min="13" max="13" width="13.88671875" customWidth="1"/>
    <col min="14" max="14" width="14.44140625" customWidth="1"/>
    <col min="15" max="15" width="20.6640625" customWidth="1"/>
    <col min="16" max="16" width="13.44140625" customWidth="1"/>
    <col min="17" max="17" width="19.5546875" customWidth="1"/>
    <col min="18" max="18" width="11.88671875" customWidth="1"/>
    <col min="19" max="21" width="14" customWidth="1"/>
    <col min="22" max="22" width="13.21875" customWidth="1"/>
    <col min="23" max="23" width="11.33203125" customWidth="1"/>
    <col min="24" max="24" width="13" customWidth="1"/>
  </cols>
  <sheetData>
    <row r="1" spans="1:30" ht="14.4" x14ac:dyDescent="0.3">
      <c r="A1" s="1"/>
      <c r="B1" s="141" t="s">
        <v>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4" x14ac:dyDescent="0.3">
      <c r="A2" s="1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" x14ac:dyDescent="0.3">
      <c r="A3" s="1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4" x14ac:dyDescent="0.3">
      <c r="A4" s="1"/>
      <c r="B4" s="1"/>
      <c r="C4" s="1"/>
      <c r="D4" s="1"/>
      <c r="E4" s="1"/>
      <c r="F4" s="1"/>
      <c r="G4" s="1"/>
      <c r="H4" s="1"/>
      <c r="I4" s="1"/>
      <c r="J4" s="1" t="s">
        <v>1</v>
      </c>
      <c r="K4" s="1"/>
      <c r="L4" s="2"/>
      <c r="M4" s="2"/>
      <c r="N4" s="2"/>
      <c r="O4" s="1"/>
      <c r="P4" s="1"/>
      <c r="Q4" s="1"/>
      <c r="R4" s="1"/>
      <c r="S4" s="1" t="s">
        <v>2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8.8" x14ac:dyDescent="0.3">
      <c r="A5" s="3"/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  <c r="P5" s="4" t="s">
        <v>17</v>
      </c>
      <c r="Q5" s="4" t="s">
        <v>18</v>
      </c>
      <c r="R5" s="4" t="s">
        <v>19</v>
      </c>
      <c r="S5" s="4" t="s">
        <v>20</v>
      </c>
      <c r="T5" s="4" t="s">
        <v>21</v>
      </c>
      <c r="U5" s="4" t="s">
        <v>22</v>
      </c>
      <c r="V5" s="4" t="s">
        <v>23</v>
      </c>
      <c r="W5" s="4" t="s">
        <v>24</v>
      </c>
      <c r="X5" s="1"/>
      <c r="Y5" s="1"/>
      <c r="Z5" s="1"/>
      <c r="AA5" s="1"/>
      <c r="AB5" s="1"/>
      <c r="AC5" s="1"/>
      <c r="AD5" s="1"/>
    </row>
    <row r="6" spans="1:30" ht="14.4" x14ac:dyDescent="0.3">
      <c r="A6" s="3"/>
      <c r="B6" s="5" t="s">
        <v>0</v>
      </c>
      <c r="C6" s="6">
        <f ca="1">IFERROR(__xludf.DUMMYFUNCTION("GOOGLEFINANCE(""NSE:""&amp;B6,""price"")"),12369.65)</f>
        <v>12369.65</v>
      </c>
      <c r="D6" s="6">
        <f ca="1">IFERROR(__xludf.DUMMYFUNCTION("GOOGLEFINANCE(""NSE:""&amp;B6,""marketcap"")/10000000"),389043.3431123)</f>
        <v>389043.34311229998</v>
      </c>
      <c r="E6" s="6">
        <f t="shared" ref="E6:F6" si="0">D35</f>
        <v>141858</v>
      </c>
      <c r="F6" s="6">
        <f t="shared" si="0"/>
        <v>13488</v>
      </c>
      <c r="G6" s="6">
        <f>B35</f>
        <v>2135323</v>
      </c>
      <c r="H6" s="7">
        <f>F50</f>
        <v>524.81780631672598</v>
      </c>
      <c r="I6" s="6">
        <v>5</v>
      </c>
      <c r="J6" s="6">
        <v>157</v>
      </c>
      <c r="K6" s="6">
        <v>85478</v>
      </c>
      <c r="L6" s="6">
        <v>33</v>
      </c>
      <c r="M6" s="8">
        <v>85</v>
      </c>
      <c r="N6" s="6">
        <v>22633</v>
      </c>
      <c r="O6" s="6">
        <v>25954</v>
      </c>
      <c r="P6" s="9">
        <v>115353</v>
      </c>
      <c r="Q6" s="6">
        <v>29717</v>
      </c>
      <c r="R6" s="8">
        <v>4596</v>
      </c>
      <c r="S6" s="5">
        <v>16801</v>
      </c>
      <c r="T6" s="5">
        <v>-11864</v>
      </c>
      <c r="U6" s="10">
        <v>-4062</v>
      </c>
      <c r="V6" s="10">
        <f t="shared" ref="V6:V7" si="1">SUM(S6:U6)</f>
        <v>875</v>
      </c>
      <c r="W6" s="10">
        <v>-283</v>
      </c>
      <c r="X6" s="1"/>
      <c r="Y6" s="1"/>
      <c r="Z6" s="1"/>
      <c r="AA6" s="1"/>
      <c r="AB6" s="1"/>
      <c r="AC6" s="1"/>
      <c r="AD6" s="1"/>
    </row>
    <row r="7" spans="1:30" ht="15.75" customHeight="1" x14ac:dyDescent="0.3">
      <c r="A7" s="3"/>
      <c r="B7" s="5" t="s">
        <v>25</v>
      </c>
      <c r="C7" s="6">
        <v>12600</v>
      </c>
      <c r="D7" s="11">
        <f ca="1">C7*D6/C6</f>
        <v>396288.18302983354</v>
      </c>
      <c r="E7" s="5">
        <f t="shared" ref="E7:F7" si="2">D34</f>
        <v>118409</v>
      </c>
      <c r="F7" s="5">
        <f t="shared" si="2"/>
        <v>8263</v>
      </c>
      <c r="G7" s="5">
        <f>B34</f>
        <v>1966164</v>
      </c>
      <c r="H7" s="5">
        <v>436</v>
      </c>
      <c r="I7" s="5">
        <v>5</v>
      </c>
      <c r="J7" s="12">
        <v>157</v>
      </c>
      <c r="K7" s="12">
        <v>74443</v>
      </c>
      <c r="L7" s="12">
        <v>1215</v>
      </c>
      <c r="M7" s="12">
        <v>31</v>
      </c>
      <c r="N7" s="12">
        <v>15669</v>
      </c>
      <c r="O7" s="12">
        <v>22766</v>
      </c>
      <c r="P7" s="12">
        <v>100385</v>
      </c>
      <c r="Q7" s="12">
        <v>25785</v>
      </c>
      <c r="R7" s="12">
        <v>3285</v>
      </c>
      <c r="S7" s="12">
        <v>10814</v>
      </c>
      <c r="T7" s="5">
        <v>-8820</v>
      </c>
      <c r="U7" s="10">
        <v>-1214</v>
      </c>
      <c r="V7" s="10">
        <f t="shared" si="1"/>
        <v>780</v>
      </c>
      <c r="W7" s="10">
        <v>-230</v>
      </c>
      <c r="X7" s="1"/>
      <c r="Y7" s="1"/>
      <c r="Z7" s="1"/>
      <c r="AA7" s="1"/>
      <c r="AB7" s="1"/>
      <c r="AC7" s="1"/>
      <c r="AD7" s="1"/>
    </row>
    <row r="8" spans="1:30" ht="15.75" customHeight="1" x14ac:dyDescent="0.3">
      <c r="B8" s="13" t="s">
        <v>26</v>
      </c>
      <c r="C8" s="14">
        <f t="shared" ref="C8:W8" ca="1" si="3">(C6/C7)-1</f>
        <v>-1.8281746031746038E-2</v>
      </c>
      <c r="D8" s="14">
        <f t="shared" ca="1" si="3"/>
        <v>-1.8281746031746149E-2</v>
      </c>
      <c r="E8" s="15">
        <f t="shared" si="3"/>
        <v>0.19803393323142671</v>
      </c>
      <c r="F8" s="15">
        <f t="shared" si="3"/>
        <v>0.63233692363548344</v>
      </c>
      <c r="G8" s="15">
        <f t="shared" si="3"/>
        <v>8.6035040820602982E-2</v>
      </c>
      <c r="H8" s="15">
        <f t="shared" si="3"/>
        <v>0.20371056494661932</v>
      </c>
      <c r="I8" s="15">
        <f t="shared" si="3"/>
        <v>0</v>
      </c>
      <c r="J8" s="15">
        <f t="shared" si="3"/>
        <v>0</v>
      </c>
      <c r="K8" s="15">
        <f t="shared" si="3"/>
        <v>0.14823421946992998</v>
      </c>
      <c r="L8" s="15">
        <f t="shared" si="3"/>
        <v>-0.97283950617283954</v>
      </c>
      <c r="M8" s="15">
        <f t="shared" si="3"/>
        <v>1.7419354838709675</v>
      </c>
      <c r="N8" s="15">
        <f t="shared" si="3"/>
        <v>0.44444444444444442</v>
      </c>
      <c r="O8" s="15">
        <f t="shared" si="3"/>
        <v>0.14003338311517166</v>
      </c>
      <c r="P8" s="15">
        <f t="shared" si="3"/>
        <v>0.14910594212282713</v>
      </c>
      <c r="Q8" s="15">
        <f t="shared" si="3"/>
        <v>0.15249175877448118</v>
      </c>
      <c r="R8" s="15">
        <f t="shared" si="3"/>
        <v>0.39908675799086768</v>
      </c>
      <c r="S8" s="15">
        <f t="shared" si="3"/>
        <v>0.55363417791751424</v>
      </c>
      <c r="T8" s="15">
        <f t="shared" si="3"/>
        <v>0.34512471655328802</v>
      </c>
      <c r="U8" s="15">
        <f t="shared" si="3"/>
        <v>2.3459637561779241</v>
      </c>
      <c r="V8" s="15">
        <f t="shared" si="3"/>
        <v>0.12179487179487181</v>
      </c>
      <c r="W8" s="15">
        <f t="shared" si="3"/>
        <v>0.23043478260869565</v>
      </c>
    </row>
    <row r="9" spans="1:30" ht="15.75" customHeight="1" x14ac:dyDescent="0.3"/>
    <row r="10" spans="1:30" ht="15.75" customHeight="1" x14ac:dyDescent="0.3">
      <c r="A10" s="3"/>
      <c r="B10" s="2" t="s">
        <v>27</v>
      </c>
      <c r="C10" s="3" t="s">
        <v>28</v>
      </c>
      <c r="D10" s="2"/>
      <c r="E10" s="2"/>
      <c r="F10" s="2" t="s">
        <v>29</v>
      </c>
      <c r="G10" s="2"/>
      <c r="H10" s="2"/>
      <c r="I10" s="2" t="s">
        <v>30</v>
      </c>
      <c r="J10" s="16"/>
      <c r="K10" s="16"/>
      <c r="L10" s="16" t="s">
        <v>31</v>
      </c>
      <c r="M10" s="16"/>
      <c r="N10" s="16"/>
      <c r="O10" s="16"/>
      <c r="P10" s="16"/>
      <c r="Q10" s="16" t="s">
        <v>32</v>
      </c>
      <c r="R10" s="16"/>
      <c r="S10" s="16"/>
      <c r="T10" s="2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5.75" customHeight="1" x14ac:dyDescent="0.3">
      <c r="A11" s="3"/>
      <c r="B11" s="17" t="s">
        <v>33</v>
      </c>
      <c r="C11" s="18" t="s">
        <v>34</v>
      </c>
      <c r="D11" s="18" t="s">
        <v>35</v>
      </c>
      <c r="E11" s="18" t="s">
        <v>36</v>
      </c>
      <c r="F11" s="17" t="s">
        <v>37</v>
      </c>
      <c r="G11" s="19" t="s">
        <v>38</v>
      </c>
      <c r="H11" s="20" t="s">
        <v>39</v>
      </c>
      <c r="I11" s="17" t="s">
        <v>40</v>
      </c>
      <c r="J11" s="19" t="s">
        <v>41</v>
      </c>
      <c r="K11" s="19" t="s">
        <v>42</v>
      </c>
      <c r="L11" s="19" t="s">
        <v>43</v>
      </c>
      <c r="M11" s="19" t="s">
        <v>44</v>
      </c>
      <c r="N11" s="19" t="s">
        <v>45</v>
      </c>
      <c r="O11" s="19" t="s">
        <v>46</v>
      </c>
      <c r="P11" s="19" t="s">
        <v>47</v>
      </c>
      <c r="Q11" s="19" t="s">
        <v>48</v>
      </c>
      <c r="R11" s="2"/>
      <c r="S11" s="2"/>
      <c r="T11" s="2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customHeight="1" x14ac:dyDescent="0.3">
      <c r="A12" s="3"/>
      <c r="B12" s="21">
        <f>T47</f>
        <v>9.9708006761948687E-2</v>
      </c>
      <c r="C12" s="22">
        <f>R52</f>
        <v>0.10508957768523436</v>
      </c>
      <c r="D12" s="22">
        <f>N6/O6</f>
        <v>0.87204284503352081</v>
      </c>
      <c r="E12" s="9">
        <f>(R6/E6)*365</f>
        <v>11.825487459290278</v>
      </c>
      <c r="F12" s="22">
        <f>L6/K6</f>
        <v>3.8606425045040828E-4</v>
      </c>
      <c r="G12" s="22">
        <f>Q6/P6</f>
        <v>0.25761792064358968</v>
      </c>
      <c r="H12" s="6">
        <f>R53</f>
        <v>66.228070175438603</v>
      </c>
      <c r="I12" s="22">
        <f>F6/K6</f>
        <v>0.15779498818409415</v>
      </c>
      <c r="J12" s="6">
        <f>F6/J6</f>
        <v>85.910828025477713</v>
      </c>
      <c r="K12" s="22">
        <f>F6/P6</f>
        <v>0.1169280382824894</v>
      </c>
      <c r="L12" s="6">
        <f ca="1">C6/H6</f>
        <v>23.569417521887495</v>
      </c>
      <c r="M12" s="23">
        <f ca="1">H6/C6</f>
        <v>4.2427862252911439E-2</v>
      </c>
      <c r="N12" s="6">
        <f>(P6-Q6)/(J6/I6)</f>
        <v>2727.2611464968154</v>
      </c>
      <c r="O12" s="6">
        <f ca="1">C6/N12</f>
        <v>4.5355575926012426</v>
      </c>
      <c r="P12" s="24">
        <f ca="1">O56</f>
        <v>1.1780619047619048</v>
      </c>
      <c r="Q12" s="25">
        <v>0.40200000000000002</v>
      </c>
      <c r="R12" s="2"/>
      <c r="S12" s="2"/>
      <c r="T12" s="2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5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.75" customHeight="1" x14ac:dyDescent="0.3">
      <c r="A14" s="1"/>
      <c r="B14" s="26" t="s">
        <v>49</v>
      </c>
      <c r="C14" s="26" t="s">
        <v>50</v>
      </c>
      <c r="D14" s="26" t="s">
        <v>51</v>
      </c>
      <c r="E14" s="26" t="s">
        <v>52</v>
      </c>
      <c r="F14" s="26" t="s">
        <v>53</v>
      </c>
      <c r="G14" s="26" t="s">
        <v>54</v>
      </c>
      <c r="H14" s="26" t="s">
        <v>55</v>
      </c>
      <c r="I14" s="26" t="s">
        <v>56</v>
      </c>
      <c r="J14" s="26" t="s">
        <v>57</v>
      </c>
      <c r="K14" s="26" t="s">
        <v>58</v>
      </c>
      <c r="L14" s="26" t="s">
        <v>59</v>
      </c>
      <c r="M14" s="1"/>
      <c r="N14" s="27" t="s">
        <v>60</v>
      </c>
      <c r="O14" s="28">
        <v>0.40200000000000002</v>
      </c>
      <c r="P14" s="1"/>
      <c r="Q14" s="1"/>
      <c r="R14" s="29"/>
      <c r="S14" s="29"/>
      <c r="T14" s="29"/>
      <c r="X14" s="1"/>
      <c r="Y14" s="1"/>
      <c r="Z14" s="1"/>
      <c r="AA14" s="1"/>
      <c r="AB14" s="1"/>
      <c r="AC14" s="1"/>
      <c r="AD14" s="1"/>
    </row>
    <row r="15" spans="1:30" ht="15.75" customHeight="1" x14ac:dyDescent="0.3">
      <c r="A15" s="1"/>
      <c r="B15" s="10"/>
      <c r="C15" s="30" t="s">
        <v>61</v>
      </c>
      <c r="D15" s="31">
        <v>9751</v>
      </c>
      <c r="E15" s="32">
        <v>542</v>
      </c>
      <c r="F15" s="33">
        <f t="shared" ref="F15:F36" si="4">E15/D15</f>
        <v>5.5584042662291049E-2</v>
      </c>
      <c r="G15" s="34">
        <v>18.77</v>
      </c>
      <c r="H15" s="31">
        <v>588</v>
      </c>
      <c r="I15" s="31">
        <v>155</v>
      </c>
      <c r="J15" s="35">
        <f t="shared" ref="J15:J31" si="5">G15*30%</f>
        <v>5.6309999999999993</v>
      </c>
      <c r="K15" s="36">
        <f t="shared" ref="K15:K36" si="6">H15/G15</f>
        <v>31.326584976025572</v>
      </c>
      <c r="L15" s="36">
        <f t="shared" ref="L15:L36" si="7">I15/G15</f>
        <v>8.2578582844965371</v>
      </c>
      <c r="M15" s="29"/>
      <c r="N15" s="19" t="s">
        <v>62</v>
      </c>
      <c r="O15" s="19" t="s">
        <v>63</v>
      </c>
      <c r="P15" s="17" t="s">
        <v>64</v>
      </c>
      <c r="Q15" s="17" t="s">
        <v>26</v>
      </c>
      <c r="R15" s="29"/>
      <c r="S15" s="29"/>
      <c r="T15" s="29"/>
      <c r="X15" s="1"/>
      <c r="Y15" s="1"/>
      <c r="Z15" s="1"/>
      <c r="AA15" s="1"/>
      <c r="AB15" s="1"/>
      <c r="AC15" s="1"/>
      <c r="AD15" s="1"/>
    </row>
    <row r="16" spans="1:30" ht="15.75" customHeight="1" x14ac:dyDescent="0.3">
      <c r="A16" s="1"/>
      <c r="B16" s="10"/>
      <c r="C16" s="30" t="s">
        <v>65</v>
      </c>
      <c r="D16" s="32">
        <v>13343</v>
      </c>
      <c r="E16" s="32">
        <v>854</v>
      </c>
      <c r="F16" s="33">
        <f t="shared" si="4"/>
        <v>6.4003597391890876E-2</v>
      </c>
      <c r="G16" s="34">
        <v>29.55</v>
      </c>
      <c r="H16" s="31">
        <v>600</v>
      </c>
      <c r="I16" s="31">
        <v>300</v>
      </c>
      <c r="J16" s="35">
        <f t="shared" si="5"/>
        <v>8.8650000000000002</v>
      </c>
      <c r="K16" s="36">
        <f t="shared" si="6"/>
        <v>20.304568527918782</v>
      </c>
      <c r="L16" s="36">
        <f t="shared" si="7"/>
        <v>10.152284263959391</v>
      </c>
      <c r="M16" s="29"/>
      <c r="N16" s="5" t="s">
        <v>66</v>
      </c>
      <c r="O16" s="5">
        <v>30816</v>
      </c>
      <c r="P16" s="15">
        <f t="shared" ref="P16:P25" si="8">O16/$O$27</f>
        <v>5.904941479454575E-2</v>
      </c>
      <c r="Q16" s="21">
        <v>-0.23699999999999999</v>
      </c>
      <c r="T16" s="29"/>
      <c r="X16" s="1"/>
      <c r="Y16" s="1"/>
      <c r="Z16" s="1"/>
      <c r="AA16" s="1"/>
      <c r="AB16" s="1"/>
      <c r="AC16" s="1"/>
      <c r="AD16" s="1"/>
    </row>
    <row r="17" spans="1:30" ht="15.75" customHeight="1" x14ac:dyDescent="0.3">
      <c r="A17" s="1"/>
      <c r="B17" s="10"/>
      <c r="C17" s="30" t="s">
        <v>67</v>
      </c>
      <c r="D17" s="34">
        <v>12481</v>
      </c>
      <c r="E17" s="34">
        <v>1189</v>
      </c>
      <c r="F17" s="33">
        <f t="shared" si="4"/>
        <v>9.5264802499799697E-2</v>
      </c>
      <c r="G17" s="34">
        <v>42.18</v>
      </c>
      <c r="H17" s="31">
        <v>943</v>
      </c>
      <c r="I17" s="31">
        <v>393</v>
      </c>
      <c r="J17" s="35">
        <f t="shared" si="5"/>
        <v>12.654</v>
      </c>
      <c r="K17" s="36">
        <f t="shared" si="6"/>
        <v>22.3565670934092</v>
      </c>
      <c r="L17" s="36">
        <f t="shared" si="7"/>
        <v>9.3172119487908969</v>
      </c>
      <c r="M17" s="29"/>
      <c r="N17" s="5" t="s">
        <v>68</v>
      </c>
      <c r="O17" s="5">
        <v>189208</v>
      </c>
      <c r="P17" s="15">
        <f t="shared" si="8"/>
        <v>0.36255911456536905</v>
      </c>
      <c r="Q17" s="21">
        <v>-0.10299999999999999</v>
      </c>
      <c r="S17" s="37"/>
      <c r="T17" s="29"/>
      <c r="X17" s="1"/>
      <c r="Y17" s="1"/>
      <c r="Z17" s="1"/>
      <c r="AA17" s="1"/>
      <c r="AB17" s="1"/>
      <c r="AC17" s="1"/>
      <c r="AD17" s="1"/>
    </row>
    <row r="18" spans="1:30" ht="15.75" customHeight="1" x14ac:dyDescent="0.3">
      <c r="A18" s="1"/>
      <c r="B18" s="10"/>
      <c r="C18" s="30" t="s">
        <v>69</v>
      </c>
      <c r="D18" s="34">
        <v>15252</v>
      </c>
      <c r="E18" s="34">
        <v>1562</v>
      </c>
      <c r="F18" s="33">
        <f t="shared" si="4"/>
        <v>0.10241279832153161</v>
      </c>
      <c r="G18" s="34">
        <v>59.91</v>
      </c>
      <c r="H18" s="31">
        <v>975</v>
      </c>
      <c r="I18" s="31">
        <v>655</v>
      </c>
      <c r="J18" s="35">
        <f t="shared" si="5"/>
        <v>17.972999999999999</v>
      </c>
      <c r="K18" s="36">
        <f t="shared" si="6"/>
        <v>16.274411617426139</v>
      </c>
      <c r="L18" s="36">
        <f t="shared" si="7"/>
        <v>10.933066266065765</v>
      </c>
      <c r="M18" s="29"/>
      <c r="N18" s="10" t="s">
        <v>70</v>
      </c>
      <c r="O18" s="10">
        <v>220024</v>
      </c>
      <c r="P18" s="15">
        <f t="shared" si="8"/>
        <v>0.42160852935991477</v>
      </c>
      <c r="Q18" s="21">
        <v>0.124</v>
      </c>
      <c r="R18" s="38"/>
      <c r="S18" s="37"/>
      <c r="T18" s="29"/>
      <c r="X18" s="1"/>
      <c r="Y18" s="1"/>
      <c r="Z18" s="1"/>
      <c r="AA18" s="1"/>
      <c r="AB18" s="1"/>
      <c r="AC18" s="1"/>
      <c r="AD18" s="1"/>
    </row>
    <row r="19" spans="1:30" ht="15.75" customHeight="1" x14ac:dyDescent="0.3">
      <c r="A19" s="1"/>
      <c r="B19" s="10"/>
      <c r="C19" s="30" t="s">
        <v>71</v>
      </c>
      <c r="D19" s="34">
        <v>18824</v>
      </c>
      <c r="E19" s="34">
        <v>1731</v>
      </c>
      <c r="F19" s="33">
        <f t="shared" si="4"/>
        <v>9.1957076073098179E-2</v>
      </c>
      <c r="G19" s="34">
        <v>54.06</v>
      </c>
      <c r="H19" s="31">
        <v>1248</v>
      </c>
      <c r="I19" s="31">
        <v>700</v>
      </c>
      <c r="J19" s="35">
        <f t="shared" si="5"/>
        <v>16.218</v>
      </c>
      <c r="K19" s="36">
        <f t="shared" si="6"/>
        <v>23.085460599334073</v>
      </c>
      <c r="L19" s="36">
        <f t="shared" si="7"/>
        <v>12.948575656677765</v>
      </c>
      <c r="M19" s="29"/>
      <c r="N19" s="5" t="s">
        <v>72</v>
      </c>
      <c r="O19" s="5">
        <v>2169</v>
      </c>
      <c r="P19" s="15">
        <f t="shared" si="8"/>
        <v>4.1562234128170346E-3</v>
      </c>
      <c r="Q19" s="21">
        <v>0.42199999999999999</v>
      </c>
      <c r="R19" s="38"/>
      <c r="S19" s="37"/>
      <c r="T19" s="29"/>
      <c r="X19" s="1"/>
      <c r="Y19" s="1"/>
      <c r="Z19" s="1"/>
      <c r="AA19" s="1"/>
      <c r="AB19" s="1"/>
      <c r="AC19" s="1"/>
      <c r="AD19" s="1"/>
    </row>
    <row r="20" spans="1:30" ht="15.75" customHeight="1" x14ac:dyDescent="0.3">
      <c r="A20" s="1"/>
      <c r="B20" s="10">
        <v>792167</v>
      </c>
      <c r="C20" s="30" t="s">
        <v>73</v>
      </c>
      <c r="D20" s="34">
        <v>21454</v>
      </c>
      <c r="E20" s="34">
        <v>1219</v>
      </c>
      <c r="F20" s="33">
        <f t="shared" si="4"/>
        <v>5.6819241167148316E-2</v>
      </c>
      <c r="G20" s="34">
        <v>41.16</v>
      </c>
      <c r="H20" s="31">
        <v>855</v>
      </c>
      <c r="I20" s="31">
        <v>433</v>
      </c>
      <c r="J20" s="35">
        <f t="shared" si="5"/>
        <v>12.347999999999999</v>
      </c>
      <c r="K20" s="36">
        <f t="shared" si="6"/>
        <v>20.772594752186592</v>
      </c>
      <c r="L20" s="36">
        <f t="shared" si="7"/>
        <v>10.519922254616134</v>
      </c>
      <c r="M20" s="29"/>
      <c r="N20" s="10" t="s">
        <v>74</v>
      </c>
      <c r="O20" s="10">
        <v>163130</v>
      </c>
      <c r="P20" s="15">
        <f t="shared" si="8"/>
        <v>0.31258862394321935</v>
      </c>
      <c r="Q20" s="21">
        <v>0.29099999999999998</v>
      </c>
      <c r="R20" s="38"/>
      <c r="S20" s="37"/>
      <c r="T20" s="29"/>
      <c r="X20" s="1"/>
      <c r="Y20" s="1"/>
      <c r="Z20" s="1"/>
      <c r="AA20" s="1"/>
      <c r="AB20" s="1"/>
      <c r="AC20" s="1"/>
      <c r="AD20" s="1"/>
    </row>
    <row r="21" spans="1:30" ht="15.75" customHeight="1" x14ac:dyDescent="0.3">
      <c r="A21" s="1"/>
      <c r="B21" s="5">
        <v>1018365</v>
      </c>
      <c r="C21" s="30" t="s">
        <v>75</v>
      </c>
      <c r="D21" s="34">
        <v>29623</v>
      </c>
      <c r="E21" s="34">
        <v>2498</v>
      </c>
      <c r="F21" s="33">
        <f t="shared" si="4"/>
        <v>8.4326368024845555E-2</v>
      </c>
      <c r="G21" s="34">
        <v>86.45</v>
      </c>
      <c r="H21" s="31">
        <v>1737</v>
      </c>
      <c r="I21" s="31">
        <v>741</v>
      </c>
      <c r="J21" s="35">
        <f t="shared" si="5"/>
        <v>25.934999999999999</v>
      </c>
      <c r="K21" s="36">
        <f t="shared" si="6"/>
        <v>20.092539039907461</v>
      </c>
      <c r="L21" s="36">
        <f t="shared" si="7"/>
        <v>8.5714285714285712</v>
      </c>
      <c r="M21" s="29"/>
      <c r="N21" s="5" t="s">
        <v>76</v>
      </c>
      <c r="O21" s="5">
        <v>33791</v>
      </c>
      <c r="P21" s="15">
        <f t="shared" si="8"/>
        <v>6.4750090061088242E-2</v>
      </c>
      <c r="Q21" s="21">
        <v>3.4000000000000002E-2</v>
      </c>
      <c r="T21" s="29"/>
      <c r="X21" s="1"/>
      <c r="Y21" s="1"/>
      <c r="Z21" s="1"/>
      <c r="AA21" s="1"/>
      <c r="AB21" s="1"/>
      <c r="AC21" s="1"/>
      <c r="AD21" s="1"/>
    </row>
    <row r="22" spans="1:30" ht="15.75" customHeight="1" x14ac:dyDescent="0.3">
      <c r="A22" s="1"/>
      <c r="B22" s="5">
        <v>1271005</v>
      </c>
      <c r="C22" s="30" t="s">
        <v>77</v>
      </c>
      <c r="D22" s="34">
        <v>37040</v>
      </c>
      <c r="E22" s="34">
        <v>2289</v>
      </c>
      <c r="F22" s="33">
        <f t="shared" si="4"/>
        <v>6.1798056155507562E-2</v>
      </c>
      <c r="G22" s="34">
        <v>79.22</v>
      </c>
      <c r="H22" s="31">
        <v>1585</v>
      </c>
      <c r="I22" s="31">
        <v>1122</v>
      </c>
      <c r="J22" s="35">
        <f t="shared" si="5"/>
        <v>23.765999999999998</v>
      </c>
      <c r="K22" s="36">
        <f t="shared" si="6"/>
        <v>20.007573844988638</v>
      </c>
      <c r="L22" s="36">
        <f t="shared" si="7"/>
        <v>14.163090128755366</v>
      </c>
      <c r="M22" s="1"/>
      <c r="N22" s="5" t="s">
        <v>78</v>
      </c>
      <c r="O22" s="5">
        <v>7946</v>
      </c>
      <c r="P22" s="15">
        <f t="shared" si="8"/>
        <v>1.5226072493427457E-2</v>
      </c>
      <c r="Q22" s="21">
        <v>-1.6E-2</v>
      </c>
      <c r="T22" s="29"/>
      <c r="X22" s="1"/>
      <c r="Y22" s="1"/>
      <c r="Z22" s="1"/>
      <c r="AA22" s="1"/>
      <c r="AB22" s="1"/>
      <c r="AC22" s="1"/>
      <c r="AD22" s="1"/>
    </row>
    <row r="23" spans="1:30" ht="15.75" customHeight="1" x14ac:dyDescent="0.3">
      <c r="A23" s="1"/>
      <c r="B23" s="10">
        <v>1133695</v>
      </c>
      <c r="C23" s="30" t="s">
        <v>79</v>
      </c>
      <c r="D23" s="39">
        <v>35587</v>
      </c>
      <c r="E23" s="34">
        <v>1635</v>
      </c>
      <c r="F23" s="33">
        <f t="shared" si="4"/>
        <v>4.5943743501840557E-2</v>
      </c>
      <c r="G23" s="34">
        <v>56.6</v>
      </c>
      <c r="H23" s="31">
        <v>1429</v>
      </c>
      <c r="I23" s="31">
        <v>900</v>
      </c>
      <c r="J23" s="35">
        <f t="shared" si="5"/>
        <v>16.98</v>
      </c>
      <c r="K23" s="36">
        <f t="shared" si="6"/>
        <v>25.247349823321553</v>
      </c>
      <c r="L23" s="36">
        <f t="shared" si="7"/>
        <v>15.901060070671377</v>
      </c>
      <c r="M23" s="1"/>
      <c r="N23" s="5" t="s">
        <v>80</v>
      </c>
      <c r="O23" s="5">
        <v>24248</v>
      </c>
      <c r="P23" s="15">
        <f t="shared" si="8"/>
        <v>4.6463856760713435E-2</v>
      </c>
      <c r="Q23" s="21">
        <v>0.91300000000000003</v>
      </c>
      <c r="R23" s="40"/>
      <c r="T23" s="29"/>
      <c r="X23" s="1"/>
      <c r="Y23" s="1"/>
      <c r="Z23" s="1"/>
      <c r="AA23" s="1"/>
      <c r="AB23" s="1"/>
      <c r="AC23" s="1"/>
      <c r="AD23" s="1"/>
    </row>
    <row r="24" spans="1:30" ht="15.75" customHeight="1" x14ac:dyDescent="0.3">
      <c r="A24" s="1"/>
      <c r="B24" s="10">
        <v>1171434</v>
      </c>
      <c r="C24" s="30" t="s">
        <v>81</v>
      </c>
      <c r="D24" s="34">
        <v>43588</v>
      </c>
      <c r="E24" s="34">
        <v>2392</v>
      </c>
      <c r="F24" s="33">
        <f t="shared" si="4"/>
        <v>5.4877489217215747E-2</v>
      </c>
      <c r="G24" s="34">
        <v>79.19</v>
      </c>
      <c r="H24" s="31">
        <v>1634</v>
      </c>
      <c r="I24" s="31">
        <v>1051</v>
      </c>
      <c r="J24" s="35">
        <f t="shared" si="5"/>
        <v>23.756999999999998</v>
      </c>
      <c r="K24" s="36">
        <f t="shared" si="6"/>
        <v>20.63391842404344</v>
      </c>
      <c r="L24" s="36">
        <f t="shared" si="7"/>
        <v>13.271877762343731</v>
      </c>
      <c r="M24" s="1"/>
      <c r="N24" s="5" t="s">
        <v>82</v>
      </c>
      <c r="O24" s="5">
        <v>451308</v>
      </c>
      <c r="P24" s="15">
        <f t="shared" si="8"/>
        <v>0.86479339603118033</v>
      </c>
      <c r="Q24" s="21">
        <v>3.7999999999999999E-2</v>
      </c>
      <c r="R24" s="40"/>
      <c r="T24" s="29"/>
      <c r="X24" s="1"/>
      <c r="Y24" s="1"/>
      <c r="Z24" s="1"/>
      <c r="AA24" s="1"/>
      <c r="AB24" s="1"/>
      <c r="AC24" s="1"/>
      <c r="AD24" s="1"/>
    </row>
    <row r="25" spans="1:30" ht="15.75" customHeight="1" x14ac:dyDescent="0.3">
      <c r="A25" s="1"/>
      <c r="B25" s="41">
        <v>1155041</v>
      </c>
      <c r="C25" s="30" t="s">
        <v>83</v>
      </c>
      <c r="D25" s="34">
        <v>44524</v>
      </c>
      <c r="E25" s="34">
        <v>2783</v>
      </c>
      <c r="F25" s="33">
        <f t="shared" si="4"/>
        <v>6.2505614949240854E-2</v>
      </c>
      <c r="G25" s="34">
        <v>92.13</v>
      </c>
      <c r="H25" s="31">
        <v>1980</v>
      </c>
      <c r="I25" s="31">
        <v>1215</v>
      </c>
      <c r="J25" s="35">
        <f t="shared" si="5"/>
        <v>27.638999999999999</v>
      </c>
      <c r="K25" s="36">
        <f t="shared" si="6"/>
        <v>21.491370888961253</v>
      </c>
      <c r="L25" s="36">
        <f t="shared" si="7"/>
        <v>13.187886681862587</v>
      </c>
      <c r="M25" s="1"/>
      <c r="N25" s="5" t="s">
        <v>84</v>
      </c>
      <c r="O25" s="5">
        <v>70560</v>
      </c>
      <c r="P25" s="15">
        <f t="shared" si="8"/>
        <v>0.1352066039688197</v>
      </c>
      <c r="Q25" s="25">
        <v>0.11600000000000001</v>
      </c>
      <c r="R25" s="40"/>
      <c r="T25" s="29"/>
      <c r="X25" s="1"/>
      <c r="Y25" s="1"/>
      <c r="Z25" s="1"/>
      <c r="AA25" s="1"/>
      <c r="AB25" s="1"/>
      <c r="AC25" s="1"/>
      <c r="AD25" s="1"/>
    </row>
    <row r="26" spans="1:30" ht="15.75" customHeight="1" x14ac:dyDescent="0.3">
      <c r="A26" s="1"/>
      <c r="B26" s="10">
        <v>1292415</v>
      </c>
      <c r="C26" s="30" t="s">
        <v>85</v>
      </c>
      <c r="D26" s="34">
        <v>50802</v>
      </c>
      <c r="E26" s="34">
        <v>3711</v>
      </c>
      <c r="F26" s="33">
        <f t="shared" si="4"/>
        <v>7.3048305184835238E-2</v>
      </c>
      <c r="G26" s="34">
        <v>122.85</v>
      </c>
      <c r="H26" s="31">
        <v>3790</v>
      </c>
      <c r="I26" s="31">
        <v>1872</v>
      </c>
      <c r="J26" s="35">
        <f t="shared" si="5"/>
        <v>36.854999999999997</v>
      </c>
      <c r="K26" s="36">
        <f t="shared" si="6"/>
        <v>30.850630850630854</v>
      </c>
      <c r="L26" s="36">
        <f t="shared" si="7"/>
        <v>15.238095238095239</v>
      </c>
      <c r="M26" s="1"/>
      <c r="N26" s="5"/>
      <c r="O26" s="5"/>
      <c r="X26" s="1"/>
      <c r="Y26" s="1"/>
      <c r="Z26" s="1"/>
      <c r="AA26" s="1"/>
      <c r="AB26" s="1"/>
      <c r="AC26" s="1"/>
      <c r="AD26" s="1"/>
    </row>
    <row r="27" spans="1:30" ht="15.75" customHeight="1" x14ac:dyDescent="0.3">
      <c r="A27" s="1"/>
      <c r="B27" s="10">
        <v>1429248</v>
      </c>
      <c r="C27" s="30" t="s">
        <v>86</v>
      </c>
      <c r="D27" s="34">
        <v>58208</v>
      </c>
      <c r="E27" s="34">
        <v>4571</v>
      </c>
      <c r="F27" s="33">
        <f t="shared" si="4"/>
        <v>7.8528724573941722E-2</v>
      </c>
      <c r="G27" s="34">
        <v>151.33000000000001</v>
      </c>
      <c r="H27" s="31">
        <v>4790</v>
      </c>
      <c r="I27" s="31">
        <v>3200</v>
      </c>
      <c r="J27" s="35">
        <f t="shared" si="5"/>
        <v>45.399000000000001</v>
      </c>
      <c r="K27" s="36">
        <f t="shared" si="6"/>
        <v>31.652679574439961</v>
      </c>
      <c r="L27" s="36">
        <f t="shared" si="7"/>
        <v>21.145840216744862</v>
      </c>
      <c r="M27" s="1"/>
      <c r="N27" s="42" t="s">
        <v>87</v>
      </c>
      <c r="O27" s="42">
        <f>SUM(O25+O24)</f>
        <v>521868</v>
      </c>
      <c r="P27" s="43">
        <f>O27/$O$27</f>
        <v>1</v>
      </c>
      <c r="Q27" s="44">
        <v>4.8000000000000001E-2</v>
      </c>
      <c r="R27" s="40"/>
      <c r="S27" s="37"/>
      <c r="T27" s="29"/>
      <c r="X27" s="1"/>
      <c r="Y27" s="1"/>
      <c r="Z27" s="1"/>
      <c r="AA27" s="1"/>
      <c r="AB27" s="1"/>
      <c r="AC27" s="1"/>
      <c r="AD27" s="1"/>
    </row>
    <row r="28" spans="1:30" ht="15.75" customHeight="1" x14ac:dyDescent="0.3">
      <c r="A28" s="1"/>
      <c r="B28" s="10">
        <v>1568603</v>
      </c>
      <c r="C28" s="30" t="s">
        <v>88</v>
      </c>
      <c r="D28" s="34">
        <v>79546</v>
      </c>
      <c r="E28" s="34">
        <v>7338</v>
      </c>
      <c r="F28" s="33">
        <f t="shared" si="4"/>
        <v>9.2248510295929398E-2</v>
      </c>
      <c r="G28" s="34">
        <v>242.91</v>
      </c>
      <c r="H28" s="31">
        <v>6234</v>
      </c>
      <c r="I28" s="31">
        <v>3418</v>
      </c>
      <c r="J28" s="35">
        <f t="shared" si="5"/>
        <v>72.87299999999999</v>
      </c>
      <c r="K28" s="36">
        <f t="shared" si="6"/>
        <v>25.663826108435224</v>
      </c>
      <c r="L28" s="36">
        <f t="shared" si="7"/>
        <v>14.071055123296695</v>
      </c>
      <c r="M28" s="1"/>
      <c r="N28" s="2"/>
      <c r="X28" s="1"/>
      <c r="Y28" s="1"/>
      <c r="Z28" s="1"/>
      <c r="AA28" s="1"/>
      <c r="AB28" s="1"/>
      <c r="AC28" s="1"/>
      <c r="AD28" s="1"/>
    </row>
    <row r="29" spans="1:30" ht="15.75" customHeight="1" x14ac:dyDescent="0.3">
      <c r="A29" s="1"/>
      <c r="B29" s="10">
        <v>1779574</v>
      </c>
      <c r="C29" s="30" t="s">
        <v>89</v>
      </c>
      <c r="D29" s="34">
        <v>84040</v>
      </c>
      <c r="E29" s="34">
        <v>7722</v>
      </c>
      <c r="F29" s="33">
        <f t="shared" si="4"/>
        <v>9.1884816753926707E-2</v>
      </c>
      <c r="G29" s="34">
        <v>256</v>
      </c>
      <c r="H29" s="31">
        <v>9996</v>
      </c>
      <c r="I29" s="31">
        <v>6021</v>
      </c>
      <c r="J29" s="35">
        <f t="shared" si="5"/>
        <v>76.8</v>
      </c>
      <c r="K29" s="36">
        <f t="shared" si="6"/>
        <v>39.046875</v>
      </c>
      <c r="L29" s="36">
        <f t="shared" si="7"/>
        <v>23.51953125</v>
      </c>
      <c r="M29" s="1"/>
      <c r="N29" s="2"/>
      <c r="X29" s="1"/>
      <c r="Y29" s="1"/>
      <c r="Z29" s="1"/>
      <c r="AA29" s="1"/>
      <c r="AB29" s="1"/>
      <c r="AC29" s="1"/>
      <c r="AD29" s="1"/>
    </row>
    <row r="30" spans="1:30" ht="15.75" customHeight="1" x14ac:dyDescent="0.3">
      <c r="A30" s="1"/>
      <c r="B30" s="45">
        <v>1862449</v>
      </c>
      <c r="C30" s="30" t="s">
        <v>90</v>
      </c>
      <c r="D30" s="34">
        <v>88630</v>
      </c>
      <c r="E30" s="34">
        <v>7651</v>
      </c>
      <c r="F30" s="33">
        <f t="shared" si="4"/>
        <v>8.6325172063635339E-2</v>
      </c>
      <c r="G30" s="34">
        <v>253.26</v>
      </c>
      <c r="H30" s="31">
        <v>9929</v>
      </c>
      <c r="I30" s="31">
        <v>6318</v>
      </c>
      <c r="J30" s="35">
        <f t="shared" si="5"/>
        <v>75.977999999999994</v>
      </c>
      <c r="K30" s="36">
        <f t="shared" si="6"/>
        <v>39.204769801784728</v>
      </c>
      <c r="L30" s="36">
        <f t="shared" si="7"/>
        <v>24.946695095948829</v>
      </c>
      <c r="M30" s="1"/>
      <c r="N30" s="2"/>
      <c r="X30" s="1"/>
      <c r="Y30" s="1"/>
      <c r="Z30" s="1"/>
      <c r="AA30" s="1"/>
      <c r="AB30" s="1"/>
      <c r="AC30" s="1"/>
      <c r="AD30" s="1"/>
    </row>
    <row r="31" spans="1:30" ht="15.75" customHeight="1" x14ac:dyDescent="0.3">
      <c r="A31" s="46"/>
      <c r="B31" s="47">
        <v>1563297</v>
      </c>
      <c r="C31" s="30" t="s">
        <v>91</v>
      </c>
      <c r="D31" s="48">
        <v>75611</v>
      </c>
      <c r="E31" s="45">
        <v>5651</v>
      </c>
      <c r="F31" s="33">
        <f t="shared" si="4"/>
        <v>7.4737802700665254E-2</v>
      </c>
      <c r="G31" s="49">
        <v>187.06</v>
      </c>
      <c r="H31" s="45">
        <v>7759</v>
      </c>
      <c r="I31" s="45">
        <v>4037</v>
      </c>
      <c r="J31" s="35">
        <f t="shared" si="5"/>
        <v>56.118000000000002</v>
      </c>
      <c r="K31" s="36">
        <f t="shared" si="6"/>
        <v>41.478669945472042</v>
      </c>
      <c r="L31" s="36">
        <f t="shared" si="7"/>
        <v>21.581310809365977</v>
      </c>
      <c r="M31" s="1"/>
      <c r="N31" s="2"/>
      <c r="X31" s="1"/>
      <c r="Y31" s="1"/>
      <c r="Z31" s="1"/>
      <c r="AA31" s="1"/>
      <c r="AB31" s="1"/>
      <c r="AC31" s="1"/>
      <c r="AD31" s="1"/>
    </row>
    <row r="32" spans="1:30" ht="15.75" customHeight="1" x14ac:dyDescent="0.3">
      <c r="A32" s="1"/>
      <c r="B32" s="41">
        <v>1457861</v>
      </c>
      <c r="C32" s="30" t="s">
        <v>92</v>
      </c>
      <c r="D32" s="48">
        <v>70333</v>
      </c>
      <c r="E32" s="45">
        <v>4230</v>
      </c>
      <c r="F32" s="33">
        <f t="shared" si="4"/>
        <v>6.0142465130166495E-2</v>
      </c>
      <c r="G32" s="49">
        <v>140.02000000000001</v>
      </c>
      <c r="H32" s="45">
        <v>8329</v>
      </c>
      <c r="I32" s="45">
        <v>4001</v>
      </c>
      <c r="J32" s="35">
        <v>45</v>
      </c>
      <c r="K32" s="36">
        <f t="shared" si="6"/>
        <v>59.484359377231819</v>
      </c>
      <c r="L32" s="36">
        <f t="shared" si="7"/>
        <v>28.574489358663048</v>
      </c>
      <c r="M32" s="1"/>
      <c r="N32" s="2"/>
      <c r="X32" s="1"/>
      <c r="Y32" s="1"/>
      <c r="Z32" s="1"/>
      <c r="AA32" s="1"/>
      <c r="AB32" s="1"/>
      <c r="AC32" s="1"/>
      <c r="AD32" s="1"/>
    </row>
    <row r="33" spans="1:30" ht="15.75" customHeight="1" x14ac:dyDescent="0.3">
      <c r="A33" s="1"/>
      <c r="B33" s="41">
        <v>1652653</v>
      </c>
      <c r="C33" s="30" t="s">
        <v>93</v>
      </c>
      <c r="D33" s="48">
        <v>88296</v>
      </c>
      <c r="E33" s="45">
        <v>3766</v>
      </c>
      <c r="F33" s="33">
        <f t="shared" si="4"/>
        <v>4.2651988765062973E-2</v>
      </c>
      <c r="G33" s="49">
        <v>124.68</v>
      </c>
      <c r="H33" s="45">
        <v>9050</v>
      </c>
      <c r="I33" s="45">
        <v>6400</v>
      </c>
      <c r="J33" s="35">
        <v>60</v>
      </c>
      <c r="K33" s="36">
        <f t="shared" si="6"/>
        <v>72.585819698427969</v>
      </c>
      <c r="L33" s="36">
        <f t="shared" si="7"/>
        <v>51.331408405518125</v>
      </c>
      <c r="M33" s="1"/>
      <c r="N33" s="2"/>
      <c r="X33" s="1"/>
      <c r="Y33" s="1"/>
      <c r="Z33" s="1"/>
      <c r="AA33" s="1"/>
      <c r="AB33" s="1"/>
      <c r="AC33" s="1"/>
      <c r="AD33" s="1"/>
    </row>
    <row r="34" spans="1:30" ht="15.75" customHeight="1" x14ac:dyDescent="0.3">
      <c r="A34" s="1"/>
      <c r="B34" s="41">
        <v>1966164</v>
      </c>
      <c r="C34" s="30" t="s">
        <v>94</v>
      </c>
      <c r="D34" s="48">
        <v>118409</v>
      </c>
      <c r="E34" s="45">
        <v>8263</v>
      </c>
      <c r="F34" s="33">
        <f t="shared" si="4"/>
        <v>6.9783546858769183E-2</v>
      </c>
      <c r="G34" s="49">
        <v>271.8</v>
      </c>
      <c r="H34" s="45">
        <v>9769</v>
      </c>
      <c r="I34" s="45">
        <v>7062</v>
      </c>
      <c r="J34" s="35">
        <f>G34*30%</f>
        <v>81.540000000000006</v>
      </c>
      <c r="K34" s="36">
        <f t="shared" si="6"/>
        <v>35.941869021339215</v>
      </c>
      <c r="L34" s="36">
        <f t="shared" si="7"/>
        <v>25.982339955849888</v>
      </c>
      <c r="M34" s="46"/>
      <c r="N34" s="50"/>
      <c r="X34" s="1"/>
      <c r="Y34" s="1"/>
      <c r="Z34" s="1"/>
      <c r="AA34" s="1"/>
      <c r="AB34" s="1"/>
      <c r="AC34" s="1"/>
      <c r="AD34" s="1"/>
    </row>
    <row r="35" spans="1:30" ht="15.75" customHeight="1" x14ac:dyDescent="0.3">
      <c r="A35" s="1"/>
      <c r="B35" s="41">
        <v>2135323</v>
      </c>
      <c r="C35" s="30" t="s">
        <v>95</v>
      </c>
      <c r="D35" s="10">
        <v>141858</v>
      </c>
      <c r="E35" s="10">
        <v>13488</v>
      </c>
      <c r="F35" s="33">
        <f t="shared" si="4"/>
        <v>9.5080996489447192E-2</v>
      </c>
      <c r="G35" s="34">
        <v>436</v>
      </c>
      <c r="H35" s="10">
        <v>12727</v>
      </c>
      <c r="I35" s="45">
        <v>8377</v>
      </c>
      <c r="J35" s="35">
        <v>125</v>
      </c>
      <c r="K35" s="36">
        <f t="shared" si="6"/>
        <v>29.190366972477065</v>
      </c>
      <c r="L35" s="36">
        <f t="shared" si="7"/>
        <v>19.213302752293579</v>
      </c>
      <c r="M35" s="1"/>
      <c r="N35" s="2"/>
      <c r="X35" s="1"/>
      <c r="Y35" s="1"/>
      <c r="Z35" s="1"/>
      <c r="AA35" s="1"/>
      <c r="AB35" s="1"/>
      <c r="AC35" s="1"/>
      <c r="AD35" s="1"/>
    </row>
    <row r="36" spans="1:30" ht="15.75" customHeight="1" x14ac:dyDescent="0.3">
      <c r="B36" s="41">
        <v>2159161</v>
      </c>
      <c r="C36" s="30" t="s">
        <v>96</v>
      </c>
      <c r="D36" s="10">
        <f>D35+R47-S47</f>
        <v>145102</v>
      </c>
      <c r="E36" s="10">
        <f>E35+R50-S50</f>
        <v>14705</v>
      </c>
      <c r="F36" s="33">
        <f t="shared" si="4"/>
        <v>0.10134250389381262</v>
      </c>
      <c r="G36" s="34">
        <v>471.9</v>
      </c>
      <c r="H36" s="10">
        <v>13680</v>
      </c>
      <c r="I36" s="45">
        <v>11561</v>
      </c>
      <c r="J36" s="35">
        <v>125</v>
      </c>
      <c r="K36" s="36">
        <f t="shared" si="6"/>
        <v>28.989192625556264</v>
      </c>
      <c r="L36" s="36">
        <f t="shared" si="7"/>
        <v>24.498834498834501</v>
      </c>
      <c r="X36" s="1"/>
      <c r="Y36" s="1"/>
      <c r="Z36" s="1"/>
      <c r="AA36" s="1"/>
      <c r="AB36" s="1"/>
      <c r="AC36" s="1"/>
      <c r="AD36" s="1"/>
    </row>
    <row r="37" spans="1:30" ht="15.75" customHeight="1" x14ac:dyDescent="0.3">
      <c r="X37" s="1"/>
      <c r="Y37" s="1"/>
      <c r="Z37" s="1"/>
      <c r="AA37" s="1"/>
      <c r="AB37" s="1"/>
      <c r="AC37" s="1"/>
      <c r="AD37" s="1"/>
    </row>
    <row r="38" spans="1:30" ht="15.75" customHeight="1" x14ac:dyDescent="0.3">
      <c r="A38" s="1"/>
      <c r="B38" s="26" t="s">
        <v>26</v>
      </c>
      <c r="C38" s="26" t="s">
        <v>50</v>
      </c>
      <c r="D38" s="26" t="s">
        <v>51</v>
      </c>
      <c r="E38" s="26" t="s">
        <v>52</v>
      </c>
      <c r="F38" s="26" t="s">
        <v>53</v>
      </c>
      <c r="G38" s="26" t="s">
        <v>54</v>
      </c>
      <c r="H38" s="26" t="s">
        <v>55</v>
      </c>
      <c r="I38" s="26" t="s">
        <v>56</v>
      </c>
      <c r="J38" s="26" t="s">
        <v>57</v>
      </c>
      <c r="K38" s="26" t="s">
        <v>58</v>
      </c>
      <c r="L38" s="26" t="s">
        <v>59</v>
      </c>
      <c r="M38" s="26" t="s">
        <v>97</v>
      </c>
      <c r="N38" s="2"/>
      <c r="X38" s="1"/>
      <c r="Y38" s="1"/>
      <c r="Z38" s="1"/>
      <c r="AA38" s="1"/>
      <c r="AB38" s="1"/>
      <c r="AC38" s="1"/>
      <c r="AD38" s="1"/>
    </row>
    <row r="39" spans="1:30" ht="15.75" customHeight="1" x14ac:dyDescent="0.3">
      <c r="A39" s="1" t="s">
        <v>98</v>
      </c>
      <c r="B39" s="51"/>
      <c r="C39" s="10" t="s">
        <v>99</v>
      </c>
      <c r="D39" s="51">
        <f t="shared" ref="D39:E39" si="9">(D35/D15)^(1/20)-1</f>
        <v>0.14324743010802754</v>
      </c>
      <c r="E39" s="51">
        <f t="shared" si="9"/>
        <v>0.17434962526521391</v>
      </c>
      <c r="F39" s="52">
        <f>MEDIAN(F15:F35)</f>
        <v>7.3048305184835238E-2</v>
      </c>
      <c r="G39" s="51">
        <f t="shared" ref="G39:I39" si="10">(G35/G15)^(1/20)-1</f>
        <v>0.1703105250689283</v>
      </c>
      <c r="H39" s="51">
        <f t="shared" si="10"/>
        <v>0.16618495938089617</v>
      </c>
      <c r="I39" s="51">
        <f t="shared" si="10"/>
        <v>0.22078122340253037</v>
      </c>
      <c r="J39" s="53">
        <f>SUM(J15:J35)</f>
        <v>867.32899999999995</v>
      </c>
      <c r="K39" s="54">
        <f t="shared" ref="K39:L39" si="11">MEDIAN(K15:K35)</f>
        <v>25.663826108435224</v>
      </c>
      <c r="L39" s="54">
        <f t="shared" si="11"/>
        <v>14.163090128755366</v>
      </c>
      <c r="M39" s="49">
        <f t="shared" ref="M39:M41" si="12">AVERAGE(K39:L39)</f>
        <v>19.913458118595294</v>
      </c>
      <c r="N39" s="2"/>
      <c r="X39" s="1"/>
      <c r="Y39" s="1"/>
      <c r="Z39" s="1"/>
      <c r="AA39" s="1"/>
      <c r="AB39" s="1"/>
      <c r="AC39" s="1"/>
      <c r="AD39" s="1"/>
    </row>
    <row r="40" spans="1:30" ht="15.75" customHeight="1" x14ac:dyDescent="0.3">
      <c r="A40" s="1" t="s">
        <v>98</v>
      </c>
      <c r="B40" s="51">
        <f>(B35/B25)^(1/10)-1</f>
        <v>6.3375420987648479E-2</v>
      </c>
      <c r="C40" s="45" t="s">
        <v>100</v>
      </c>
      <c r="D40" s="51">
        <f t="shared" ref="D40:E40" si="13">(D35/D25)^(1/10)-1</f>
        <v>0.12286091721063519</v>
      </c>
      <c r="E40" s="51">
        <f t="shared" si="13"/>
        <v>0.17096370805916572</v>
      </c>
      <c r="F40" s="52">
        <f>MEDIAN(F25:F35)</f>
        <v>7.4737802700665254E-2</v>
      </c>
      <c r="G40" s="51">
        <f t="shared" ref="G40:I40" si="14">(G35/G25)^(1/10)-1</f>
        <v>0.16817670562186948</v>
      </c>
      <c r="H40" s="51">
        <f t="shared" si="14"/>
        <v>0.2044980060212287</v>
      </c>
      <c r="I40" s="51">
        <f t="shared" si="14"/>
        <v>0.21297325106852805</v>
      </c>
      <c r="J40" s="53">
        <f>SUM(J25:J35)</f>
        <v>703.202</v>
      </c>
      <c r="K40" s="53">
        <f t="shared" ref="K40:L40" si="15">MEDIAN(K25:K35)</f>
        <v>35.941869021339215</v>
      </c>
      <c r="L40" s="53">
        <f t="shared" si="15"/>
        <v>21.581310809365977</v>
      </c>
      <c r="M40" s="49">
        <f t="shared" si="12"/>
        <v>28.761589915352594</v>
      </c>
      <c r="N40" s="2"/>
      <c r="X40" s="1"/>
      <c r="Y40" s="1"/>
      <c r="Z40" s="1"/>
      <c r="AA40" s="1"/>
      <c r="AB40" s="1"/>
      <c r="AC40" s="1"/>
      <c r="AD40" s="1"/>
    </row>
    <row r="41" spans="1:30" ht="15.75" customHeight="1" x14ac:dyDescent="0.3">
      <c r="A41" s="1" t="s">
        <v>98</v>
      </c>
      <c r="B41" s="51">
        <f>(B35/B30)^(1/5)-1</f>
        <v>2.7722436313666776E-2</v>
      </c>
      <c r="C41" s="10" t="s">
        <v>101</v>
      </c>
      <c r="D41" s="51">
        <f t="shared" ref="D41:E41" si="16">(D35/D30)^(1/5)-1</f>
        <v>9.8638000546876103E-2</v>
      </c>
      <c r="E41" s="51">
        <f t="shared" si="16"/>
        <v>0.12007182039300379</v>
      </c>
      <c r="F41" s="52">
        <f>MEDIAN(F30:F35)</f>
        <v>7.2260674779717218E-2</v>
      </c>
      <c r="G41" s="51">
        <f t="shared" ref="G41:I41" si="17">(G35/G30)^(1/5)-1</f>
        <v>0.11476667493407922</v>
      </c>
      <c r="H41" s="51">
        <f t="shared" si="17"/>
        <v>5.0906568883552827E-2</v>
      </c>
      <c r="I41" s="51">
        <f t="shared" si="17"/>
        <v>5.8039249483355482E-2</v>
      </c>
      <c r="J41" s="53">
        <f>SUM(J30:J35)</f>
        <v>443.63600000000002</v>
      </c>
      <c r="K41" s="53">
        <f t="shared" ref="K41:L41" si="18">MEDIAN(K30:K35)</f>
        <v>40.341719873628385</v>
      </c>
      <c r="L41" s="53">
        <f t="shared" si="18"/>
        <v>25.46451752589936</v>
      </c>
      <c r="M41" s="49">
        <f t="shared" si="12"/>
        <v>32.903118699763873</v>
      </c>
      <c r="N41" s="2"/>
      <c r="X41" s="1"/>
      <c r="Y41" s="1"/>
      <c r="Z41" s="1"/>
      <c r="AA41" s="1"/>
      <c r="AB41" s="1"/>
      <c r="AC41" s="1"/>
      <c r="AD41" s="1"/>
    </row>
    <row r="42" spans="1:30" ht="15.75" customHeight="1" x14ac:dyDescent="0.3">
      <c r="A42" s="1" t="s">
        <v>102</v>
      </c>
      <c r="B42" s="55">
        <f>(B35/B34)-1</f>
        <v>8.6035040820602982E-2</v>
      </c>
      <c r="C42" s="10" t="s">
        <v>103</v>
      </c>
      <c r="D42" s="55">
        <f t="shared" ref="D42:E42" si="19">(D35/D34)-1</f>
        <v>0.19803393323142671</v>
      </c>
      <c r="E42" s="55">
        <f t="shared" si="19"/>
        <v>0.63233692363548344</v>
      </c>
      <c r="F42" s="55">
        <f>F35</f>
        <v>9.5080996489447192E-2</v>
      </c>
      <c r="G42" s="55">
        <f t="shared" ref="G42:I42" si="20">(G35/G34)-1</f>
        <v>0.60412067696835892</v>
      </c>
      <c r="H42" s="55">
        <f t="shared" si="20"/>
        <v>0.3027945542020678</v>
      </c>
      <c r="I42" s="55">
        <f t="shared" si="20"/>
        <v>0.18620787312376108</v>
      </c>
      <c r="J42" s="56">
        <f t="shared" ref="J42:L42" si="21">J35</f>
        <v>125</v>
      </c>
      <c r="K42" s="56">
        <f t="shared" si="21"/>
        <v>29.190366972477065</v>
      </c>
      <c r="L42" s="56">
        <f t="shared" si="21"/>
        <v>19.213302752293579</v>
      </c>
      <c r="M42" s="49">
        <f>AVERAGE(M39:M41)</f>
        <v>27.192722244570586</v>
      </c>
      <c r="N42" s="2"/>
      <c r="X42" s="1"/>
      <c r="Y42" s="1"/>
      <c r="Z42" s="1"/>
      <c r="AA42" s="1"/>
      <c r="AB42" s="1"/>
      <c r="AC42" s="1"/>
      <c r="AD42" s="1"/>
    </row>
    <row r="43" spans="1:30" ht="15.75" customHeight="1" x14ac:dyDescent="0.3">
      <c r="A43" s="29"/>
      <c r="B43" s="29"/>
      <c r="C43" s="29"/>
      <c r="D43" s="29"/>
      <c r="E43" s="29"/>
      <c r="F43" s="29"/>
      <c r="G43" s="29"/>
      <c r="H43" s="29"/>
      <c r="I43" s="29"/>
      <c r="J43" s="57"/>
      <c r="K43" s="57"/>
      <c r="M43" s="2">
        <v>25</v>
      </c>
      <c r="N43" s="2"/>
      <c r="O43" s="2"/>
      <c r="P43" s="2"/>
    </row>
    <row r="44" spans="1:30" ht="15.75" customHeight="1" x14ac:dyDescent="0.3">
      <c r="A44" s="29"/>
      <c r="I44" s="29"/>
      <c r="M44" s="2"/>
      <c r="N44" s="2"/>
      <c r="O44" s="2"/>
      <c r="P44" s="2"/>
    </row>
    <row r="45" spans="1:30" ht="15.75" customHeight="1" x14ac:dyDescent="0.3">
      <c r="A45" s="1"/>
      <c r="B45" s="17" t="s">
        <v>104</v>
      </c>
      <c r="C45" s="17" t="s">
        <v>50</v>
      </c>
      <c r="D45" s="17" t="s">
        <v>51</v>
      </c>
      <c r="E45" s="17" t="s">
        <v>52</v>
      </c>
      <c r="F45" s="17" t="s">
        <v>105</v>
      </c>
      <c r="G45" s="17" t="s">
        <v>54</v>
      </c>
      <c r="H45" s="2"/>
      <c r="I45" s="29"/>
      <c r="J45" s="17" t="s">
        <v>106</v>
      </c>
      <c r="K45" s="19" t="s">
        <v>107</v>
      </c>
      <c r="L45" s="19" t="s">
        <v>108</v>
      </c>
      <c r="M45" s="19" t="s">
        <v>109</v>
      </c>
      <c r="N45" s="19" t="s">
        <v>110</v>
      </c>
      <c r="O45" s="17" t="s">
        <v>111</v>
      </c>
      <c r="P45" s="1"/>
      <c r="Q45" s="19" t="s">
        <v>112</v>
      </c>
      <c r="R45" s="19" t="s">
        <v>63</v>
      </c>
      <c r="S45" s="19" t="s">
        <v>113</v>
      </c>
      <c r="T45" s="17" t="s">
        <v>26</v>
      </c>
      <c r="U45" s="2"/>
      <c r="V45" s="19" t="s">
        <v>112</v>
      </c>
      <c r="W45" s="19" t="s">
        <v>114</v>
      </c>
      <c r="X45" s="19" t="s">
        <v>115</v>
      </c>
      <c r="Y45" s="17" t="s">
        <v>26</v>
      </c>
      <c r="AA45" s="19" t="s">
        <v>112</v>
      </c>
      <c r="AB45" s="19" t="s">
        <v>116</v>
      </c>
      <c r="AC45" s="19" t="s">
        <v>117</v>
      </c>
      <c r="AD45" s="17" t="s">
        <v>26</v>
      </c>
    </row>
    <row r="46" spans="1:30" ht="15.75" customHeight="1" x14ac:dyDescent="0.3">
      <c r="A46" s="1"/>
      <c r="B46" s="21">
        <v>0.03</v>
      </c>
      <c r="C46" s="58" t="s">
        <v>118</v>
      </c>
      <c r="D46" s="21">
        <v>0.09</v>
      </c>
      <c r="E46" s="21">
        <f>(E50/E35)-1</f>
        <v>0.20371056494661932</v>
      </c>
      <c r="F46" s="59">
        <v>0.105</v>
      </c>
      <c r="G46" s="21">
        <f>E46</f>
        <v>0.20371056494661932</v>
      </c>
      <c r="H46" s="2"/>
      <c r="I46" s="29"/>
      <c r="J46" s="5" t="s">
        <v>54</v>
      </c>
      <c r="K46" s="10">
        <v>124.61</v>
      </c>
      <c r="L46" s="10">
        <v>102</v>
      </c>
      <c r="M46" s="10">
        <v>125.71</v>
      </c>
      <c r="N46" s="10">
        <v>119.58</v>
      </c>
      <c r="O46" s="60">
        <f>SUM(K46:N46)</f>
        <v>471.9</v>
      </c>
      <c r="P46" s="1"/>
      <c r="Q46" s="10" t="s">
        <v>8</v>
      </c>
      <c r="R46" s="45">
        <v>521868</v>
      </c>
      <c r="S46" s="56">
        <v>498030</v>
      </c>
      <c r="T46" s="59">
        <f>(R46/S46)-1</f>
        <v>4.7864586470694581E-2</v>
      </c>
      <c r="U46" s="2"/>
      <c r="V46" s="10" t="s">
        <v>8</v>
      </c>
      <c r="W46" s="45">
        <v>584031</v>
      </c>
      <c r="X46" s="56">
        <v>514927</v>
      </c>
      <c r="Y46" s="33">
        <f t="shared" ref="Y46:Y51" si="22">(W46/X46)^(1/1)-1</f>
        <v>0.1342015470154021</v>
      </c>
      <c r="AA46" s="10" t="s">
        <v>8</v>
      </c>
      <c r="AB46" s="45">
        <v>2135323</v>
      </c>
      <c r="AC46" s="56">
        <v>1966164</v>
      </c>
      <c r="AD46" s="59">
        <f>(AB46/AC46)-1</f>
        <v>8.6035040820602982E-2</v>
      </c>
    </row>
    <row r="47" spans="1:30" ht="15.75" customHeight="1" x14ac:dyDescent="0.3">
      <c r="A47" s="1"/>
      <c r="B47" s="21">
        <v>7.0000000000000007E-2</v>
      </c>
      <c r="C47" s="61" t="s">
        <v>119</v>
      </c>
      <c r="D47" s="33">
        <v>0.12</v>
      </c>
      <c r="E47" s="33">
        <v>0.12</v>
      </c>
      <c r="F47" s="59">
        <f>AVERAGE(F39:F42)</f>
        <v>7.8781944788666222E-2</v>
      </c>
      <c r="G47" s="33">
        <v>0.12</v>
      </c>
      <c r="H47" s="2"/>
      <c r="I47" s="29"/>
      <c r="J47" s="2"/>
      <c r="K47" s="2"/>
      <c r="L47" s="1"/>
      <c r="M47" s="1"/>
      <c r="N47" s="1"/>
      <c r="O47" s="1"/>
      <c r="P47" s="1"/>
      <c r="Q47" s="10" t="s">
        <v>51</v>
      </c>
      <c r="R47" s="45">
        <v>35779</v>
      </c>
      <c r="S47" s="45">
        <v>32535</v>
      </c>
      <c r="T47" s="33">
        <f t="shared" ref="T47:T51" si="23">(R47/S47)^(1/1)-1</f>
        <v>9.9708006761948687E-2</v>
      </c>
      <c r="U47" s="2"/>
      <c r="V47" s="10" t="s">
        <v>51</v>
      </c>
      <c r="W47" s="45">
        <v>38471</v>
      </c>
      <c r="X47" s="45">
        <v>32213</v>
      </c>
      <c r="Y47" s="33">
        <f t="shared" si="22"/>
        <v>0.19426939434389845</v>
      </c>
      <c r="AA47" s="10" t="s">
        <v>51</v>
      </c>
      <c r="AB47" s="45">
        <v>141858</v>
      </c>
      <c r="AC47" s="45">
        <v>118409</v>
      </c>
      <c r="AD47" s="33">
        <f t="shared" ref="AD47:AD51" si="24">(AB47/AC47)^(1/1)-1</f>
        <v>0.19803393323142671</v>
      </c>
    </row>
    <row r="48" spans="1:30" ht="15.75" customHeight="1" x14ac:dyDescent="0.3">
      <c r="A48" s="1"/>
      <c r="B48" s="2"/>
      <c r="C48" s="62"/>
      <c r="D48" s="2"/>
      <c r="E48" s="2"/>
      <c r="F48" s="2"/>
      <c r="G48" s="2"/>
      <c r="H48" s="2"/>
      <c r="J48" s="19" t="s">
        <v>120</v>
      </c>
      <c r="K48" s="19" t="s">
        <v>121</v>
      </c>
      <c r="L48" s="19" t="s">
        <v>122</v>
      </c>
      <c r="M48" s="19" t="s">
        <v>116</v>
      </c>
      <c r="N48" s="19" t="s">
        <v>63</v>
      </c>
      <c r="O48" s="19" t="s">
        <v>123</v>
      </c>
      <c r="P48" s="2"/>
      <c r="Q48" s="10" t="s">
        <v>124</v>
      </c>
      <c r="R48" s="45">
        <v>32061</v>
      </c>
      <c r="S48" s="45">
        <v>30375</v>
      </c>
      <c r="T48" s="33">
        <f t="shared" si="23"/>
        <v>5.5506172839506096E-2</v>
      </c>
      <c r="U48" s="1"/>
      <c r="V48" s="10" t="s">
        <v>125</v>
      </c>
      <c r="W48" s="45">
        <v>34624</v>
      </c>
      <c r="X48" s="45">
        <v>29723</v>
      </c>
      <c r="Y48" s="33">
        <f t="shared" si="22"/>
        <v>0.16488914308784453</v>
      </c>
      <c r="AA48" s="10" t="s">
        <v>125</v>
      </c>
      <c r="AB48" s="45">
        <v>128781</v>
      </c>
      <c r="AC48" s="45">
        <v>110413</v>
      </c>
      <c r="AD48" s="33">
        <f t="shared" si="24"/>
        <v>0.16635722242851836</v>
      </c>
    </row>
    <row r="49" spans="1:30" ht="15.75" customHeight="1" x14ac:dyDescent="0.3">
      <c r="A49" s="1"/>
      <c r="B49" s="63" t="s">
        <v>126</v>
      </c>
      <c r="C49" s="64" t="s">
        <v>50</v>
      </c>
      <c r="D49" s="63" t="s">
        <v>51</v>
      </c>
      <c r="E49" s="63" t="s">
        <v>52</v>
      </c>
      <c r="F49" s="63" t="s">
        <v>54</v>
      </c>
      <c r="G49" s="63" t="s">
        <v>127</v>
      </c>
      <c r="H49" s="63" t="s">
        <v>57</v>
      </c>
      <c r="I49" s="29"/>
      <c r="J49" s="17" t="s">
        <v>51</v>
      </c>
      <c r="K49" s="21">
        <v>0.24</v>
      </c>
      <c r="L49" s="21">
        <v>0.2</v>
      </c>
      <c r="M49" s="21">
        <v>0.2</v>
      </c>
      <c r="N49" s="33">
        <v>0.1</v>
      </c>
      <c r="O49" s="33">
        <v>0.09</v>
      </c>
      <c r="P49" s="2"/>
      <c r="Q49" s="10" t="s">
        <v>128</v>
      </c>
      <c r="R49" s="45">
        <v>57</v>
      </c>
      <c r="S49" s="45">
        <v>46</v>
      </c>
      <c r="T49" s="33">
        <f t="shared" si="23"/>
        <v>0.23913043478260865</v>
      </c>
      <c r="U49" s="2"/>
      <c r="V49" s="10" t="s">
        <v>128</v>
      </c>
      <c r="W49" s="45">
        <v>76</v>
      </c>
      <c r="X49" s="45">
        <v>163</v>
      </c>
      <c r="Y49" s="33">
        <f t="shared" si="22"/>
        <v>-0.53374233128834359</v>
      </c>
      <c r="AA49" s="10" t="s">
        <v>128</v>
      </c>
      <c r="AB49" s="45">
        <v>193</v>
      </c>
      <c r="AC49" s="45">
        <v>252</v>
      </c>
      <c r="AD49" s="33">
        <f t="shared" si="24"/>
        <v>-0.23412698412698407</v>
      </c>
    </row>
    <row r="50" spans="1:30" ht="15.75" customHeight="1" x14ac:dyDescent="0.3">
      <c r="A50" s="1"/>
      <c r="B50" s="39">
        <f>FV(B46,1,0,-B35,0)</f>
        <v>2199382.69</v>
      </c>
      <c r="C50" s="65" t="s">
        <v>118</v>
      </c>
      <c r="D50" s="39">
        <f>FV(D46,1,0,-D35,0)</f>
        <v>154625.22</v>
      </c>
      <c r="E50" s="66">
        <f t="shared" ref="E50:E51" si="25">D50*F46</f>
        <v>16235.6481</v>
      </c>
      <c r="F50" s="39">
        <f>FV(G46,1,0,-G35,0)</f>
        <v>524.81780631672598</v>
      </c>
      <c r="G50" s="34">
        <f t="shared" ref="G50:G52" si="26">F50*25</f>
        <v>13120.44515791815</v>
      </c>
      <c r="H50" s="34">
        <f t="shared" ref="H50:H52" si="27">F50*30%</f>
        <v>157.44534189501778</v>
      </c>
      <c r="I50" s="29"/>
      <c r="J50" s="17" t="s">
        <v>129</v>
      </c>
      <c r="K50" s="21">
        <v>1</v>
      </c>
      <c r="L50" s="21">
        <v>0.71</v>
      </c>
      <c r="M50" s="21">
        <v>0.63</v>
      </c>
      <c r="N50" s="33">
        <v>0.48</v>
      </c>
      <c r="O50" s="33">
        <v>0.2</v>
      </c>
      <c r="P50" s="2"/>
      <c r="Q50" s="10" t="s">
        <v>52</v>
      </c>
      <c r="R50" s="45">
        <v>3760</v>
      </c>
      <c r="S50" s="45">
        <v>2543</v>
      </c>
      <c r="T50" s="33">
        <f t="shared" si="23"/>
        <v>0.47856861974046394</v>
      </c>
      <c r="U50" s="2"/>
      <c r="V50" s="10" t="s">
        <v>52</v>
      </c>
      <c r="W50" s="45">
        <v>3952</v>
      </c>
      <c r="X50" s="45">
        <v>2687</v>
      </c>
      <c r="Y50" s="33">
        <f t="shared" si="22"/>
        <v>0.47078526237439533</v>
      </c>
      <c r="AA50" s="10" t="s">
        <v>52</v>
      </c>
      <c r="AB50" s="45">
        <v>13488</v>
      </c>
      <c r="AC50" s="45">
        <v>8263</v>
      </c>
      <c r="AD50" s="33">
        <f t="shared" si="24"/>
        <v>0.63233692363548344</v>
      </c>
    </row>
    <row r="51" spans="1:30" ht="15.75" customHeight="1" x14ac:dyDescent="0.3">
      <c r="A51" s="1"/>
      <c r="B51" s="34">
        <f>FV(B47,6,0,-B50,0)</f>
        <v>3300680.3582143001</v>
      </c>
      <c r="C51" s="58" t="s">
        <v>119</v>
      </c>
      <c r="D51" s="34">
        <f>FV(D47,5,0,-D50,0)</f>
        <v>272502.47047997039</v>
      </c>
      <c r="E51" s="34">
        <f t="shared" si="25"/>
        <v>21468.274584128176</v>
      </c>
      <c r="F51" s="34">
        <f>FV(G47,6,0,-F50,0)</f>
        <v>1035.8972916964569</v>
      </c>
      <c r="G51" s="34">
        <f t="shared" si="26"/>
        <v>25897.432292411424</v>
      </c>
      <c r="H51" s="34">
        <f t="shared" si="27"/>
        <v>310.76918750893708</v>
      </c>
      <c r="J51" s="17" t="s">
        <v>105</v>
      </c>
      <c r="K51" s="25">
        <v>9.0999999999999998E-2</v>
      </c>
      <c r="L51" s="25">
        <v>9.1999999999999998E-2</v>
      </c>
      <c r="M51" s="25">
        <v>9.5000000000000001E-2</v>
      </c>
      <c r="N51" s="59">
        <v>0.105</v>
      </c>
      <c r="O51" s="59">
        <v>0.105</v>
      </c>
      <c r="P51" s="2"/>
      <c r="Q51" s="10" t="s">
        <v>54</v>
      </c>
      <c r="R51" s="67">
        <v>119.58</v>
      </c>
      <c r="S51" s="67">
        <v>80.88</v>
      </c>
      <c r="T51" s="33">
        <f t="shared" si="23"/>
        <v>0.478486646884273</v>
      </c>
      <c r="U51" s="2"/>
      <c r="V51" s="10" t="s">
        <v>54</v>
      </c>
      <c r="W51" s="67">
        <v>125.71</v>
      </c>
      <c r="X51" s="67">
        <v>84.49</v>
      </c>
      <c r="Y51" s="33">
        <f t="shared" si="22"/>
        <v>0.48786838679133626</v>
      </c>
      <c r="AA51" s="10" t="s">
        <v>54</v>
      </c>
      <c r="AB51" s="67">
        <v>429.01</v>
      </c>
      <c r="AC51" s="67">
        <v>262.83999999999997</v>
      </c>
      <c r="AD51" s="33">
        <f t="shared" si="24"/>
        <v>0.63220970932886944</v>
      </c>
    </row>
    <row r="52" spans="1:30" ht="15.75" customHeight="1" x14ac:dyDescent="0.3">
      <c r="A52" s="1"/>
      <c r="B52" s="34">
        <f>FV(B47,5,0,-B51,0)</f>
        <v>4629374.9489009632</v>
      </c>
      <c r="C52" s="58" t="s">
        <v>130</v>
      </c>
      <c r="D52" s="34">
        <f t="shared" ref="D52:F52" si="28">FV(12%,5,0,-D51,0)</f>
        <v>480242.46250182949</v>
      </c>
      <c r="E52" s="34">
        <f t="shared" si="28"/>
        <v>37834.435165992239</v>
      </c>
      <c r="F52" s="34">
        <f t="shared" si="28"/>
        <v>1825.6049766706558</v>
      </c>
      <c r="G52" s="34">
        <f t="shared" si="26"/>
        <v>45640.124416766397</v>
      </c>
      <c r="H52" s="34">
        <f t="shared" si="27"/>
        <v>547.68149300119671</v>
      </c>
      <c r="J52" s="19" t="s">
        <v>131</v>
      </c>
      <c r="K52" s="143" t="str">
        <f ca="1">IFERROR(__xludf.DUMMYFUNCTION("SPARKLINE(GOOGLEFINANCE(B6,""PRICE"",TODAY()-365,TODAY()))"),"")</f>
        <v/>
      </c>
      <c r="L52" s="144"/>
      <c r="M52" s="144"/>
      <c r="N52" s="144"/>
      <c r="O52" s="145"/>
      <c r="P52" s="68"/>
      <c r="Q52" s="10" t="s">
        <v>53</v>
      </c>
      <c r="R52" s="59">
        <f t="shared" ref="R52:S52" si="29">R50/R47</f>
        <v>0.10508957768523436</v>
      </c>
      <c r="S52" s="59">
        <f t="shared" si="29"/>
        <v>7.8161979406792689E-2</v>
      </c>
      <c r="T52" s="59">
        <f t="shared" ref="T52:T53" si="30">R52-S52</f>
        <v>2.692759827844167E-2</v>
      </c>
      <c r="U52" s="2"/>
      <c r="V52" s="10" t="s">
        <v>53</v>
      </c>
      <c r="W52" s="59">
        <f t="shared" ref="W52:X52" si="31">W50/W47</f>
        <v>0.10272672922461075</v>
      </c>
      <c r="X52" s="59">
        <f t="shared" si="31"/>
        <v>8.3413528699593328E-2</v>
      </c>
      <c r="Y52" s="59">
        <f t="shared" ref="Y52:Y53" si="32">W52-X52</f>
        <v>1.9313200525017421E-2</v>
      </c>
      <c r="AA52" s="10" t="s">
        <v>53</v>
      </c>
      <c r="AB52" s="59">
        <f t="shared" ref="AB52:AC52" si="33">AB50/AB47</f>
        <v>9.5080996489447192E-2</v>
      </c>
      <c r="AC52" s="59">
        <f t="shared" si="33"/>
        <v>6.9783546858769183E-2</v>
      </c>
      <c r="AD52" s="59">
        <f t="shared" ref="AD52:AD53" si="34">AB52-AC52</f>
        <v>2.5297449630678009E-2</v>
      </c>
    </row>
    <row r="53" spans="1:30" ht="15.75" customHeight="1" x14ac:dyDescent="0.3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10" t="s">
        <v>39</v>
      </c>
      <c r="R53" s="36">
        <f t="shared" ref="R53:S53" si="35">(R47-R48+R49)/R49</f>
        <v>66.228070175438603</v>
      </c>
      <c r="S53" s="36">
        <f t="shared" si="35"/>
        <v>47.956521739130437</v>
      </c>
      <c r="T53" s="69">
        <f t="shared" si="30"/>
        <v>18.271548436308166</v>
      </c>
      <c r="U53" s="2"/>
      <c r="V53" s="10" t="s">
        <v>39</v>
      </c>
      <c r="W53" s="36">
        <f t="shared" ref="W53:X53" si="36">(W47-W48+W49)/W49</f>
        <v>51.618421052631582</v>
      </c>
      <c r="X53" s="36">
        <f t="shared" si="36"/>
        <v>16.276073619631902</v>
      </c>
      <c r="Y53" s="69">
        <f t="shared" si="32"/>
        <v>35.342347432999681</v>
      </c>
      <c r="AA53" s="10" t="s">
        <v>39</v>
      </c>
      <c r="AB53" s="36">
        <f t="shared" ref="AB53:AC53" si="37">(AB47-AB48+AB49)/AB49</f>
        <v>68.756476683937819</v>
      </c>
      <c r="AC53" s="36">
        <f t="shared" si="37"/>
        <v>32.730158730158728</v>
      </c>
      <c r="AD53" s="69">
        <f t="shared" si="34"/>
        <v>36.026317953779092</v>
      </c>
    </row>
    <row r="54" spans="1:30" ht="15.75" customHeight="1" x14ac:dyDescent="0.3">
      <c r="A54" s="1"/>
      <c r="B54" s="2"/>
      <c r="C54" s="2"/>
      <c r="D54" s="2"/>
      <c r="E54" s="2"/>
      <c r="F54" s="2"/>
      <c r="G54" s="2"/>
      <c r="H54" s="2"/>
      <c r="I54" s="50"/>
      <c r="J54" s="2"/>
      <c r="K54" s="2"/>
      <c r="L54" s="70" t="s">
        <v>132</v>
      </c>
      <c r="M54" s="70" t="s">
        <v>111</v>
      </c>
      <c r="N54" s="70" t="s">
        <v>133</v>
      </c>
      <c r="O54" s="70" t="s">
        <v>134</v>
      </c>
      <c r="P54" s="2"/>
      <c r="U54" s="2"/>
      <c r="V54" s="2"/>
      <c r="W54" s="2"/>
      <c r="X54" s="1"/>
      <c r="Y54" s="1"/>
      <c r="Z54" s="1"/>
      <c r="AA54" s="1"/>
      <c r="AB54" s="1"/>
      <c r="AC54" s="1"/>
      <c r="AD54" s="1"/>
    </row>
    <row r="55" spans="1:30" ht="15.75" customHeight="1" x14ac:dyDescent="0.3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71">
        <v>436</v>
      </c>
      <c r="M55" s="72">
        <v>471.9</v>
      </c>
      <c r="N55" s="71">
        <v>525</v>
      </c>
      <c r="O55" s="73"/>
      <c r="P55" s="2"/>
      <c r="AA55" s="1"/>
      <c r="AB55" s="1"/>
      <c r="AC55" s="1"/>
      <c r="AD55" s="1"/>
    </row>
    <row r="56" spans="1:30" ht="15.75" customHeight="1" x14ac:dyDescent="0.3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70" t="s">
        <v>135</v>
      </c>
      <c r="M56" s="70" t="s">
        <v>136</v>
      </c>
      <c r="N56" s="70" t="s">
        <v>137</v>
      </c>
      <c r="O56" s="74">
        <f ca="1">N57/20</f>
        <v>1.1780619047619048</v>
      </c>
      <c r="P56" s="2"/>
      <c r="Q56" s="17" t="s">
        <v>143</v>
      </c>
      <c r="R56" s="19" t="s">
        <v>63</v>
      </c>
      <c r="S56" s="19" t="s">
        <v>113</v>
      </c>
      <c r="T56" s="17" t="s">
        <v>64</v>
      </c>
      <c r="U56" s="17" t="s">
        <v>26</v>
      </c>
      <c r="W56" s="26" t="s">
        <v>138</v>
      </c>
      <c r="X56" s="75" t="s">
        <v>139</v>
      </c>
      <c r="Y56" s="75" t="s">
        <v>93</v>
      </c>
      <c r="Z56" s="75" t="s">
        <v>86</v>
      </c>
      <c r="AA56" s="75" t="s">
        <v>27</v>
      </c>
      <c r="AB56" s="1"/>
      <c r="AC56" s="1"/>
      <c r="AD56" s="1"/>
    </row>
    <row r="57" spans="1:30" ht="15.75" customHeight="1" x14ac:dyDescent="0.35">
      <c r="A57" s="1"/>
      <c r="B57" s="2"/>
      <c r="C57" s="2"/>
      <c r="D57" s="2"/>
      <c r="E57" s="2"/>
      <c r="F57" s="2"/>
      <c r="G57" s="2"/>
      <c r="H57" s="2"/>
      <c r="I57" s="76"/>
      <c r="J57" s="2"/>
      <c r="K57" s="2"/>
      <c r="L57" s="72">
        <f>C7/L55</f>
        <v>28.899082568807341</v>
      </c>
      <c r="M57" s="72">
        <f ca="1">C6/M55</f>
        <v>26.212439076075441</v>
      </c>
      <c r="N57" s="72">
        <f ca="1">C6/N55</f>
        <v>23.561238095238096</v>
      </c>
      <c r="O57" s="73"/>
      <c r="P57" s="2"/>
      <c r="Q57" s="5" t="s">
        <v>145</v>
      </c>
      <c r="R57" s="5">
        <v>20247</v>
      </c>
      <c r="S57" s="5">
        <v>18490</v>
      </c>
      <c r="T57" s="21">
        <f t="shared" ref="T57:T63" si="38">R57/$R$65</f>
        <v>0.62816455696202533</v>
      </c>
      <c r="U57" s="21">
        <f t="shared" ref="U57:U63" si="39">(R57/S57)^(1/1)-1</f>
        <v>9.5024337479718834E-2</v>
      </c>
      <c r="W57" s="77" t="s">
        <v>140</v>
      </c>
      <c r="X57" s="2">
        <v>58.2</v>
      </c>
      <c r="Y57" s="68">
        <v>56.5</v>
      </c>
      <c r="Z57" s="76">
        <v>56</v>
      </c>
      <c r="AA57" s="78">
        <f t="shared" ref="AA57:AA60" si="40">(Y57/Z57)-1</f>
        <v>8.9285714285713969E-3</v>
      </c>
      <c r="AB57" s="1"/>
      <c r="AC57" s="1"/>
      <c r="AD57" s="1"/>
    </row>
    <row r="58" spans="1:30" ht="15.75" customHeight="1" x14ac:dyDescent="0.3">
      <c r="A58" s="1"/>
      <c r="B58" s="2"/>
      <c r="C58" s="2"/>
      <c r="D58" s="2"/>
      <c r="E58" s="2"/>
      <c r="F58" s="2"/>
      <c r="G58" s="2"/>
      <c r="H58" s="2"/>
      <c r="I58" s="76"/>
      <c r="J58" s="2"/>
      <c r="K58" s="2"/>
      <c r="L58" s="2"/>
      <c r="M58" s="2"/>
      <c r="N58" s="2"/>
      <c r="O58" s="2"/>
      <c r="P58" s="2"/>
      <c r="Q58" s="5" t="s">
        <v>146</v>
      </c>
      <c r="R58" s="5">
        <v>5605</v>
      </c>
      <c r="S58" s="5">
        <v>4823</v>
      </c>
      <c r="T58" s="21">
        <f t="shared" si="38"/>
        <v>0.17389550757011665</v>
      </c>
      <c r="U58" s="21">
        <f t="shared" si="39"/>
        <v>0.16213974704540735</v>
      </c>
      <c r="W58" s="2" t="s">
        <v>141</v>
      </c>
      <c r="X58" s="2"/>
      <c r="Y58" s="76">
        <f>8.22+0.13+5.33+4.81</f>
        <v>18.490000000000002</v>
      </c>
      <c r="Z58" s="76">
        <f>6.07+6.5+4.26</f>
        <v>16.829999999999998</v>
      </c>
      <c r="AA58" s="78">
        <f t="shared" si="40"/>
        <v>9.8633392751040105E-2</v>
      </c>
      <c r="AB58" s="1"/>
      <c r="AC58" s="1"/>
      <c r="AD58" s="1"/>
    </row>
    <row r="59" spans="1:30" ht="15.75" customHeight="1" x14ac:dyDescent="0.3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10" t="s">
        <v>148</v>
      </c>
      <c r="R59" s="10">
        <v>4323</v>
      </c>
      <c r="S59" s="10">
        <v>4064</v>
      </c>
      <c r="T59" s="21">
        <f t="shared" si="38"/>
        <v>0.13412137006701413</v>
      </c>
      <c r="U59" s="21">
        <f t="shared" si="39"/>
        <v>6.3730314960629864E-2</v>
      </c>
      <c r="W59" s="1" t="s">
        <v>142</v>
      </c>
      <c r="X59" s="2"/>
      <c r="Y59" s="79">
        <f>22.57</f>
        <v>22.57</v>
      </c>
      <c r="Z59" s="76">
        <v>23.95</v>
      </c>
      <c r="AA59" s="78">
        <f t="shared" si="40"/>
        <v>-5.7620041753653428E-2</v>
      </c>
      <c r="AB59" s="1"/>
      <c r="AC59" s="1"/>
      <c r="AD59" s="1"/>
    </row>
    <row r="60" spans="1:30" ht="15.75" customHeight="1" thickBot="1" x14ac:dyDescent="0.3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5" t="s">
        <v>149</v>
      </c>
      <c r="R60" s="5">
        <v>1758</v>
      </c>
      <c r="S60" s="5">
        <v>1680</v>
      </c>
      <c r="T60" s="21">
        <f t="shared" si="38"/>
        <v>5.4542069992553982E-2</v>
      </c>
      <c r="U60" s="21">
        <f t="shared" si="39"/>
        <v>4.6428571428571486E-2</v>
      </c>
      <c r="W60" s="80" t="s">
        <v>144</v>
      </c>
      <c r="X60" s="81"/>
      <c r="Y60" s="82">
        <v>3.25</v>
      </c>
      <c r="Z60" s="83">
        <f>2.37+0.05</f>
        <v>2.42</v>
      </c>
      <c r="AA60" s="84">
        <f t="shared" si="40"/>
        <v>0.34297520661157033</v>
      </c>
      <c r="AB60" s="1"/>
      <c r="AC60" s="1"/>
      <c r="AD60" s="1"/>
    </row>
    <row r="61" spans="1:30" ht="15.75" customHeight="1" thickTop="1" x14ac:dyDescent="0.3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10" t="s">
        <v>150</v>
      </c>
      <c r="R61" s="10">
        <v>1332</v>
      </c>
      <c r="S61" s="10">
        <v>1314</v>
      </c>
      <c r="T61" s="21">
        <f t="shared" si="38"/>
        <v>4.1325390915860016E-2</v>
      </c>
      <c r="U61" s="21">
        <f t="shared" si="39"/>
        <v>1.3698630136986356E-2</v>
      </c>
      <c r="Y61" s="1"/>
      <c r="Z61" s="1"/>
      <c r="AA61" s="1"/>
      <c r="AB61" s="1"/>
      <c r="AC61" s="1"/>
      <c r="AD61" s="1"/>
    </row>
    <row r="62" spans="1:30" ht="15.75" customHeight="1" x14ac:dyDescent="0.3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1"/>
      <c r="O62" s="2"/>
      <c r="P62" s="2"/>
      <c r="Q62" s="5" t="s">
        <v>128</v>
      </c>
      <c r="R62" s="45">
        <v>57</v>
      </c>
      <c r="S62" s="45">
        <v>46</v>
      </c>
      <c r="T62" s="21">
        <f t="shared" si="38"/>
        <v>1.7684288905435591E-3</v>
      </c>
      <c r="U62" s="21">
        <f t="shared" si="39"/>
        <v>0.23913043478260865</v>
      </c>
      <c r="W62" s="85" t="s">
        <v>147</v>
      </c>
      <c r="X62" s="2"/>
      <c r="Y62" s="86">
        <v>100</v>
      </c>
      <c r="Z62" s="86">
        <v>100</v>
      </c>
      <c r="AA62" s="87">
        <f>(Y62/Z62)-1</f>
        <v>0</v>
      </c>
      <c r="AB62" s="1"/>
      <c r="AC62" s="1"/>
      <c r="AD62" s="1"/>
    </row>
    <row r="63" spans="1:30" ht="15.75" customHeight="1" x14ac:dyDescent="0.3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88"/>
      <c r="M63" s="88"/>
      <c r="N63" s="1"/>
      <c r="O63" s="2"/>
      <c r="P63" s="2"/>
      <c r="Q63" s="5" t="s">
        <v>151</v>
      </c>
      <c r="R63" s="5">
        <v>-1090</v>
      </c>
      <c r="S63" s="5">
        <v>6</v>
      </c>
      <c r="T63" s="21">
        <f t="shared" si="38"/>
        <v>-3.3817324398113677E-2</v>
      </c>
      <c r="U63" s="21">
        <f t="shared" si="39"/>
        <v>-182.66666666666666</v>
      </c>
      <c r="AA63" s="1"/>
      <c r="AB63" s="1"/>
      <c r="AC63" s="1"/>
      <c r="AD63" s="1"/>
    </row>
    <row r="64" spans="1:30" ht="15.75" customHeight="1" thickBot="1" x14ac:dyDescent="0.35">
      <c r="A64" s="1"/>
      <c r="B64" s="2"/>
      <c r="C64" s="76"/>
      <c r="D64" s="2"/>
      <c r="E64" s="2"/>
      <c r="F64" s="2"/>
      <c r="G64" s="2"/>
      <c r="H64" s="2"/>
      <c r="I64" s="2"/>
      <c r="J64" s="2"/>
      <c r="K64" s="2"/>
      <c r="L64" s="2"/>
      <c r="M64" s="2"/>
      <c r="N64" s="1"/>
      <c r="O64" s="2"/>
      <c r="P64" s="2"/>
      <c r="S64" s="2"/>
      <c r="T64" s="2"/>
      <c r="U64" s="2"/>
      <c r="AA64" s="1"/>
      <c r="AB64" s="1"/>
      <c r="AC64" s="1"/>
      <c r="AD64" s="1"/>
    </row>
    <row r="65" spans="1:30" ht="15.75" customHeight="1" thickTop="1" x14ac:dyDescent="0.3">
      <c r="A65" s="1"/>
      <c r="B65" s="2"/>
      <c r="C65" s="2"/>
      <c r="D65" s="2"/>
      <c r="E65" s="2"/>
      <c r="F65" s="2"/>
      <c r="G65" s="1"/>
      <c r="H65" s="2"/>
      <c r="I65" s="2"/>
      <c r="J65" s="2"/>
      <c r="K65" s="2"/>
      <c r="L65" s="2"/>
      <c r="M65" s="2"/>
      <c r="N65" s="1"/>
      <c r="O65" s="2"/>
      <c r="P65" s="2"/>
      <c r="Q65" s="89" t="s">
        <v>152</v>
      </c>
      <c r="R65" s="89">
        <f t="shared" ref="R65:S65" si="41">SUM(R57:R63)</f>
        <v>32232</v>
      </c>
      <c r="S65" s="89">
        <f t="shared" si="41"/>
        <v>30423</v>
      </c>
      <c r="T65" s="90">
        <f>R65/$R$65</f>
        <v>1</v>
      </c>
      <c r="U65" s="90">
        <f>(R65/S65)^(1/1)-1</f>
        <v>5.9461591559017757E-2</v>
      </c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3">
      <c r="A66" s="1"/>
      <c r="B66" s="2"/>
      <c r="C66" s="2"/>
      <c r="D66" s="2"/>
      <c r="E66" s="2"/>
      <c r="F66" s="2"/>
      <c r="G66" s="1"/>
      <c r="H66" s="2"/>
      <c r="I66" s="2"/>
      <c r="J66" s="2"/>
      <c r="K66" s="2"/>
      <c r="L66" s="2"/>
      <c r="M66" s="2"/>
      <c r="N66" s="1"/>
      <c r="O66" s="2"/>
      <c r="P66" s="2"/>
      <c r="AB66" s="1"/>
      <c r="AC66" s="1"/>
      <c r="AD66" s="1"/>
    </row>
    <row r="67" spans="1:30" ht="15.75" customHeight="1" x14ac:dyDescent="0.3">
      <c r="A67" s="1"/>
      <c r="B67" s="2"/>
      <c r="C67" s="2"/>
      <c r="D67" s="2"/>
      <c r="E67" s="2"/>
      <c r="F67" s="2"/>
      <c r="G67" s="1"/>
      <c r="H67" s="2"/>
      <c r="I67" s="2"/>
      <c r="J67" s="2"/>
      <c r="K67" s="2"/>
      <c r="L67" s="2"/>
      <c r="M67" s="2"/>
      <c r="N67" s="1"/>
      <c r="O67" s="2"/>
      <c r="P67" s="2"/>
      <c r="AB67" s="1"/>
      <c r="AC67" s="1"/>
      <c r="AD67" s="1"/>
    </row>
    <row r="68" spans="1:30" ht="15.75" customHeight="1" x14ac:dyDescent="0.3">
      <c r="A68" s="1"/>
      <c r="B68" s="2"/>
      <c r="C68" s="2"/>
      <c r="D68" s="2"/>
      <c r="E68" s="2"/>
      <c r="F68" s="2"/>
      <c r="G68" s="1"/>
      <c r="H68" s="2"/>
      <c r="I68" s="2"/>
      <c r="J68" s="2"/>
      <c r="K68" s="2"/>
      <c r="L68" s="2"/>
      <c r="M68" s="2"/>
      <c r="N68" s="1"/>
      <c r="O68" s="2"/>
      <c r="P68" s="2"/>
      <c r="AB68" s="1"/>
      <c r="AC68" s="1"/>
      <c r="AD68" s="1"/>
    </row>
    <row r="69" spans="1:30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2"/>
      <c r="K69" s="2"/>
      <c r="L69" s="2"/>
      <c r="M69" s="2"/>
      <c r="N69" s="1"/>
      <c r="O69" s="2"/>
      <c r="P69" s="2"/>
      <c r="AB69" s="1"/>
      <c r="AC69" s="1"/>
      <c r="AD69" s="1"/>
    </row>
    <row r="70" spans="1:30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2"/>
      <c r="K70" s="2"/>
      <c r="L70" s="2"/>
      <c r="M70" s="2"/>
      <c r="N70" s="1"/>
      <c r="O70" s="2"/>
      <c r="P70" s="2"/>
      <c r="AB70" s="1"/>
      <c r="AC70" s="1"/>
      <c r="AD70" s="1"/>
    </row>
    <row r="71" spans="1:30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2"/>
      <c r="K71" s="1"/>
      <c r="L71" s="1"/>
      <c r="M71" s="1"/>
      <c r="N71" s="1"/>
      <c r="O71" s="2"/>
      <c r="P71" s="2"/>
      <c r="AB71" s="1"/>
      <c r="AC71" s="1"/>
      <c r="AD71" s="1"/>
    </row>
    <row r="72" spans="1:30" ht="15.75" customHeight="1" x14ac:dyDescent="0.3">
      <c r="A72" s="1"/>
      <c r="B72" s="1"/>
      <c r="C72" s="1"/>
      <c r="D72" s="1"/>
      <c r="E72" s="1"/>
      <c r="F72" s="1"/>
      <c r="G72" s="1"/>
      <c r="H72" s="1"/>
      <c r="I72" s="2"/>
      <c r="J72" s="1"/>
      <c r="K72" s="1"/>
      <c r="L72" s="1"/>
      <c r="M72" s="1"/>
      <c r="N72" s="2"/>
      <c r="O72" s="2"/>
      <c r="P72" s="2"/>
      <c r="AB72" s="1"/>
      <c r="AC72" s="1"/>
      <c r="AD72" s="1"/>
    </row>
    <row r="73" spans="1:30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2"/>
      <c r="O73" s="2"/>
      <c r="P73" s="2"/>
      <c r="R73" s="2"/>
      <c r="S73" s="2"/>
      <c r="T73" s="2"/>
      <c r="U73" s="2"/>
      <c r="V73" s="2"/>
      <c r="W73" s="2"/>
      <c r="X73" s="1"/>
      <c r="Y73" s="1"/>
      <c r="Z73" s="1"/>
      <c r="AA73" s="1"/>
      <c r="AB73" s="1"/>
      <c r="AC73" s="1"/>
      <c r="AD73" s="1"/>
    </row>
    <row r="74" spans="1:30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"/>
      <c r="O74" s="2"/>
      <c r="P74" s="2"/>
      <c r="Q74" s="2"/>
      <c r="R74" s="2"/>
      <c r="S74" s="2"/>
      <c r="T74" s="2"/>
      <c r="U74" s="2"/>
      <c r="V74" s="2"/>
      <c r="W74" s="2"/>
      <c r="X74" s="1"/>
      <c r="Y74" s="1"/>
      <c r="Z74" s="1"/>
      <c r="AA74" s="1"/>
      <c r="AB74" s="1"/>
      <c r="AC74" s="1"/>
      <c r="AD74" s="1"/>
    </row>
    <row r="75" spans="1:30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"/>
      <c r="O75" s="2"/>
      <c r="P75" s="2"/>
      <c r="Q75" s="2"/>
      <c r="R75" s="2"/>
      <c r="S75" s="2"/>
      <c r="T75" s="2"/>
      <c r="U75" s="2"/>
      <c r="V75" s="2"/>
      <c r="W75" s="2"/>
      <c r="X75" s="1"/>
      <c r="Y75" s="1"/>
      <c r="Z75" s="1"/>
      <c r="AA75" s="1"/>
      <c r="AB75" s="1"/>
      <c r="AC75" s="1"/>
      <c r="AD75" s="1"/>
    </row>
    <row r="76" spans="1:30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"/>
      <c r="O76" s="2"/>
      <c r="P76" s="2"/>
      <c r="Q76" s="2"/>
      <c r="R76" s="2"/>
      <c r="S76" s="2"/>
      <c r="T76" s="2"/>
      <c r="U76" s="2"/>
      <c r="V76" s="2"/>
      <c r="W76" s="2"/>
      <c r="X76" s="1"/>
      <c r="Y76" s="1"/>
      <c r="Z76" s="1"/>
      <c r="AA76" s="1"/>
      <c r="AB76" s="1"/>
      <c r="AC76" s="1"/>
      <c r="AD76" s="1"/>
    </row>
    <row r="77" spans="1:30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2"/>
      <c r="O77" s="2"/>
      <c r="P77" s="2"/>
      <c r="Q77" s="2"/>
      <c r="R77" s="2"/>
      <c r="S77" s="2"/>
      <c r="T77" s="2"/>
      <c r="U77" s="2"/>
      <c r="V77" s="2"/>
      <c r="W77" s="2"/>
      <c r="X77" s="1"/>
      <c r="Y77" s="1"/>
      <c r="Z77" s="1"/>
      <c r="AA77" s="1"/>
      <c r="AB77" s="1"/>
      <c r="AC77" s="1"/>
      <c r="AD77" s="1"/>
    </row>
    <row r="78" spans="1:30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2"/>
      <c r="O78" s="2"/>
      <c r="P78" s="2"/>
      <c r="Q78" s="2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2"/>
      <c r="O79" s="2"/>
      <c r="P79" s="2"/>
      <c r="Q79" s="2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3">
      <c r="A89" s="1"/>
      <c r="B89" s="146" t="s">
        <v>153</v>
      </c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3">
      <c r="A90" s="1"/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7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3">
      <c r="A91" s="1"/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3">
      <c r="A93" s="1"/>
      <c r="B93" s="19" t="s">
        <v>154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3">
      <c r="A94" s="1"/>
      <c r="B94" s="1" t="s">
        <v>155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3">
      <c r="A104" s="1"/>
      <c r="B104" s="2"/>
      <c r="C104" s="88"/>
      <c r="D104" s="88"/>
      <c r="E104" s="88"/>
      <c r="F104" s="2"/>
      <c r="G104" s="2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3">
      <c r="A105" s="1"/>
      <c r="B105" s="2"/>
      <c r="C105" s="2"/>
      <c r="D105" s="76"/>
      <c r="E105" s="76"/>
      <c r="F105" s="2"/>
      <c r="G105" s="2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3">
      <c r="A106" s="1"/>
      <c r="B106" s="2"/>
      <c r="C106" s="2"/>
      <c r="D106" s="76"/>
      <c r="E106" s="76"/>
      <c r="F106" s="2"/>
      <c r="G106" s="2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3">
      <c r="A107" s="1"/>
      <c r="B107" s="2"/>
      <c r="C107" s="2"/>
      <c r="D107" s="76"/>
      <c r="E107" s="76"/>
      <c r="F107" s="2"/>
      <c r="G107" s="2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3">
      <c r="A108" s="1"/>
      <c r="B108" s="2"/>
      <c r="C108" s="2"/>
      <c r="D108" s="76"/>
      <c r="E108" s="76"/>
      <c r="F108" s="2"/>
      <c r="G108" s="2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3">
      <c r="A109" s="1"/>
      <c r="B109" s="2"/>
      <c r="C109" s="2"/>
      <c r="D109" s="76"/>
      <c r="E109" s="76"/>
      <c r="F109" s="2"/>
      <c r="G109" s="2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3">
      <c r="A110" s="1"/>
      <c r="B110" s="2"/>
      <c r="C110" s="2"/>
      <c r="D110" s="76"/>
      <c r="E110" s="76"/>
      <c r="F110" s="2"/>
      <c r="G110" s="2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3">
      <c r="A111" s="1"/>
      <c r="B111" s="2"/>
      <c r="C111" s="2"/>
      <c r="D111" s="76"/>
      <c r="E111" s="76"/>
      <c r="F111" s="2"/>
      <c r="G111" s="2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3">
      <c r="A112" s="1"/>
      <c r="B112" s="2"/>
      <c r="C112" s="2"/>
      <c r="D112" s="76"/>
      <c r="E112" s="76"/>
      <c r="F112" s="2"/>
      <c r="G112" s="2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3">
      <c r="A113" s="1"/>
      <c r="B113" s="2"/>
      <c r="C113" s="2"/>
      <c r="D113" s="76"/>
      <c r="E113" s="76"/>
      <c r="F113" s="2"/>
      <c r="G113" s="2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3">
      <c r="A114" s="1"/>
      <c r="B114" s="2"/>
      <c r="C114" s="2"/>
      <c r="D114" s="76"/>
      <c r="E114" s="76"/>
      <c r="F114" s="2"/>
      <c r="G114" s="2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3">
      <c r="A115" s="1"/>
      <c r="B115" s="2"/>
      <c r="C115" s="2"/>
      <c r="D115" s="76"/>
      <c r="E115" s="76"/>
      <c r="F115" s="2"/>
      <c r="G115" s="2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3">
      <c r="A116" s="1"/>
      <c r="B116" s="2"/>
      <c r="C116" s="2"/>
      <c r="D116" s="76"/>
      <c r="E116" s="76"/>
      <c r="F116" s="2"/>
      <c r="G116" s="2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3">
      <c r="A117" s="1"/>
      <c r="B117" s="2"/>
      <c r="C117" s="2"/>
      <c r="D117" s="76"/>
      <c r="E117" s="76"/>
      <c r="F117" s="2"/>
      <c r="G117" s="2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3">
      <c r="A118" s="1"/>
      <c r="B118" s="2"/>
      <c r="C118" s="2"/>
      <c r="D118" s="76"/>
      <c r="E118" s="76"/>
      <c r="F118" s="2"/>
      <c r="G118" s="2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3">
      <c r="A119" s="1"/>
      <c r="B119" s="2"/>
      <c r="C119" s="2"/>
      <c r="D119" s="76"/>
      <c r="E119" s="76"/>
      <c r="F119" s="2"/>
      <c r="G119" s="2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3">
      <c r="A120" s="1"/>
      <c r="B120" s="2"/>
      <c r="C120" s="2"/>
      <c r="D120" s="76"/>
      <c r="E120" s="76"/>
      <c r="F120" s="2"/>
      <c r="G120" s="2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3">
      <c r="A121" s="1"/>
      <c r="B121" s="2"/>
      <c r="C121" s="2"/>
      <c r="D121" s="76"/>
      <c r="E121" s="76"/>
      <c r="F121" s="2"/>
      <c r="G121" s="2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3">
      <c r="A122" s="1"/>
      <c r="B122" s="2"/>
      <c r="C122" s="2"/>
      <c r="D122" s="76"/>
      <c r="E122" s="76"/>
      <c r="F122" s="2"/>
      <c r="G122" s="2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3">
      <c r="A123" s="1"/>
      <c r="B123" s="2"/>
      <c r="C123" s="2"/>
      <c r="D123" s="76"/>
      <c r="E123" s="76"/>
      <c r="F123" s="2"/>
      <c r="G123" s="2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3">
      <c r="A124" s="1"/>
      <c r="B124" s="2"/>
      <c r="C124" s="2"/>
      <c r="D124" s="76"/>
      <c r="E124" s="76"/>
      <c r="F124" s="2"/>
      <c r="G124" s="2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3">
      <c r="A125" s="1"/>
      <c r="B125" s="2"/>
      <c r="C125" s="2"/>
      <c r="D125" s="76"/>
      <c r="E125" s="76"/>
      <c r="F125" s="2"/>
      <c r="G125" s="2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3">
      <c r="A126" s="1"/>
      <c r="B126" s="2"/>
      <c r="C126" s="2"/>
      <c r="D126" s="76"/>
      <c r="E126" s="76"/>
      <c r="F126" s="2"/>
      <c r="G126" s="2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3">
      <c r="A127" s="1"/>
      <c r="B127" s="2"/>
      <c r="C127" s="2"/>
      <c r="D127" s="2"/>
      <c r="E127" s="2"/>
      <c r="F127" s="2"/>
      <c r="G127" s="2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3">
      <c r="A128" s="1"/>
      <c r="B128" s="2"/>
      <c r="C128" s="2"/>
      <c r="D128" s="2"/>
      <c r="E128" s="2"/>
      <c r="F128" s="2"/>
      <c r="G128" s="2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3">
      <c r="A129" s="1"/>
      <c r="B129" s="2"/>
      <c r="C129" s="2"/>
      <c r="D129" s="2"/>
      <c r="E129" s="2"/>
      <c r="F129" s="2"/>
      <c r="G129" s="2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3">
      <c r="A130" s="1"/>
      <c r="B130" s="2"/>
      <c r="C130" s="2"/>
      <c r="D130" s="2"/>
      <c r="E130" s="2"/>
      <c r="F130" s="2"/>
      <c r="G130" s="2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3">
      <c r="A131" s="1"/>
      <c r="B131" s="2"/>
      <c r="C131" s="2"/>
      <c r="D131" s="2"/>
      <c r="E131" s="2"/>
      <c r="F131" s="2"/>
      <c r="G131" s="2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3">
      <c r="A132" s="1"/>
      <c r="B132" s="2"/>
      <c r="C132" s="2"/>
      <c r="D132" s="2"/>
      <c r="E132" s="2"/>
      <c r="F132" s="2"/>
      <c r="G132" s="2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3">
      <c r="A133" s="1"/>
      <c r="B133" s="2"/>
      <c r="C133" s="2"/>
      <c r="D133" s="2"/>
      <c r="E133" s="2"/>
      <c r="F133" s="2"/>
      <c r="G133" s="2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3">
      <c r="A134" s="1"/>
      <c r="B134" s="2"/>
      <c r="C134" s="2"/>
      <c r="D134" s="2"/>
      <c r="E134" s="2"/>
      <c r="F134" s="2"/>
      <c r="G134" s="2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3">
      <c r="A135" s="1"/>
      <c r="B135" s="2"/>
      <c r="C135" s="2"/>
      <c r="D135" s="2"/>
      <c r="E135" s="2"/>
      <c r="F135" s="2"/>
      <c r="G135" s="2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3">
      <c r="A136" s="1"/>
      <c r="B136" s="2"/>
      <c r="C136" s="2"/>
      <c r="D136" s="2"/>
      <c r="E136" s="2"/>
      <c r="F136" s="2"/>
      <c r="G136" s="2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3">
      <c r="A137" s="1"/>
      <c r="B137" s="2"/>
      <c r="C137" s="2"/>
      <c r="D137" s="2"/>
      <c r="E137" s="2"/>
      <c r="F137" s="2"/>
      <c r="G137" s="2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3">
      <c r="A138" s="1"/>
      <c r="B138" s="2"/>
      <c r="C138" s="2"/>
      <c r="D138" s="2"/>
      <c r="E138" s="2"/>
      <c r="F138" s="2"/>
      <c r="G138" s="2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spans="1:30" ht="15.7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  <row r="1002" spans="1:30" ht="15.7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</row>
    <row r="1003" spans="1:30" ht="15.7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</row>
    <row r="1004" spans="1:30" ht="15.75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</row>
    <row r="1005" spans="1:30" ht="15.75" customHeight="1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</row>
    <row r="1006" spans="1:30" ht="15.75" customHeight="1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</row>
    <row r="1007" spans="1:30" ht="15.75" customHeight="1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</row>
    <row r="1008" spans="1:30" ht="15.75" customHeight="1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</row>
    <row r="1009" spans="1:30" ht="15.75" customHeight="1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</row>
    <row r="1010" spans="1:30" ht="15.75" customHeight="1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</row>
    <row r="1011" spans="1:30" ht="15.75" customHeight="1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</row>
    <row r="1012" spans="1:30" ht="15.75" customHeight="1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</row>
    <row r="1013" spans="1:30" ht="15.75" customHeight="1" x14ac:dyDescent="0.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</row>
    <row r="1014" spans="1:30" ht="15.75" customHeight="1" x14ac:dyDescent="0.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</row>
    <row r="1015" spans="1:30" ht="15.75" customHeight="1" x14ac:dyDescent="0.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</row>
    <row r="1016" spans="1:30" ht="15.75" customHeight="1" x14ac:dyDescent="0.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</row>
    <row r="1017" spans="1:30" ht="15.75" customHeight="1" x14ac:dyDescent="0.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</row>
    <row r="1018" spans="1:30" ht="15.75" customHeight="1" x14ac:dyDescent="0.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</row>
    <row r="1019" spans="1:30" ht="15.75" customHeight="1" x14ac:dyDescent="0.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</row>
    <row r="1020" spans="1:30" ht="15.75" customHeight="1" x14ac:dyDescent="0.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</row>
    <row r="1021" spans="1:30" ht="15.75" customHeight="1" x14ac:dyDescent="0.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</row>
  </sheetData>
  <mergeCells count="3">
    <mergeCell ref="B1:R3"/>
    <mergeCell ref="K52:O52"/>
    <mergeCell ref="B89:R91"/>
  </mergeCells>
  <conditionalFormatting sqref="B19:B36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B40:B42">
    <cfRule type="colorScale" priority="29">
      <colorScale>
        <cfvo type="min"/>
        <cfvo type="max"/>
        <color rgb="FFFFFFFF"/>
        <color rgb="FF57BB8A"/>
      </colorScale>
    </cfRule>
  </conditionalFormatting>
  <conditionalFormatting sqref="B43:B47 D43:E47 G43:G47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B47:B52">
    <cfRule type="colorScale" priority="15">
      <colorScale>
        <cfvo type="min"/>
        <cfvo type="max"/>
        <color rgb="FFFFFFFF"/>
        <color rgb="FF57BB8A"/>
      </colorScale>
    </cfRule>
  </conditionalFormatting>
  <conditionalFormatting sqref="D13:D34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47:D52 B50">
    <cfRule type="colorScale" priority="16">
      <colorScale>
        <cfvo type="min"/>
        <cfvo type="max"/>
        <color rgb="FFFFFFFF"/>
        <color rgb="FF57BB8A"/>
      </colorScale>
    </cfRule>
  </conditionalFormatting>
  <conditionalFormatting sqref="D39:E42">
    <cfRule type="colorScale" priority="30">
      <colorScale>
        <cfvo type="min"/>
        <cfvo type="max"/>
        <color rgb="FFFFFFFF"/>
        <color rgb="FF57BB8A"/>
      </colorScale>
    </cfRule>
  </conditionalFormatting>
  <conditionalFormatting sqref="E13:E34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47:E52">
    <cfRule type="colorScale" priority="17">
      <colorScale>
        <cfvo type="min"/>
        <cfvo type="max"/>
        <color rgb="FFFFFFFF"/>
        <color rgb="FF57BB8A"/>
      </colorScale>
    </cfRule>
  </conditionalFormatting>
  <conditionalFormatting sqref="F13:F36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35:F42">
    <cfRule type="colorScale" priority="2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43:F47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47:F52">
    <cfRule type="colorScale" priority="18">
      <colorScale>
        <cfvo type="min"/>
        <cfvo type="max"/>
        <color rgb="FFFFFFFF"/>
        <color rgb="FF57BB8A"/>
      </colorScale>
    </cfRule>
  </conditionalFormatting>
  <conditionalFormatting sqref="G15:G36">
    <cfRule type="colorScale" priority="3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47:G52">
    <cfRule type="colorScale" priority="19">
      <colorScale>
        <cfvo type="min"/>
        <cfvo type="max"/>
        <color rgb="FFFFFFFF"/>
        <color rgb="FF57BB8A"/>
      </colorScale>
    </cfRule>
  </conditionalFormatting>
  <conditionalFormatting sqref="G39:I42">
    <cfRule type="colorScale" priority="31">
      <colorScale>
        <cfvo type="min"/>
        <cfvo type="max"/>
        <color rgb="FFFFFFFF"/>
        <color rgb="FF57BB8A"/>
      </colorScale>
    </cfRule>
  </conditionalFormatting>
  <conditionalFormatting sqref="H47:H52">
    <cfRule type="colorScale" priority="20">
      <colorScale>
        <cfvo type="min"/>
        <cfvo type="max"/>
        <color rgb="FFFFFFFF"/>
        <color rgb="FF57BB8A"/>
      </colorScale>
    </cfRule>
  </conditionalFormatting>
  <conditionalFormatting sqref="H15:I36">
    <cfRule type="colorScale" priority="33">
      <colorScale>
        <cfvo type="min"/>
        <cfvo type="max"/>
        <color rgb="FFFFFFFF"/>
        <color rgb="FF57BB8A"/>
      </colorScale>
    </cfRule>
  </conditionalFormatting>
  <conditionalFormatting sqref="J13:J36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55:N55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57:N57">
    <cfRule type="colorScale" priority="9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K13:K36">
    <cfRule type="colorScale" priority="6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K35:M42">
    <cfRule type="colorScale" priority="2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46:N46">
    <cfRule type="colorScale" priority="2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49:N49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50:N50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51:N51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13:L36">
    <cfRule type="colorScale" priority="7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O14:O23">
    <cfRule type="colorScale" priority="2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14:P25">
    <cfRule type="colorScale" priority="2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Q16:Q25">
    <cfRule type="colorScale" priority="3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T46:T54">
    <cfRule type="colorScale" priority="3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U52:U54 U56:U68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Y42:Y52">
    <cfRule type="colorScale" priority="2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AA56:AA62 U64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ref="B89" r:id="rId1" xr:uid="{87730989-DB13-4939-A29F-340D12C61EED}"/>
  </hyperlinks>
  <pageMargins left="0.7" right="0.7" top="0.75" bottom="0.75" header="0" footer="0"/>
  <pageSetup orientation="landscape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5538B-C381-4054-8E9F-4EA561C6278E}">
  <sheetPr>
    <outlinePr summaryBelow="0" summaryRight="0"/>
  </sheetPr>
  <dimension ref="A1:AO1000"/>
  <sheetViews>
    <sheetView workbookViewId="0"/>
  </sheetViews>
  <sheetFormatPr defaultColWidth="14" defaultRowHeight="15" customHeight="1" x14ac:dyDescent="0.3"/>
  <cols>
    <col min="1" max="1" width="14" customWidth="1"/>
    <col min="2" max="2" width="16.5546875" customWidth="1"/>
    <col min="3" max="6" width="14" customWidth="1"/>
    <col min="8" max="8" width="15.77734375" customWidth="1"/>
    <col min="15" max="15" width="17.44140625" customWidth="1"/>
    <col min="19" max="19" width="18.5546875" customWidth="1"/>
    <col min="20" max="20" width="20" customWidth="1"/>
    <col min="21" max="21" width="17.33203125" customWidth="1"/>
    <col min="25" max="25" width="15.6640625" customWidth="1"/>
    <col min="26" max="26" width="17.33203125" customWidth="1"/>
    <col min="27" max="27" width="15.44140625" customWidth="1"/>
  </cols>
  <sheetData>
    <row r="1" spans="1:41" ht="15.75" customHeight="1" x14ac:dyDescent="0.3">
      <c r="A1" s="91" t="s">
        <v>156</v>
      </c>
      <c r="B1" s="91" t="s">
        <v>157</v>
      </c>
      <c r="C1" s="91" t="s">
        <v>158</v>
      </c>
      <c r="D1" s="91" t="s">
        <v>159</v>
      </c>
      <c r="E1" s="91" t="s">
        <v>160</v>
      </c>
      <c r="F1" s="91" t="s">
        <v>161</v>
      </c>
      <c r="G1" s="91" t="s">
        <v>162</v>
      </c>
      <c r="H1" s="91" t="s">
        <v>163</v>
      </c>
      <c r="I1" s="91" t="s">
        <v>164</v>
      </c>
      <c r="J1" s="91" t="s">
        <v>165</v>
      </c>
      <c r="K1" s="91" t="s">
        <v>13</v>
      </c>
      <c r="L1" s="91" t="s">
        <v>166</v>
      </c>
      <c r="M1" s="91" t="s">
        <v>10</v>
      </c>
      <c r="N1" s="91" t="s">
        <v>167</v>
      </c>
      <c r="O1" s="91" t="s">
        <v>168</v>
      </c>
      <c r="P1" s="91" t="s">
        <v>169</v>
      </c>
      <c r="Q1" s="91" t="s">
        <v>170</v>
      </c>
      <c r="R1" s="91" t="s">
        <v>171</v>
      </c>
      <c r="S1" s="91" t="s">
        <v>172</v>
      </c>
      <c r="T1" s="91" t="s">
        <v>173</v>
      </c>
      <c r="U1" s="91" t="s">
        <v>174</v>
      </c>
      <c r="V1" s="91" t="s">
        <v>175</v>
      </c>
      <c r="W1" s="91" t="s">
        <v>176</v>
      </c>
      <c r="X1" s="91" t="s">
        <v>177</v>
      </c>
      <c r="Y1" s="92" t="s">
        <v>178</v>
      </c>
      <c r="Z1" s="92" t="s">
        <v>179</v>
      </c>
      <c r="AA1" s="92" t="s">
        <v>180</v>
      </c>
      <c r="AB1" s="92" t="s">
        <v>181</v>
      </c>
      <c r="AC1" s="92" t="s">
        <v>182</v>
      </c>
      <c r="AD1" s="92" t="s">
        <v>39</v>
      </c>
      <c r="AE1" s="92" t="s">
        <v>183</v>
      </c>
      <c r="AF1" s="92" t="s">
        <v>184</v>
      </c>
      <c r="AG1" s="92" t="s">
        <v>37</v>
      </c>
      <c r="AH1" s="92" t="s">
        <v>38</v>
      </c>
      <c r="AI1" s="92" t="s">
        <v>40</v>
      </c>
      <c r="AJ1" s="92" t="s">
        <v>41</v>
      </c>
      <c r="AK1" s="92" t="s">
        <v>42</v>
      </c>
      <c r="AL1" s="92" t="s">
        <v>136</v>
      </c>
      <c r="AM1" s="92" t="s">
        <v>185</v>
      </c>
      <c r="AN1" s="92" t="s">
        <v>45</v>
      </c>
      <c r="AO1" s="92" t="s">
        <v>46</v>
      </c>
    </row>
    <row r="2" spans="1:41" ht="15.75" customHeight="1" x14ac:dyDescent="0.3">
      <c r="A2" s="93">
        <v>532500</v>
      </c>
      <c r="B2" s="94" t="s">
        <v>0</v>
      </c>
      <c r="C2" s="95">
        <f ca="1">IFERROR(__xludf.DUMMYFUNCTION("GOOGLEFINANCE(""bom:""&amp;A2,""price"")"),12397.75)</f>
        <v>12397.75</v>
      </c>
      <c r="D2" s="95">
        <f ca="1">IFERROR(__xludf.DUMMYFUNCTION("GOOGLEFINANCE(""bom:""&amp;A2,""marketcap"")/10000000"),388126.8779553)</f>
        <v>388126.87795529998</v>
      </c>
      <c r="E2" s="96">
        <v>14402</v>
      </c>
      <c r="F2" s="96">
        <v>21722</v>
      </c>
      <c r="G2" s="96">
        <v>90476</v>
      </c>
      <c r="H2" s="96">
        <v>27644</v>
      </c>
      <c r="I2" s="96">
        <v>151</v>
      </c>
      <c r="J2" s="96">
        <v>65793</v>
      </c>
      <c r="K2" s="96">
        <v>363</v>
      </c>
      <c r="L2" s="96">
        <v>4461</v>
      </c>
      <c r="M2" s="96">
        <v>5</v>
      </c>
      <c r="N2" s="95">
        <f ca="1">IFERROR(__xludf.DUMMYFUNCTION("GOOGLEFINANCE(""bom:""&amp;A2,""eps"")"),467.71)</f>
        <v>467.71</v>
      </c>
      <c r="O2" s="97">
        <f t="shared" ref="O2:O6" ca="1" si="0">D2/$D$10</f>
        <v>0.35292500123276527</v>
      </c>
      <c r="P2" s="96">
        <v>82041</v>
      </c>
      <c r="Q2" s="96">
        <v>117571</v>
      </c>
      <c r="R2" s="96">
        <v>8211</v>
      </c>
      <c r="S2" s="96">
        <v>103870</v>
      </c>
      <c r="T2" s="96">
        <v>81684</v>
      </c>
      <c r="U2" s="96">
        <v>9331</v>
      </c>
      <c r="V2" s="96">
        <v>5426</v>
      </c>
      <c r="W2" s="96">
        <v>187</v>
      </c>
      <c r="X2" s="96">
        <v>109566</v>
      </c>
      <c r="Y2" s="97">
        <f t="shared" ref="Y2:Y6" si="1">(S2/T2)-1</f>
        <v>0.27160765878262572</v>
      </c>
      <c r="Z2" s="97">
        <f>(U2/V2)-1</f>
        <v>0.71968300774050875</v>
      </c>
      <c r="AA2" s="97">
        <f t="shared" ref="AA2:AA6" si="2">(Q2/P2)^(1/5)-1</f>
        <v>7.4617362999614967E-2</v>
      </c>
      <c r="AB2" s="97">
        <f t="shared" ref="AB2:AB6" si="3">R2/Q2</f>
        <v>6.9838650687669576E-2</v>
      </c>
      <c r="AC2" s="97">
        <f t="shared" ref="AC2:AC6" si="4">U2/S2</f>
        <v>8.9833445653220378E-2</v>
      </c>
      <c r="AD2" s="95">
        <f t="shared" ref="AD2:AD6" si="5">(Q2-X2+W2)/W2</f>
        <v>43.80748663101604</v>
      </c>
      <c r="AE2" s="98">
        <f t="shared" ref="AE2:AE6" si="6">E2/F2</f>
        <v>0.66301445539084802</v>
      </c>
      <c r="AF2" s="95">
        <f t="shared" ref="AF2:AF6" si="7">(L2/Q2)*365</f>
        <v>13.849206011686556</v>
      </c>
      <c r="AG2" s="98">
        <f t="shared" ref="AG2:AG6" si="8">K2/J2</f>
        <v>5.5173042724909948E-3</v>
      </c>
      <c r="AH2" s="98">
        <f t="shared" ref="AH2:AH6" si="9">H2/G2</f>
        <v>0.30553959060966446</v>
      </c>
      <c r="AI2" s="97">
        <f t="shared" ref="AI2:AI6" si="10">R2/J2</f>
        <v>0.12480051069262688</v>
      </c>
      <c r="AJ2" s="95">
        <f t="shared" ref="AJ2:AJ6" si="11">R2/I2</f>
        <v>54.377483443708613</v>
      </c>
      <c r="AK2" s="97">
        <f t="shared" ref="AK2:AK6" si="12">R2/G2</f>
        <v>9.0753348954418847E-2</v>
      </c>
      <c r="AL2" s="95">
        <f t="shared" ref="AL2:AL6" ca="1" si="13">C2/N2</f>
        <v>26.50734429454149</v>
      </c>
      <c r="AM2" s="97">
        <f t="shared" ref="AM2:AM6" ca="1" si="14">N2/C2</f>
        <v>3.7725393720634791E-2</v>
      </c>
      <c r="AN2" s="95">
        <f t="shared" ref="AN2:AN6" si="15">(I2+J2)/(I2/M2)</f>
        <v>2183.5761589403974</v>
      </c>
      <c r="AO2" s="95">
        <f t="shared" ref="AO2:AO6" ca="1" si="16">C2/AN2</f>
        <v>5.6777273140846782</v>
      </c>
    </row>
    <row r="3" spans="1:41" ht="15.75" customHeight="1" x14ac:dyDescent="0.3">
      <c r="A3" s="93">
        <v>500570</v>
      </c>
      <c r="B3" s="94" t="s">
        <v>186</v>
      </c>
      <c r="C3" s="95">
        <f ca="1">IFERROR(__xludf.DUMMYFUNCTION("GOOGLEFINANCE(""bom:""&amp;A3,""price"")"),982.35)</f>
        <v>982.35</v>
      </c>
      <c r="D3" s="95">
        <f ca="1">IFERROR(__xludf.DUMMYFUNCTION("GOOGLEFINANCE(""bom:""&amp;A3,""marketcap"")/10000000"),361400.8632)</f>
        <v>361400.86320000002</v>
      </c>
      <c r="E3" s="95">
        <v>161240</v>
      </c>
      <c r="F3" s="95">
        <v>164237</v>
      </c>
      <c r="G3" s="96">
        <v>347001.94</v>
      </c>
      <c r="H3" s="96">
        <v>286121.21999999997</v>
      </c>
      <c r="I3" s="96">
        <v>766.21</v>
      </c>
      <c r="J3" s="96">
        <v>60880.72</v>
      </c>
      <c r="K3" s="96">
        <v>119468.5</v>
      </c>
      <c r="L3" s="95">
        <v>17094</v>
      </c>
      <c r="M3" s="96">
        <v>2</v>
      </c>
      <c r="N3" s="95">
        <f ca="1">IFERROR(__xludf.DUMMYFUNCTION("GOOGLEFINANCE(""bom:""&amp;A3,""eps"")"),116.08)</f>
        <v>116.08</v>
      </c>
      <c r="O3" s="97">
        <f t="shared" ca="1" si="0"/>
        <v>0.32862295124294866</v>
      </c>
      <c r="P3" s="96">
        <v>291550</v>
      </c>
      <c r="Q3" s="96">
        <v>345967</v>
      </c>
      <c r="R3" s="96">
        <v>2690</v>
      </c>
      <c r="S3" s="96">
        <v>317941</v>
      </c>
      <c r="T3" s="96">
        <v>240034</v>
      </c>
      <c r="U3" s="96">
        <v>18132</v>
      </c>
      <c r="V3" s="96">
        <v>-1727</v>
      </c>
      <c r="W3" s="96">
        <v>10225</v>
      </c>
      <c r="X3" s="96">
        <v>349133</v>
      </c>
      <c r="Y3" s="97">
        <f t="shared" si="1"/>
        <v>0.3245665197430363</v>
      </c>
      <c r="Z3" s="96" t="s">
        <v>187</v>
      </c>
      <c r="AA3" s="97">
        <f t="shared" si="2"/>
        <v>3.4818837767886857E-2</v>
      </c>
      <c r="AB3" s="97">
        <f t="shared" si="3"/>
        <v>7.7753080496116679E-3</v>
      </c>
      <c r="AC3" s="97">
        <f t="shared" si="4"/>
        <v>5.7029448860008616E-2</v>
      </c>
      <c r="AD3" s="95">
        <f t="shared" si="5"/>
        <v>0.6903667481662592</v>
      </c>
      <c r="AE3" s="98">
        <f t="shared" si="6"/>
        <v>0.98175198036983136</v>
      </c>
      <c r="AF3" s="95">
        <f t="shared" si="7"/>
        <v>18.03440790595635</v>
      </c>
      <c r="AG3" s="98">
        <f t="shared" si="8"/>
        <v>1.9623371734105641</v>
      </c>
      <c r="AH3" s="98">
        <f t="shared" si="9"/>
        <v>0.8245522200826888</v>
      </c>
      <c r="AI3" s="97">
        <f t="shared" si="10"/>
        <v>4.4184759969987213E-2</v>
      </c>
      <c r="AJ3" s="95">
        <f t="shared" si="11"/>
        <v>3.5107868599992167</v>
      </c>
      <c r="AK3" s="97">
        <f t="shared" si="12"/>
        <v>7.7521180429135353E-3</v>
      </c>
      <c r="AL3" s="95">
        <f t="shared" ca="1" si="13"/>
        <v>8.4626981392143357</v>
      </c>
      <c r="AM3" s="97">
        <f t="shared" ca="1" si="14"/>
        <v>0.11816562325036901</v>
      </c>
      <c r="AN3" s="95">
        <f t="shared" si="15"/>
        <v>160.9139269912948</v>
      </c>
      <c r="AO3" s="95">
        <f t="shared" ca="1" si="16"/>
        <v>6.1048165212768915</v>
      </c>
    </row>
    <row r="4" spans="1:41" ht="15.75" customHeight="1" x14ac:dyDescent="0.3">
      <c r="A4" s="93">
        <v>500520</v>
      </c>
      <c r="B4" s="94" t="s">
        <v>188</v>
      </c>
      <c r="C4" s="95">
        <f ca="1">IFERROR(__xludf.DUMMYFUNCTION("GOOGLEFINANCE(""bom:""&amp;A4,""price"")"),2734.15)</f>
        <v>2734.15</v>
      </c>
      <c r="D4" s="95">
        <f ca="1">IFERROR(__xludf.DUMMYFUNCTION("GOOGLEFINANCE(""bom:""&amp;A4,""marketcap"")/10000000"),326876.5984)</f>
        <v>326876.59840000002</v>
      </c>
      <c r="E4" s="96">
        <v>96025</v>
      </c>
      <c r="F4" s="96">
        <v>73565</v>
      </c>
      <c r="G4" s="96">
        <v>220773</v>
      </c>
      <c r="H4" s="96">
        <v>149728</v>
      </c>
      <c r="I4" s="96">
        <v>557</v>
      </c>
      <c r="J4" s="96">
        <v>71043</v>
      </c>
      <c r="K4" s="96">
        <v>96335</v>
      </c>
      <c r="L4" s="96">
        <v>8631</v>
      </c>
      <c r="M4" s="96">
        <v>5</v>
      </c>
      <c r="N4" s="95">
        <f ca="1">IFERROR(__xludf.DUMMYFUNCTION("GOOGLEFINANCE(""bom:""&amp;A4,""eps"")"),98.69)</f>
        <v>98.69</v>
      </c>
      <c r="O4" s="97">
        <f t="shared" ca="1" si="0"/>
        <v>0.29722992775204893</v>
      </c>
      <c r="P4" s="96">
        <v>93265</v>
      </c>
      <c r="Q4" s="96">
        <v>121269</v>
      </c>
      <c r="R4" s="96">
        <v>11374</v>
      </c>
      <c r="S4" s="96">
        <v>102905</v>
      </c>
      <c r="T4" s="96">
        <v>88903</v>
      </c>
      <c r="U4" s="96">
        <v>9145</v>
      </c>
      <c r="V4" s="96">
        <v>9376</v>
      </c>
      <c r="W4" s="96">
        <v>5830</v>
      </c>
      <c r="X4" s="96">
        <v>111169</v>
      </c>
      <c r="Y4" s="97">
        <f t="shared" si="1"/>
        <v>0.157497497272308</v>
      </c>
      <c r="Z4" s="97">
        <f t="shared" ref="Z4:Z6" si="17">(U4/V4)-1</f>
        <v>-2.4637372013651904E-2</v>
      </c>
      <c r="AA4" s="97">
        <f t="shared" si="2"/>
        <v>5.3916540096863086E-2</v>
      </c>
      <c r="AB4" s="97">
        <f t="shared" si="3"/>
        <v>9.3791488344094537E-2</v>
      </c>
      <c r="AC4" s="97">
        <f t="shared" si="4"/>
        <v>8.8868373742772455E-2</v>
      </c>
      <c r="AD4" s="95">
        <f t="shared" si="5"/>
        <v>2.7324185248713553</v>
      </c>
      <c r="AE4" s="98">
        <f t="shared" si="6"/>
        <v>1.3053082308162849</v>
      </c>
      <c r="AF4" s="95">
        <f t="shared" si="7"/>
        <v>25.977908616381761</v>
      </c>
      <c r="AG4" s="98">
        <f t="shared" si="8"/>
        <v>1.356009740579649</v>
      </c>
      <c r="AH4" s="98">
        <f t="shared" si="9"/>
        <v>0.67819887395650735</v>
      </c>
      <c r="AI4" s="97">
        <f t="shared" si="10"/>
        <v>0.16010022099291979</v>
      </c>
      <c r="AJ4" s="95">
        <f t="shared" si="11"/>
        <v>20.420107719928186</v>
      </c>
      <c r="AK4" s="97">
        <f t="shared" si="12"/>
        <v>5.151898103481857E-2</v>
      </c>
      <c r="AL4" s="95">
        <f t="shared" ca="1" si="13"/>
        <v>27.704428006890264</v>
      </c>
      <c r="AM4" s="97">
        <f t="shared" ca="1" si="14"/>
        <v>3.6095312985754253E-2</v>
      </c>
      <c r="AN4" s="95">
        <f t="shared" si="15"/>
        <v>642.72890484739673</v>
      </c>
      <c r="AO4" s="95">
        <f t="shared" ca="1" si="16"/>
        <v>4.2539708100558666</v>
      </c>
    </row>
    <row r="5" spans="1:41" ht="15.75" customHeight="1" x14ac:dyDescent="0.3">
      <c r="A5" s="93">
        <v>532439</v>
      </c>
      <c r="B5" s="94" t="s">
        <v>189</v>
      </c>
      <c r="C5" s="95">
        <f ca="1">IFERROR(__xludf.DUMMYFUNCTION("GOOGLEFINANCE(""bom:""&amp;A5,""price"")"),1628.3)</f>
        <v>1628.3</v>
      </c>
      <c r="D5" s="95">
        <f ca="1">IFERROR(__xludf.DUMMYFUNCTION("GOOGLEFINANCE(""bom:""&amp;A5,""marketcap"")/10000000"),13402.6981454)</f>
        <v>13402.6981454</v>
      </c>
      <c r="E5" s="96">
        <v>1174</v>
      </c>
      <c r="F5" s="96">
        <v>662</v>
      </c>
      <c r="G5" s="96">
        <v>1588</v>
      </c>
      <c r="H5" s="96">
        <v>714</v>
      </c>
      <c r="I5" s="96">
        <v>32</v>
      </c>
      <c r="J5" s="96">
        <v>874</v>
      </c>
      <c r="K5" s="96">
        <v>130</v>
      </c>
      <c r="L5" s="96">
        <v>519</v>
      </c>
      <c r="M5" s="96">
        <v>4</v>
      </c>
      <c r="N5" s="95">
        <f ca="1">IFERROR(__xludf.DUMMYFUNCTION("GOOGLEFINANCE(""bom:""&amp;A5,""eps"")"),10.08)</f>
        <v>10.08</v>
      </c>
      <c r="O5" s="97">
        <f t="shared" ca="1" si="0"/>
        <v>1.2187115935919387E-2</v>
      </c>
      <c r="P5" s="96">
        <v>164</v>
      </c>
      <c r="Q5" s="96">
        <v>1091</v>
      </c>
      <c r="R5" s="96">
        <v>67</v>
      </c>
      <c r="S5" s="96">
        <v>865</v>
      </c>
      <c r="T5" s="96">
        <v>715</v>
      </c>
      <c r="U5" s="96">
        <v>64</v>
      </c>
      <c r="V5" s="96">
        <v>69</v>
      </c>
      <c r="W5" s="96">
        <v>31</v>
      </c>
      <c r="X5" s="96">
        <v>1014</v>
      </c>
      <c r="Y5" s="97">
        <f t="shared" si="1"/>
        <v>0.20979020979020979</v>
      </c>
      <c r="Z5" s="97">
        <f t="shared" si="17"/>
        <v>-7.2463768115942018E-2</v>
      </c>
      <c r="AA5" s="97">
        <f t="shared" si="2"/>
        <v>0.46081823198345173</v>
      </c>
      <c r="AB5" s="97">
        <f t="shared" si="3"/>
        <v>6.1411549037580199E-2</v>
      </c>
      <c r="AC5" s="97">
        <f t="shared" si="4"/>
        <v>7.3988439306358386E-2</v>
      </c>
      <c r="AD5" s="95">
        <f t="shared" si="5"/>
        <v>3.4838709677419355</v>
      </c>
      <c r="AE5" s="98">
        <f t="shared" si="6"/>
        <v>1.7734138972809668</v>
      </c>
      <c r="AF5" s="95">
        <f t="shared" si="7"/>
        <v>173.63428047662697</v>
      </c>
      <c r="AG5" s="98">
        <f t="shared" si="8"/>
        <v>0.14874141876430205</v>
      </c>
      <c r="AH5" s="98">
        <f t="shared" si="9"/>
        <v>0.44962216624685136</v>
      </c>
      <c r="AI5" s="97">
        <f t="shared" si="10"/>
        <v>7.6659038901601834E-2</v>
      </c>
      <c r="AJ5" s="95">
        <f t="shared" si="11"/>
        <v>2.09375</v>
      </c>
      <c r="AK5" s="97">
        <f t="shared" si="12"/>
        <v>4.2191435768261967E-2</v>
      </c>
      <c r="AL5" s="95">
        <f t="shared" ca="1" si="13"/>
        <v>161.5376984126984</v>
      </c>
      <c r="AM5" s="97">
        <f t="shared" ca="1" si="14"/>
        <v>6.1905054351163794E-3</v>
      </c>
      <c r="AN5" s="95">
        <f t="shared" si="15"/>
        <v>113.25</v>
      </c>
      <c r="AO5" s="95">
        <f t="shared" ca="1" si="16"/>
        <v>14.377924944812362</v>
      </c>
    </row>
    <row r="6" spans="1:41" ht="15.75" customHeight="1" x14ac:dyDescent="0.3">
      <c r="A6" s="93">
        <v>500033</v>
      </c>
      <c r="B6" s="94" t="s">
        <v>190</v>
      </c>
      <c r="C6" s="95">
        <v>5932</v>
      </c>
      <c r="D6" s="95">
        <v>7731</v>
      </c>
      <c r="E6" s="96">
        <v>1906</v>
      </c>
      <c r="F6" s="96">
        <v>1866</v>
      </c>
      <c r="G6" s="96">
        <v>4312</v>
      </c>
      <c r="H6" s="96">
        <v>2285</v>
      </c>
      <c r="I6" s="96">
        <v>13</v>
      </c>
      <c r="J6" s="96">
        <v>2027</v>
      </c>
      <c r="K6" s="96">
        <v>727</v>
      </c>
      <c r="L6" s="96">
        <v>147</v>
      </c>
      <c r="M6" s="96">
        <v>10</v>
      </c>
      <c r="N6" s="95">
        <v>314</v>
      </c>
      <c r="O6" s="97">
        <f t="shared" ca="1" si="0"/>
        <v>7.0298228221255558E-3</v>
      </c>
      <c r="P6" s="96">
        <v>3531</v>
      </c>
      <c r="Q6" s="96">
        <v>5029</v>
      </c>
      <c r="R6" s="96">
        <v>134</v>
      </c>
      <c r="S6" s="96">
        <v>4980</v>
      </c>
      <c r="T6" s="96">
        <v>3538</v>
      </c>
      <c r="U6" s="96">
        <v>248</v>
      </c>
      <c r="V6" s="96">
        <v>-12</v>
      </c>
      <c r="W6" s="96">
        <v>68</v>
      </c>
      <c r="X6" s="96">
        <v>5008</v>
      </c>
      <c r="Y6" s="97">
        <f t="shared" si="1"/>
        <v>0.40757490107405303</v>
      </c>
      <c r="Z6" s="97">
        <f t="shared" si="17"/>
        <v>-21.666666666666668</v>
      </c>
      <c r="AA6" s="97">
        <f t="shared" si="2"/>
        <v>7.3289260123837519E-2</v>
      </c>
      <c r="AB6" s="97">
        <f t="shared" si="3"/>
        <v>2.6645456353151721E-2</v>
      </c>
      <c r="AC6" s="97">
        <f t="shared" si="4"/>
        <v>4.9799196787148593E-2</v>
      </c>
      <c r="AD6" s="95">
        <f t="shared" si="5"/>
        <v>1.3088235294117647</v>
      </c>
      <c r="AE6" s="98">
        <f t="shared" si="6"/>
        <v>1.0214362272240085</v>
      </c>
      <c r="AF6" s="95">
        <f t="shared" si="7"/>
        <v>10.669119109166832</v>
      </c>
      <c r="AG6" s="98">
        <f t="shared" si="8"/>
        <v>0.35865811544153919</v>
      </c>
      <c r="AH6" s="98">
        <f t="shared" si="9"/>
        <v>0.52991651205936918</v>
      </c>
      <c r="AI6" s="97">
        <f t="shared" si="10"/>
        <v>6.6107548100641345E-2</v>
      </c>
      <c r="AJ6" s="95">
        <f t="shared" si="11"/>
        <v>10.307692307692308</v>
      </c>
      <c r="AK6" s="97">
        <f t="shared" si="12"/>
        <v>3.1076066790352505E-2</v>
      </c>
      <c r="AL6" s="95">
        <f t="shared" si="13"/>
        <v>18.891719745222929</v>
      </c>
      <c r="AM6" s="97">
        <f t="shared" si="14"/>
        <v>5.2933243425488871E-2</v>
      </c>
      <c r="AN6" s="95">
        <f t="shared" si="15"/>
        <v>1569.2307692307693</v>
      </c>
      <c r="AO6" s="95">
        <f t="shared" si="16"/>
        <v>3.7801960784313726</v>
      </c>
    </row>
    <row r="7" spans="1:41" ht="15.75" customHeight="1" x14ac:dyDescent="0.3">
      <c r="A7" s="93">
        <v>531357</v>
      </c>
      <c r="B7" s="94" t="s">
        <v>191</v>
      </c>
      <c r="C7" s="95">
        <v>85</v>
      </c>
      <c r="D7" s="95">
        <f ca="1">IFERROR(__xludf.DUMMYFUNCTION("GOOGLEFINANCE(""bom:""&amp;A7,""marketcap"")/10000000"),1621.3557971)</f>
        <v>1621.3557971</v>
      </c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>
        <v>16.100000000000001</v>
      </c>
      <c r="R7" s="96">
        <v>1.39</v>
      </c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</row>
    <row r="8" spans="1:41" ht="15.75" customHeight="1" x14ac:dyDescent="0.3">
      <c r="A8" s="93">
        <v>500500</v>
      </c>
      <c r="B8" s="94" t="s">
        <v>192</v>
      </c>
      <c r="C8" s="95">
        <f ca="1">IFERROR(__xludf.DUMMYFUNCTION("GOOGLEFINANCE(""bom:""&amp;A8,""price"")"),28)</f>
        <v>28</v>
      </c>
      <c r="D8" s="95">
        <f ca="1">IFERROR(__xludf.DUMMYFUNCTION("GOOGLEFINANCE(""bom:""&amp;A8,""marketcap"")/10000000"),583.828432)</f>
        <v>583.82843200000002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</row>
    <row r="9" spans="1:41" ht="15.75" customHeight="1" x14ac:dyDescent="0.3"/>
    <row r="10" spans="1:41" ht="15.75" customHeight="1" x14ac:dyDescent="0.3">
      <c r="B10" s="99" t="s">
        <v>193</v>
      </c>
      <c r="D10" s="100">
        <f t="shared" ref="D10:L10" ca="1" si="18">SUM(D2:D8)</f>
        <v>1099743.2219298002</v>
      </c>
      <c r="E10" s="99">
        <f t="shared" si="18"/>
        <v>274747</v>
      </c>
      <c r="F10" s="99">
        <f t="shared" si="18"/>
        <v>262052</v>
      </c>
      <c r="G10" s="99">
        <f t="shared" si="18"/>
        <v>664150.93999999994</v>
      </c>
      <c r="H10" s="99">
        <f t="shared" si="18"/>
        <v>466492.22</v>
      </c>
      <c r="I10" s="99">
        <f t="shared" si="18"/>
        <v>1519.21</v>
      </c>
      <c r="J10" s="99">
        <f t="shared" si="18"/>
        <v>200617.72</v>
      </c>
      <c r="K10" s="99">
        <f t="shared" si="18"/>
        <v>217023.5</v>
      </c>
      <c r="L10" s="99">
        <f t="shared" si="18"/>
        <v>30852</v>
      </c>
      <c r="M10" s="99">
        <f>MEDIAN(M2:M6)</f>
        <v>5</v>
      </c>
      <c r="N10" s="100">
        <f ca="1">SUM(N2:N8)</f>
        <v>1006.5600000000001</v>
      </c>
      <c r="P10" s="99">
        <f t="shared" ref="P10:X10" si="19">SUM(P2:P8)</f>
        <v>470551</v>
      </c>
      <c r="Q10" s="99">
        <f t="shared" si="19"/>
        <v>590943.1</v>
      </c>
      <c r="R10" s="99">
        <f t="shared" si="19"/>
        <v>22477.39</v>
      </c>
      <c r="S10" s="99">
        <f t="shared" si="19"/>
        <v>530561</v>
      </c>
      <c r="T10" s="99">
        <f t="shared" si="19"/>
        <v>414874</v>
      </c>
      <c r="U10" s="99">
        <f t="shared" si="19"/>
        <v>36920</v>
      </c>
      <c r="V10" s="99">
        <f t="shared" si="19"/>
        <v>13132</v>
      </c>
      <c r="W10" s="99">
        <f t="shared" si="19"/>
        <v>16341</v>
      </c>
      <c r="X10" s="99">
        <f t="shared" si="19"/>
        <v>575890</v>
      </c>
      <c r="Y10" s="97">
        <f>(S10/T10)-1</f>
        <v>0.27884851786325493</v>
      </c>
      <c r="Z10" s="97">
        <f>(U10/V10)-1</f>
        <v>1.8114529393847092</v>
      </c>
      <c r="AA10" s="97">
        <f>(Q10/P10)^(1/5)-1</f>
        <v>4.6617020370483209E-2</v>
      </c>
      <c r="AB10" s="97">
        <f>R10/Q10</f>
        <v>3.8036470854808185E-2</v>
      </c>
      <c r="AC10" s="97">
        <f>U10/S10</f>
        <v>6.958672047135013E-2</v>
      </c>
      <c r="AD10" s="95">
        <f>(Q10-X10+W10)/W10</f>
        <v>1.9211859739306025</v>
      </c>
      <c r="AE10" s="98">
        <f>E10/F10</f>
        <v>1.0484445835177751</v>
      </c>
      <c r="AF10" s="95">
        <f>(L10/Q10)*365</f>
        <v>19.055946333919461</v>
      </c>
      <c r="AG10" s="98">
        <f>K10/J10</f>
        <v>1.0817763256406263</v>
      </c>
      <c r="AH10" s="98">
        <f>H10/G10</f>
        <v>0.70238885756903391</v>
      </c>
      <c r="AI10" s="97">
        <f>R10/J10</f>
        <v>0.11204090047479355</v>
      </c>
      <c r="AJ10" s="95">
        <f>R10/I10</f>
        <v>14.79544631749396</v>
      </c>
      <c r="AK10" s="97">
        <f>R10/G10</f>
        <v>3.3843797616246694E-2</v>
      </c>
      <c r="AL10" s="100">
        <f t="shared" ref="AL10:AM10" ca="1" si="20">MEDIAN(AL2:AL6)</f>
        <v>26.50734429454149</v>
      </c>
      <c r="AM10" s="101">
        <f t="shared" ca="1" si="20"/>
        <v>3.7725393720634791E-2</v>
      </c>
      <c r="AN10" s="100">
        <f>SUM(AN2:AN8)</f>
        <v>4669.6997600098584</v>
      </c>
      <c r="AO10" s="100">
        <f ca="1">MEDIAN(AO2:AO6)</f>
        <v>5.6777273140846782</v>
      </c>
    </row>
    <row r="11" spans="1:41" ht="15.75" customHeight="1" x14ac:dyDescent="0.3"/>
    <row r="12" spans="1:41" ht="15.75" customHeight="1" x14ac:dyDescent="0.3"/>
    <row r="13" spans="1:41" ht="15.75" customHeight="1" x14ac:dyDescent="0.3">
      <c r="A13" s="91" t="s">
        <v>194</v>
      </c>
      <c r="B13" s="91" t="s">
        <v>195</v>
      </c>
      <c r="C13" s="91" t="s">
        <v>196</v>
      </c>
      <c r="D13" s="91" t="s">
        <v>197</v>
      </c>
      <c r="E13" s="102" t="s">
        <v>27</v>
      </c>
      <c r="G13" s="103" t="s">
        <v>157</v>
      </c>
      <c r="H13" s="103" t="s">
        <v>198</v>
      </c>
      <c r="X13" s="104"/>
    </row>
    <row r="14" spans="1:41" ht="15.75" customHeight="1" x14ac:dyDescent="0.3">
      <c r="B14" s="99" t="s">
        <v>199</v>
      </c>
      <c r="C14" s="105">
        <v>3489953</v>
      </c>
      <c r="D14" s="105">
        <v>3860268</v>
      </c>
      <c r="E14" s="106">
        <f>(D14/C14)-1</f>
        <v>0.10610887883017339</v>
      </c>
      <c r="G14" s="107" t="s">
        <v>0</v>
      </c>
      <c r="H14" s="108">
        <v>0.43940000000000001</v>
      </c>
    </row>
    <row r="15" spans="1:41" ht="15.75" customHeight="1" x14ac:dyDescent="0.3">
      <c r="G15" s="107" t="s">
        <v>186</v>
      </c>
      <c r="H15" s="108">
        <v>0.13500000000000001</v>
      </c>
    </row>
    <row r="16" spans="1:41" ht="15.75" customHeight="1" x14ac:dyDescent="0.3">
      <c r="G16" s="107" t="s">
        <v>200</v>
      </c>
      <c r="H16" s="108">
        <v>0.1313</v>
      </c>
    </row>
    <row r="17" spans="1:8" ht="15.75" customHeight="1" x14ac:dyDescent="0.3">
      <c r="G17" s="107" t="s">
        <v>188</v>
      </c>
      <c r="H17" s="108">
        <v>0.10489999999999999</v>
      </c>
    </row>
    <row r="18" spans="1:8" ht="15.75" customHeight="1" x14ac:dyDescent="0.3">
      <c r="F18" s="109"/>
      <c r="G18" s="107" t="s">
        <v>201</v>
      </c>
      <c r="H18" s="108">
        <v>5.1499999999999997E-2</v>
      </c>
    </row>
    <row r="19" spans="1:8" ht="15.75" customHeight="1" x14ac:dyDescent="0.3">
      <c r="G19" s="110" t="s">
        <v>202</v>
      </c>
      <c r="H19" s="111">
        <v>0.13800000000000001</v>
      </c>
    </row>
    <row r="20" spans="1:8" ht="15.75" customHeight="1" x14ac:dyDescent="0.3">
      <c r="G20" s="112"/>
    </row>
    <row r="21" spans="1:8" ht="15.75" customHeight="1" x14ac:dyDescent="0.3">
      <c r="G21" s="113" t="s">
        <v>193</v>
      </c>
      <c r="H21" s="114">
        <v>1</v>
      </c>
    </row>
    <row r="22" spans="1:8" ht="15.75" customHeight="1" x14ac:dyDescent="0.3"/>
    <row r="23" spans="1:8" ht="15.75" customHeight="1" x14ac:dyDescent="0.3"/>
    <row r="24" spans="1:8" ht="15.75" customHeight="1" x14ac:dyDescent="0.3"/>
    <row r="25" spans="1:8" ht="15.75" customHeight="1" x14ac:dyDescent="0.3"/>
    <row r="26" spans="1:8" ht="15.75" customHeight="1" x14ac:dyDescent="0.3"/>
    <row r="27" spans="1:8" ht="15.75" customHeight="1" x14ac:dyDescent="0.3"/>
    <row r="28" spans="1:8" ht="15.75" customHeight="1" x14ac:dyDescent="0.3"/>
    <row r="29" spans="1:8" ht="15.75" customHeight="1" x14ac:dyDescent="0.3"/>
    <row r="30" spans="1:8" ht="15.75" customHeight="1" x14ac:dyDescent="0.3"/>
    <row r="31" spans="1:8" ht="15.75" customHeight="1" x14ac:dyDescent="0.3">
      <c r="A31" s="91" t="s">
        <v>203</v>
      </c>
      <c r="B31" s="91" t="s">
        <v>203</v>
      </c>
      <c r="C31" s="91" t="s">
        <v>196</v>
      </c>
      <c r="D31" s="91" t="s">
        <v>197</v>
      </c>
      <c r="E31" s="102" t="s">
        <v>27</v>
      </c>
      <c r="G31" s="103" t="s">
        <v>157</v>
      </c>
      <c r="H31" s="103" t="s">
        <v>198</v>
      </c>
    </row>
    <row r="32" spans="1:8" ht="15.75" customHeight="1" x14ac:dyDescent="0.3">
      <c r="B32" s="99" t="s">
        <v>199</v>
      </c>
      <c r="C32" s="105">
        <v>813923</v>
      </c>
      <c r="D32" s="105">
        <v>871627</v>
      </c>
      <c r="E32" s="106">
        <f>(D32/C32)-1</f>
        <v>7.0896141281177716E-2</v>
      </c>
      <c r="G32" s="107" t="s">
        <v>188</v>
      </c>
      <c r="H32" s="108">
        <v>0.23089999999999999</v>
      </c>
    </row>
    <row r="33" spans="7:8" ht="15.75" customHeight="1" x14ac:dyDescent="0.3">
      <c r="G33" s="107" t="s">
        <v>204</v>
      </c>
      <c r="H33" s="108">
        <v>0.18559999999999999</v>
      </c>
    </row>
    <row r="34" spans="7:8" ht="15.75" customHeight="1" x14ac:dyDescent="0.3">
      <c r="G34" s="107" t="s">
        <v>205</v>
      </c>
      <c r="H34" s="108">
        <v>0.12989999999999999</v>
      </c>
    </row>
    <row r="35" spans="7:8" ht="15.75" customHeight="1" x14ac:dyDescent="0.3">
      <c r="G35" s="107" t="s">
        <v>206</v>
      </c>
      <c r="H35" s="108">
        <v>0.1241</v>
      </c>
    </row>
    <row r="36" spans="7:8" ht="15.75" customHeight="1" x14ac:dyDescent="0.3">
      <c r="G36" s="107" t="s">
        <v>207</v>
      </c>
      <c r="H36" s="108">
        <v>9.2299999999999993E-2</v>
      </c>
    </row>
    <row r="37" spans="7:8" ht="15.75" customHeight="1" x14ac:dyDescent="0.3">
      <c r="G37" s="107" t="s">
        <v>208</v>
      </c>
      <c r="H37" s="108">
        <v>7.0199999999999999E-2</v>
      </c>
    </row>
    <row r="38" spans="7:8" ht="15.75" customHeight="1" x14ac:dyDescent="0.3">
      <c r="G38" s="110" t="s">
        <v>202</v>
      </c>
      <c r="H38" s="111">
        <v>0.1</v>
      </c>
    </row>
    <row r="39" spans="7:8" ht="15.75" customHeight="1" x14ac:dyDescent="0.3"/>
    <row r="40" spans="7:8" ht="15.75" customHeight="1" x14ac:dyDescent="0.3">
      <c r="G40" s="113" t="s">
        <v>193</v>
      </c>
      <c r="H40" s="114">
        <v>1</v>
      </c>
    </row>
    <row r="41" spans="7:8" ht="15.75" customHeight="1" x14ac:dyDescent="0.3"/>
    <row r="42" spans="7:8" ht="15.75" customHeight="1" x14ac:dyDescent="0.3"/>
    <row r="43" spans="7:8" ht="15.75" customHeight="1" x14ac:dyDescent="0.3"/>
    <row r="44" spans="7:8" ht="15.75" customHeight="1" x14ac:dyDescent="0.3"/>
    <row r="45" spans="7:8" ht="15.75" customHeight="1" x14ac:dyDescent="0.3"/>
    <row r="46" spans="7:8" ht="15.75" customHeight="1" x14ac:dyDescent="0.3"/>
    <row r="47" spans="7:8" ht="15.75" customHeight="1" x14ac:dyDescent="0.3"/>
    <row r="48" spans="7:8" ht="15.75" customHeight="1" x14ac:dyDescent="0.3"/>
    <row r="49" spans="1:8" ht="15.75" customHeight="1" x14ac:dyDescent="0.3">
      <c r="A49" s="91" t="s">
        <v>209</v>
      </c>
      <c r="B49" s="91" t="s">
        <v>209</v>
      </c>
      <c r="C49" s="91" t="s">
        <v>196</v>
      </c>
      <c r="D49" s="91" t="s">
        <v>197</v>
      </c>
      <c r="E49" s="102" t="s">
        <v>27</v>
      </c>
      <c r="G49" s="103" t="s">
        <v>157</v>
      </c>
      <c r="H49" s="103" t="s">
        <v>198</v>
      </c>
    </row>
    <row r="50" spans="1:8" ht="15.75" customHeight="1" x14ac:dyDescent="0.3">
      <c r="B50" s="99" t="s">
        <v>199</v>
      </c>
      <c r="C50" s="105">
        <v>918284</v>
      </c>
      <c r="D50" s="105">
        <v>994330</v>
      </c>
      <c r="E50" s="106">
        <f>(D50/C50)-1</f>
        <v>8.281316019880558E-2</v>
      </c>
      <c r="G50" s="107" t="s">
        <v>186</v>
      </c>
      <c r="H50" s="108">
        <v>0.34960000000000002</v>
      </c>
    </row>
    <row r="51" spans="1:8" ht="15.75" customHeight="1" x14ac:dyDescent="0.3">
      <c r="G51" s="107" t="s">
        <v>210</v>
      </c>
      <c r="H51" s="108">
        <v>0.26429999999999998</v>
      </c>
    </row>
    <row r="52" spans="1:8" ht="15.75" customHeight="1" x14ac:dyDescent="0.3">
      <c r="G52" s="99" t="s">
        <v>211</v>
      </c>
      <c r="H52" s="108">
        <v>0.15659999999999999</v>
      </c>
    </row>
    <row r="53" spans="1:8" ht="15.75" customHeight="1" x14ac:dyDescent="0.3">
      <c r="G53" s="99" t="s">
        <v>212</v>
      </c>
      <c r="H53" s="108">
        <v>6.5199999999999994E-2</v>
      </c>
    </row>
    <row r="54" spans="1:8" ht="15.75" customHeight="1" x14ac:dyDescent="0.3">
      <c r="G54" s="110" t="s">
        <v>202</v>
      </c>
      <c r="H54" s="111">
        <v>0.16</v>
      </c>
    </row>
    <row r="55" spans="1:8" ht="15.75" customHeight="1" x14ac:dyDescent="0.3">
      <c r="G55" s="99"/>
      <c r="H55" s="108"/>
    </row>
    <row r="56" spans="1:8" ht="15.75" customHeight="1" x14ac:dyDescent="0.3">
      <c r="G56" s="113" t="s">
        <v>193</v>
      </c>
      <c r="H56" s="114">
        <v>1</v>
      </c>
    </row>
    <row r="57" spans="1:8" ht="15.75" customHeight="1" x14ac:dyDescent="0.3"/>
    <row r="58" spans="1:8" ht="15.75" customHeight="1" x14ac:dyDescent="0.3"/>
    <row r="59" spans="1:8" ht="15.75" customHeight="1" x14ac:dyDescent="0.3"/>
    <row r="60" spans="1:8" ht="15.75" customHeight="1" x14ac:dyDescent="0.3"/>
    <row r="61" spans="1:8" ht="15.75" customHeight="1" x14ac:dyDescent="0.3"/>
    <row r="62" spans="1:8" ht="15.75" customHeight="1" x14ac:dyDescent="0.3"/>
    <row r="63" spans="1:8" ht="15.75" customHeight="1" x14ac:dyDescent="0.3"/>
    <row r="64" spans="1:8" ht="15.75" customHeight="1" x14ac:dyDescent="0.3"/>
    <row r="65" spans="1:11" ht="15.75" customHeight="1" x14ac:dyDescent="0.3"/>
    <row r="66" spans="1:11" ht="15.75" customHeight="1" x14ac:dyDescent="0.3"/>
    <row r="67" spans="1:11" ht="15.75" customHeight="1" x14ac:dyDescent="0.3"/>
    <row r="68" spans="1:11" ht="15.75" customHeight="1" x14ac:dyDescent="0.3">
      <c r="A68" s="115" t="s">
        <v>193</v>
      </c>
      <c r="B68" s="103" t="s">
        <v>157</v>
      </c>
      <c r="C68" s="103" t="s">
        <v>170</v>
      </c>
      <c r="F68" s="91" t="s">
        <v>157</v>
      </c>
      <c r="G68" s="116" t="s">
        <v>171</v>
      </c>
      <c r="J68" s="91" t="s">
        <v>157</v>
      </c>
      <c r="K68" s="116" t="s">
        <v>159</v>
      </c>
    </row>
    <row r="69" spans="1:11" ht="15.75" customHeight="1" x14ac:dyDescent="0.3">
      <c r="B69" s="117" t="s">
        <v>0</v>
      </c>
      <c r="C69" s="118">
        <v>117571</v>
      </c>
      <c r="F69" s="119" t="s">
        <v>0</v>
      </c>
      <c r="G69" s="120">
        <v>8211</v>
      </c>
      <c r="J69" s="119" t="s">
        <v>0</v>
      </c>
      <c r="K69" s="121">
        <v>360526.91262179997</v>
      </c>
    </row>
    <row r="70" spans="1:11" ht="15.75" customHeight="1" x14ac:dyDescent="0.3">
      <c r="B70" s="117" t="s">
        <v>186</v>
      </c>
      <c r="C70" s="118">
        <v>345967</v>
      </c>
      <c r="F70" s="119" t="s">
        <v>186</v>
      </c>
      <c r="G70" s="120">
        <v>2690</v>
      </c>
      <c r="J70" s="119" t="s">
        <v>186</v>
      </c>
      <c r="K70" s="121">
        <v>337209.94719979999</v>
      </c>
    </row>
    <row r="71" spans="1:11" ht="15.75" customHeight="1" x14ac:dyDescent="0.3">
      <c r="B71" s="117" t="s">
        <v>188</v>
      </c>
      <c r="C71" s="118">
        <v>121269</v>
      </c>
      <c r="F71" s="119" t="s">
        <v>188</v>
      </c>
      <c r="G71" s="120">
        <v>11374</v>
      </c>
      <c r="J71" s="119" t="s">
        <v>188</v>
      </c>
      <c r="K71" s="121">
        <v>221757.43505639999</v>
      </c>
    </row>
    <row r="72" spans="1:11" ht="15.75" customHeight="1" x14ac:dyDescent="0.3">
      <c r="B72" s="117" t="s">
        <v>189</v>
      </c>
      <c r="C72" s="118">
        <v>1091</v>
      </c>
      <c r="F72" s="119" t="s">
        <v>189</v>
      </c>
      <c r="G72" s="120">
        <v>67</v>
      </c>
      <c r="J72" s="119" t="s">
        <v>189</v>
      </c>
      <c r="K72" s="121">
        <v>17060.481809000001</v>
      </c>
    </row>
    <row r="73" spans="1:11" ht="15.75" customHeight="1" x14ac:dyDescent="0.3">
      <c r="B73" s="117" t="s">
        <v>190</v>
      </c>
      <c r="C73" s="118">
        <v>5029</v>
      </c>
      <c r="F73" s="119" t="s">
        <v>190</v>
      </c>
      <c r="G73" s="120">
        <v>134</v>
      </c>
      <c r="J73" s="119" t="s">
        <v>190</v>
      </c>
      <c r="K73" s="121">
        <v>7731</v>
      </c>
    </row>
    <row r="74" spans="1:11" ht="15.75" customHeight="1" x14ac:dyDescent="0.3">
      <c r="B74" s="117" t="s">
        <v>191</v>
      </c>
      <c r="C74" s="99">
        <v>16.100000000000001</v>
      </c>
      <c r="F74" s="119" t="s">
        <v>191</v>
      </c>
      <c r="G74" s="120">
        <v>1.39</v>
      </c>
      <c r="J74" s="119" t="s">
        <v>191</v>
      </c>
      <c r="K74" s="121">
        <v>1457.04259</v>
      </c>
    </row>
    <row r="75" spans="1:11" ht="15.75" customHeight="1" x14ac:dyDescent="0.3">
      <c r="B75" s="122" t="s">
        <v>192</v>
      </c>
      <c r="C75" s="123"/>
      <c r="F75" s="119" t="s">
        <v>192</v>
      </c>
      <c r="G75" s="124"/>
      <c r="J75" s="119" t="s">
        <v>192</v>
      </c>
      <c r="K75" s="121">
        <v>420.44828000000001</v>
      </c>
    </row>
    <row r="76" spans="1:11" ht="15.75" customHeight="1" x14ac:dyDescent="0.3">
      <c r="B76" s="99"/>
      <c r="C76" s="99"/>
      <c r="F76" s="99"/>
      <c r="G76" s="99"/>
      <c r="J76" s="99"/>
      <c r="K76" s="99"/>
    </row>
    <row r="77" spans="1:11" ht="15.75" customHeight="1" x14ac:dyDescent="0.3">
      <c r="B77" s="125" t="s">
        <v>193</v>
      </c>
      <c r="C77" s="126">
        <f>SUM(C69:C75)</f>
        <v>590943.1</v>
      </c>
      <c r="F77" s="125" t="s">
        <v>193</v>
      </c>
      <c r="G77" s="126">
        <f>SUM(G69:G75)</f>
        <v>22477.39</v>
      </c>
      <c r="J77" s="125" t="s">
        <v>193</v>
      </c>
      <c r="K77" s="126">
        <f>SUM(K69:K75)</f>
        <v>946163.26755699993</v>
      </c>
    </row>
    <row r="78" spans="1:11" ht="15.75" customHeight="1" x14ac:dyDescent="0.3"/>
    <row r="79" spans="1:11" ht="15.75" customHeight="1" x14ac:dyDescent="0.3"/>
    <row r="80" spans="1:11" ht="15.75" customHeight="1" x14ac:dyDescent="0.3"/>
    <row r="81" spans="1:11" ht="15.75" customHeight="1" x14ac:dyDescent="0.3"/>
    <row r="82" spans="1:11" ht="15.75" customHeight="1" x14ac:dyDescent="0.3"/>
    <row r="83" spans="1:11" ht="15.75" customHeight="1" x14ac:dyDescent="0.3"/>
    <row r="84" spans="1:11" ht="15.75" customHeight="1" x14ac:dyDescent="0.3"/>
    <row r="85" spans="1:11" ht="15.75" customHeight="1" x14ac:dyDescent="0.3"/>
    <row r="86" spans="1:11" ht="15.75" customHeight="1" x14ac:dyDescent="0.3"/>
    <row r="87" spans="1:11" ht="15.75" customHeight="1" x14ac:dyDescent="0.3"/>
    <row r="88" spans="1:11" ht="15.75" customHeight="1" x14ac:dyDescent="0.3"/>
    <row r="89" spans="1:11" ht="15.75" customHeight="1" x14ac:dyDescent="0.3"/>
    <row r="90" spans="1:11" ht="15.75" customHeight="1" x14ac:dyDescent="0.3"/>
    <row r="91" spans="1:11" ht="15.75" customHeight="1" x14ac:dyDescent="0.3"/>
    <row r="92" spans="1:11" ht="15.75" customHeight="1" x14ac:dyDescent="0.3"/>
    <row r="93" spans="1:11" ht="15.75" customHeight="1" x14ac:dyDescent="0.3"/>
    <row r="94" spans="1:11" ht="15.75" customHeight="1" x14ac:dyDescent="0.3"/>
    <row r="95" spans="1:11" ht="15.75" customHeight="1" x14ac:dyDescent="0.3"/>
    <row r="96" spans="1:11" ht="15.75" customHeight="1" x14ac:dyDescent="0.3">
      <c r="A96" s="115" t="s">
        <v>27</v>
      </c>
      <c r="B96" s="103" t="s">
        <v>157</v>
      </c>
      <c r="C96" s="103" t="s">
        <v>180</v>
      </c>
      <c r="F96" s="103" t="s">
        <v>157</v>
      </c>
      <c r="G96" s="103" t="s">
        <v>213</v>
      </c>
      <c r="H96" s="103" t="s">
        <v>214</v>
      </c>
      <c r="I96" s="103" t="s">
        <v>215</v>
      </c>
      <c r="J96" s="103" t="s">
        <v>216</v>
      </c>
      <c r="K96" s="103" t="s">
        <v>217</v>
      </c>
    </row>
    <row r="97" spans="2:11" ht="15.75" customHeight="1" x14ac:dyDescent="0.3">
      <c r="B97" s="117" t="s">
        <v>0</v>
      </c>
      <c r="C97" s="127">
        <v>7.4617362999614967E-2</v>
      </c>
      <c r="F97" s="117" t="s">
        <v>0</v>
      </c>
      <c r="G97" s="127">
        <v>9.3600000000000003E-2</v>
      </c>
      <c r="H97" s="127">
        <v>0.47920000000000001</v>
      </c>
      <c r="I97" s="38">
        <v>0.1057</v>
      </c>
      <c r="J97" s="38">
        <v>7.8100000000000003E-2</v>
      </c>
      <c r="K97" s="38">
        <v>2.75E-2</v>
      </c>
    </row>
    <row r="98" spans="2:11" ht="15.75" customHeight="1" x14ac:dyDescent="0.3">
      <c r="B98" s="117" t="s">
        <v>186</v>
      </c>
      <c r="C98" s="127">
        <v>3.5000000000000003E-2</v>
      </c>
      <c r="F98" s="117" t="s">
        <v>186</v>
      </c>
      <c r="G98" s="127">
        <v>5.6800000000000003E-2</v>
      </c>
      <c r="H98" s="127">
        <v>0.72430000000000005</v>
      </c>
      <c r="I98" s="38">
        <v>5.2699999999999997E-2</v>
      </c>
      <c r="J98" s="38">
        <v>3.2300000000000002E-2</v>
      </c>
      <c r="K98" s="38">
        <v>2.0400000000000001E-2</v>
      </c>
    </row>
    <row r="99" spans="2:11" ht="15.75" customHeight="1" x14ac:dyDescent="0.3">
      <c r="B99" s="117" t="s">
        <v>188</v>
      </c>
      <c r="C99" s="127">
        <v>5.3916540096863086E-2</v>
      </c>
      <c r="F99" s="117" t="s">
        <v>188</v>
      </c>
      <c r="G99" s="127">
        <v>0.1079</v>
      </c>
      <c r="H99" s="127">
        <v>5.8999999999999999E-3</v>
      </c>
      <c r="I99" s="38">
        <v>9.6799999999999997E-2</v>
      </c>
      <c r="J99" s="38">
        <v>0.1066</v>
      </c>
      <c r="K99" s="38">
        <v>-9.7999999999999997E-3</v>
      </c>
    </row>
    <row r="100" spans="2:11" ht="15.75" customHeight="1" x14ac:dyDescent="0.3">
      <c r="B100" s="117" t="s">
        <v>189</v>
      </c>
      <c r="C100" s="127">
        <v>0.46081823198345173</v>
      </c>
      <c r="F100" s="117" t="s">
        <v>189</v>
      </c>
      <c r="G100" s="127">
        <v>0.45369999999999999</v>
      </c>
      <c r="H100" s="127">
        <v>0.33329999999999999</v>
      </c>
      <c r="I100" s="38">
        <v>7.6399999999999996E-2</v>
      </c>
      <c r="J100" s="38">
        <v>8.3299999999999999E-2</v>
      </c>
      <c r="K100" s="38">
        <v>-6.8999999999999999E-3</v>
      </c>
    </row>
    <row r="101" spans="2:11" ht="15.75" customHeight="1" thickBot="1" x14ac:dyDescent="0.35">
      <c r="B101" s="122" t="s">
        <v>190</v>
      </c>
      <c r="C101" s="128">
        <v>7.3289260123837519E-2</v>
      </c>
      <c r="F101" s="129" t="s">
        <v>190</v>
      </c>
      <c r="G101" s="130">
        <f>(1884/1488)-1</f>
        <v>0.2661290322580645</v>
      </c>
      <c r="H101" s="130">
        <f>(116/69)-1</f>
        <v>0.68115942028985499</v>
      </c>
      <c r="I101" s="131">
        <f>116/1185</f>
        <v>9.7890295358649793E-2</v>
      </c>
      <c r="J101" s="131">
        <f>69/1488</f>
        <v>4.6370967741935484E-2</v>
      </c>
      <c r="K101" s="131">
        <f>I101-J101</f>
        <v>5.1519327616714308E-2</v>
      </c>
    </row>
    <row r="102" spans="2:11" ht="15.75" customHeight="1" thickTop="1" x14ac:dyDescent="0.3"/>
    <row r="103" spans="2:11" ht="15.75" customHeight="1" x14ac:dyDescent="0.3">
      <c r="B103" s="132" t="s">
        <v>193</v>
      </c>
      <c r="C103" s="133">
        <v>4.7E-2</v>
      </c>
      <c r="F103" s="132" t="s">
        <v>193</v>
      </c>
      <c r="G103" s="133">
        <f>(180951/168392)-1</f>
        <v>7.4581927882559684E-2</v>
      </c>
      <c r="H103" s="133">
        <f>(13057/9421)-1</f>
        <v>0.38594629020273863</v>
      </c>
      <c r="I103" s="133">
        <v>7.1999999999999995E-2</v>
      </c>
      <c r="J103" s="133">
        <v>5.6000000000000001E-2</v>
      </c>
      <c r="K103" s="133">
        <f>I103-J103</f>
        <v>1.5999999999999993E-2</v>
      </c>
    </row>
    <row r="104" spans="2:11" ht="15.75" customHeight="1" x14ac:dyDescent="0.3">
      <c r="B104" s="99"/>
      <c r="C104" s="99"/>
      <c r="F104" s="99"/>
      <c r="G104" s="123"/>
      <c r="J104" s="99"/>
      <c r="K104" s="123"/>
    </row>
    <row r="105" spans="2:11" ht="15.75" customHeight="1" x14ac:dyDescent="0.3"/>
    <row r="106" spans="2:11" ht="15.75" customHeight="1" x14ac:dyDescent="0.3"/>
    <row r="107" spans="2:11" ht="15.75" customHeight="1" x14ac:dyDescent="0.3"/>
    <row r="108" spans="2:11" ht="15.75" customHeight="1" x14ac:dyDescent="0.3"/>
    <row r="109" spans="2:11" ht="15.75" customHeight="1" x14ac:dyDescent="0.3"/>
    <row r="110" spans="2:11" ht="15.75" customHeight="1" x14ac:dyDescent="0.3"/>
    <row r="111" spans="2:11" ht="15.75" customHeight="1" x14ac:dyDescent="0.3"/>
    <row r="112" spans="2:11" ht="15.75" customHeight="1" x14ac:dyDescent="0.3"/>
    <row r="113" spans="1:12" ht="15.75" customHeight="1" x14ac:dyDescent="0.3"/>
    <row r="114" spans="1:12" ht="15.75" customHeight="1" x14ac:dyDescent="0.3"/>
    <row r="115" spans="1:12" ht="15.75" customHeight="1" x14ac:dyDescent="0.3"/>
    <row r="116" spans="1:12" ht="15.75" customHeight="1" x14ac:dyDescent="0.3"/>
    <row r="117" spans="1:12" ht="15.75" customHeight="1" x14ac:dyDescent="0.3"/>
    <row r="118" spans="1:12" ht="15.75" customHeight="1" x14ac:dyDescent="0.3"/>
    <row r="119" spans="1:12" ht="15.75" customHeight="1" x14ac:dyDescent="0.3"/>
    <row r="120" spans="1:12" ht="15.75" customHeight="1" x14ac:dyDescent="0.3"/>
    <row r="121" spans="1:12" ht="15.75" customHeight="1" x14ac:dyDescent="0.3">
      <c r="A121" s="115" t="s">
        <v>28</v>
      </c>
    </row>
    <row r="122" spans="1:12" ht="15.75" customHeight="1" x14ac:dyDescent="0.3">
      <c r="B122" s="91" t="s">
        <v>157</v>
      </c>
      <c r="C122" s="91" t="s">
        <v>181</v>
      </c>
      <c r="D122" s="91" t="s">
        <v>182</v>
      </c>
      <c r="G122" s="91" t="s">
        <v>157</v>
      </c>
      <c r="H122" s="91" t="s">
        <v>183</v>
      </c>
      <c r="K122" s="91" t="s">
        <v>157</v>
      </c>
      <c r="L122" s="91" t="s">
        <v>184</v>
      </c>
    </row>
    <row r="123" spans="1:12" ht="15.75" customHeight="1" x14ac:dyDescent="0.3">
      <c r="B123" s="119" t="s">
        <v>0</v>
      </c>
      <c r="C123" s="134">
        <v>6.9838650687669576E-2</v>
      </c>
      <c r="D123" s="134">
        <v>8.9833445653220378E-2</v>
      </c>
      <c r="G123" s="119" t="s">
        <v>0</v>
      </c>
      <c r="H123" s="135">
        <v>0.66301445539084802</v>
      </c>
      <c r="K123" s="119" t="s">
        <v>0</v>
      </c>
      <c r="L123" s="121">
        <v>13.849206011686556</v>
      </c>
    </row>
    <row r="124" spans="1:12" ht="15.75" customHeight="1" x14ac:dyDescent="0.3">
      <c r="B124" s="119" t="s">
        <v>186</v>
      </c>
      <c r="C124" s="134">
        <v>7.7753080496116679E-3</v>
      </c>
      <c r="D124" s="134">
        <v>5.7029448860008616E-2</v>
      </c>
      <c r="G124" s="119" t="s">
        <v>186</v>
      </c>
      <c r="H124" s="135">
        <v>0.98175047040221297</v>
      </c>
      <c r="K124" s="119" t="s">
        <v>186</v>
      </c>
      <c r="L124" s="121">
        <v>18.034756060549128</v>
      </c>
    </row>
    <row r="125" spans="1:12" ht="15.75" customHeight="1" x14ac:dyDescent="0.3">
      <c r="B125" s="119" t="s">
        <v>188</v>
      </c>
      <c r="C125" s="134">
        <v>9.3791488344094537E-2</v>
      </c>
      <c r="D125" s="134">
        <v>8.8868373742772455E-2</v>
      </c>
      <c r="G125" s="119" t="s">
        <v>188</v>
      </c>
      <c r="H125" s="135">
        <v>1.3053082308162849</v>
      </c>
      <c r="K125" s="119" t="s">
        <v>188</v>
      </c>
      <c r="L125" s="121">
        <v>25.977908616381761</v>
      </c>
    </row>
    <row r="126" spans="1:12" ht="15.75" customHeight="1" x14ac:dyDescent="0.3">
      <c r="B126" s="119" t="s">
        <v>189</v>
      </c>
      <c r="C126" s="134">
        <v>6.1411549037580199E-2</v>
      </c>
      <c r="D126" s="134">
        <v>7.3988439306358386E-2</v>
      </c>
      <c r="G126" s="119" t="s">
        <v>189</v>
      </c>
      <c r="H126" s="135">
        <v>1.7734138972809668</v>
      </c>
      <c r="K126" s="119" t="s">
        <v>189</v>
      </c>
      <c r="L126" s="121">
        <v>173.63428047662697</v>
      </c>
    </row>
    <row r="127" spans="1:12" ht="15.75" customHeight="1" x14ac:dyDescent="0.3">
      <c r="B127" s="119" t="s">
        <v>190</v>
      </c>
      <c r="C127" s="134">
        <v>2.6645456353151721E-2</v>
      </c>
      <c r="D127" s="134">
        <v>4.9799196787148593E-2</v>
      </c>
      <c r="G127" s="119" t="s">
        <v>190</v>
      </c>
      <c r="H127" s="135">
        <v>1.0214362272240085</v>
      </c>
      <c r="K127" s="119" t="s">
        <v>190</v>
      </c>
      <c r="L127" s="121">
        <v>10.669119109166832</v>
      </c>
    </row>
    <row r="128" spans="1:12" ht="15.75" customHeight="1" x14ac:dyDescent="0.3">
      <c r="K128" s="119"/>
      <c r="L128" s="124"/>
    </row>
    <row r="129" spans="2:12" ht="15.75" customHeight="1" x14ac:dyDescent="0.3"/>
    <row r="130" spans="2:12" ht="15.75" customHeight="1" x14ac:dyDescent="0.3">
      <c r="B130" s="99"/>
      <c r="C130" s="123"/>
      <c r="D130" s="123"/>
      <c r="G130" s="99"/>
      <c r="H130" s="123"/>
    </row>
    <row r="131" spans="2:12" ht="15.75" customHeight="1" x14ac:dyDescent="0.3">
      <c r="B131" s="132" t="s">
        <v>193</v>
      </c>
      <c r="C131" s="133">
        <v>3.7999999999999999E-2</v>
      </c>
      <c r="D131" s="133">
        <v>7.0000000000000007E-2</v>
      </c>
      <c r="G131" s="132" t="s">
        <v>193</v>
      </c>
      <c r="H131" s="132">
        <v>1.05</v>
      </c>
      <c r="K131" s="132" t="s">
        <v>193</v>
      </c>
      <c r="L131" s="132">
        <v>19</v>
      </c>
    </row>
    <row r="132" spans="2:12" ht="15.75" customHeight="1" x14ac:dyDescent="0.3"/>
    <row r="133" spans="2:12" ht="15.75" customHeight="1" x14ac:dyDescent="0.3"/>
    <row r="134" spans="2:12" ht="15.75" customHeight="1" x14ac:dyDescent="0.3"/>
    <row r="135" spans="2:12" ht="15.75" customHeight="1" x14ac:dyDescent="0.3"/>
    <row r="136" spans="2:12" ht="15.75" customHeight="1" x14ac:dyDescent="0.3"/>
    <row r="137" spans="2:12" ht="15.75" customHeight="1" x14ac:dyDescent="0.3"/>
    <row r="138" spans="2:12" ht="15.75" customHeight="1" x14ac:dyDescent="0.3"/>
    <row r="139" spans="2:12" ht="15.75" customHeight="1" x14ac:dyDescent="0.3"/>
    <row r="140" spans="2:12" ht="15.75" customHeight="1" x14ac:dyDescent="0.3"/>
    <row r="141" spans="2:12" ht="15.75" customHeight="1" x14ac:dyDescent="0.3"/>
    <row r="142" spans="2:12" ht="15.75" customHeight="1" x14ac:dyDescent="0.3"/>
    <row r="143" spans="2:12" ht="15.75" customHeight="1" x14ac:dyDescent="0.3"/>
    <row r="144" spans="2:12" ht="15.75" customHeight="1" x14ac:dyDescent="0.3"/>
    <row r="145" spans="1:11" ht="15.75" customHeight="1" x14ac:dyDescent="0.3"/>
    <row r="146" spans="1:11" ht="15.75" customHeight="1" x14ac:dyDescent="0.3"/>
    <row r="147" spans="1:11" ht="15.75" customHeight="1" x14ac:dyDescent="0.3"/>
    <row r="148" spans="1:11" ht="15.75" customHeight="1" x14ac:dyDescent="0.3"/>
    <row r="149" spans="1:11" ht="15.75" customHeight="1" x14ac:dyDescent="0.3"/>
    <row r="150" spans="1:11" ht="15.75" customHeight="1" x14ac:dyDescent="0.3">
      <c r="A150" s="91" t="s">
        <v>29</v>
      </c>
    </row>
    <row r="151" spans="1:11" ht="15.75" customHeight="1" x14ac:dyDescent="0.3">
      <c r="B151" s="91" t="s">
        <v>157</v>
      </c>
      <c r="C151" s="91" t="s">
        <v>37</v>
      </c>
      <c r="F151" s="91" t="s">
        <v>157</v>
      </c>
      <c r="G151" s="91" t="s">
        <v>39</v>
      </c>
      <c r="J151" s="91" t="s">
        <v>157</v>
      </c>
      <c r="K151" s="91" t="s">
        <v>38</v>
      </c>
    </row>
    <row r="152" spans="1:11" ht="15.75" customHeight="1" x14ac:dyDescent="0.3">
      <c r="B152" s="119" t="s">
        <v>0</v>
      </c>
      <c r="C152" s="135">
        <v>5.5173042724909948E-3</v>
      </c>
      <c r="F152" s="119" t="s">
        <v>0</v>
      </c>
      <c r="G152" s="121">
        <v>43.80748663101604</v>
      </c>
      <c r="J152" s="119" t="s">
        <v>0</v>
      </c>
      <c r="K152" s="135">
        <v>0.30553959060966446</v>
      </c>
    </row>
    <row r="153" spans="1:11" ht="15.75" customHeight="1" x14ac:dyDescent="0.3">
      <c r="B153" s="119" t="s">
        <v>186</v>
      </c>
      <c r="C153" s="135">
        <v>1.9623371734105641</v>
      </c>
      <c r="F153" s="119" t="s">
        <v>186</v>
      </c>
      <c r="G153" s="121">
        <v>0.6903667481662592</v>
      </c>
      <c r="J153" s="119" t="s">
        <v>186</v>
      </c>
      <c r="K153" s="135">
        <v>0.8245522200826888</v>
      </c>
    </row>
    <row r="154" spans="1:11" ht="15.75" customHeight="1" x14ac:dyDescent="0.3">
      <c r="B154" s="119" t="s">
        <v>188</v>
      </c>
      <c r="C154" s="135">
        <v>1.356009740579649</v>
      </c>
      <c r="F154" s="119" t="s">
        <v>188</v>
      </c>
      <c r="G154" s="121">
        <v>2.7324185248713553</v>
      </c>
      <c r="J154" s="119" t="s">
        <v>188</v>
      </c>
      <c r="K154" s="135">
        <v>0.67819887395650735</v>
      </c>
    </row>
    <row r="155" spans="1:11" ht="15.75" customHeight="1" x14ac:dyDescent="0.3">
      <c r="B155" s="119" t="s">
        <v>189</v>
      </c>
      <c r="C155" s="135">
        <v>0.14874141876430205</v>
      </c>
      <c r="F155" s="119" t="s">
        <v>189</v>
      </c>
      <c r="G155" s="121">
        <v>3.4838709677419355</v>
      </c>
      <c r="J155" s="119" t="s">
        <v>189</v>
      </c>
      <c r="K155" s="135">
        <v>0.44962216624685136</v>
      </c>
    </row>
    <row r="156" spans="1:11" ht="15.75" customHeight="1" x14ac:dyDescent="0.3">
      <c r="B156" s="119" t="s">
        <v>190</v>
      </c>
      <c r="C156" s="135">
        <v>0.35865811544153919</v>
      </c>
      <c r="F156" s="119" t="s">
        <v>190</v>
      </c>
      <c r="G156" s="121">
        <v>1.3088235294117647</v>
      </c>
      <c r="J156" s="119" t="s">
        <v>190</v>
      </c>
      <c r="K156" s="135">
        <v>0.52991651205936918</v>
      </c>
    </row>
    <row r="157" spans="1:11" ht="15.75" customHeight="1" x14ac:dyDescent="0.3">
      <c r="B157" s="119" t="s">
        <v>191</v>
      </c>
      <c r="C157" s="124"/>
      <c r="F157" s="119" t="s">
        <v>191</v>
      </c>
      <c r="G157" s="124"/>
      <c r="J157" s="119" t="s">
        <v>191</v>
      </c>
      <c r="K157" s="124"/>
    </row>
    <row r="158" spans="1:11" ht="15.75" customHeight="1" x14ac:dyDescent="0.3">
      <c r="B158" s="119" t="s">
        <v>192</v>
      </c>
      <c r="C158" s="124"/>
      <c r="F158" s="119" t="s">
        <v>192</v>
      </c>
      <c r="G158" s="124"/>
      <c r="J158" s="119" t="s">
        <v>192</v>
      </c>
      <c r="K158" s="124"/>
    </row>
    <row r="159" spans="1:11" ht="15.75" customHeight="1" x14ac:dyDescent="0.3">
      <c r="B159" s="99"/>
      <c r="C159" s="123"/>
      <c r="F159" s="99"/>
      <c r="G159" s="123"/>
      <c r="J159" s="99"/>
      <c r="K159" s="123"/>
    </row>
    <row r="160" spans="1:11" ht="15.75" customHeight="1" x14ac:dyDescent="0.3">
      <c r="B160" s="132" t="s">
        <v>193</v>
      </c>
      <c r="C160" s="132">
        <v>1.08</v>
      </c>
      <c r="F160" s="132" t="s">
        <v>193</v>
      </c>
      <c r="G160" s="132">
        <v>2</v>
      </c>
      <c r="J160" s="132" t="s">
        <v>193</v>
      </c>
      <c r="K160" s="132">
        <v>0.7</v>
      </c>
    </row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spans="1:10" ht="15.75" customHeight="1" x14ac:dyDescent="0.3">
      <c r="A177" s="115" t="s">
        <v>30</v>
      </c>
      <c r="B177" s="103" t="s">
        <v>157</v>
      </c>
      <c r="C177" s="103" t="s">
        <v>40</v>
      </c>
      <c r="D177" s="103" t="s">
        <v>42</v>
      </c>
      <c r="F177" s="115" t="s">
        <v>31</v>
      </c>
      <c r="G177" s="91" t="s">
        <v>157</v>
      </c>
      <c r="H177" s="91" t="s">
        <v>136</v>
      </c>
      <c r="I177" s="91" t="s">
        <v>46</v>
      </c>
      <c r="J177" s="91" t="s">
        <v>185</v>
      </c>
    </row>
    <row r="178" spans="1:10" ht="15.75" customHeight="1" x14ac:dyDescent="0.3">
      <c r="B178" s="117" t="s">
        <v>0</v>
      </c>
      <c r="C178" s="127">
        <v>0.12480051069262688</v>
      </c>
      <c r="D178" s="127">
        <v>9.0753348954418847E-2</v>
      </c>
      <c r="G178" s="119" t="s">
        <v>0</v>
      </c>
      <c r="H178" s="121">
        <v>29.299744572158367</v>
      </c>
      <c r="I178" s="121">
        <v>5.2532401734805294</v>
      </c>
      <c r="J178" s="134">
        <v>3.4129990366886499E-2</v>
      </c>
    </row>
    <row r="179" spans="1:10" ht="15.75" customHeight="1" x14ac:dyDescent="0.3">
      <c r="B179" s="117" t="s">
        <v>186</v>
      </c>
      <c r="C179" s="127">
        <v>4.4184759969987213E-2</v>
      </c>
      <c r="D179" s="127">
        <v>7.7521180429135353E-3</v>
      </c>
      <c r="G179" s="119" t="s">
        <v>186</v>
      </c>
      <c r="H179" s="121">
        <v>16.228641888321295</v>
      </c>
      <c r="I179" s="121">
        <v>5.7254211442483838</v>
      </c>
      <c r="J179" s="134">
        <v>6.1619450776077292E-2</v>
      </c>
    </row>
    <row r="180" spans="1:10" ht="15.75" customHeight="1" x14ac:dyDescent="0.3">
      <c r="B180" s="117" t="s">
        <v>188</v>
      </c>
      <c r="C180" s="127">
        <v>0.16010022099291979</v>
      </c>
      <c r="D180" s="127">
        <v>5.151898103481857E-2</v>
      </c>
      <c r="G180" s="119" t="s">
        <v>188</v>
      </c>
      <c r="H180" s="121">
        <v>18.627706495589415</v>
      </c>
      <c r="I180" s="121">
        <v>2.8912656424581007</v>
      </c>
      <c r="J180" s="134">
        <v>5.3683474143033962E-2</v>
      </c>
    </row>
    <row r="181" spans="1:10" ht="15.75" customHeight="1" x14ac:dyDescent="0.3">
      <c r="B181" s="117" t="s">
        <v>189</v>
      </c>
      <c r="C181" s="127">
        <v>7.6659038901601834E-2</v>
      </c>
      <c r="D181" s="127">
        <v>4.2191435768261967E-2</v>
      </c>
      <c r="G181" s="119" t="s">
        <v>189</v>
      </c>
      <c r="H181" s="121">
        <v>188.36065573770489</v>
      </c>
      <c r="I181" s="121">
        <v>18.262251655629136</v>
      </c>
      <c r="J181" s="134">
        <v>5.3089643167972154E-3</v>
      </c>
    </row>
    <row r="182" spans="1:10" ht="15.75" customHeight="1" x14ac:dyDescent="0.3">
      <c r="B182" s="122" t="s">
        <v>190</v>
      </c>
      <c r="C182" s="128">
        <v>6.6107548100641345E-2</v>
      </c>
      <c r="D182" s="128">
        <v>3.1076066790352505E-2</v>
      </c>
      <c r="G182" s="119" t="s">
        <v>190</v>
      </c>
      <c r="H182" s="121">
        <v>18.891719745222929</v>
      </c>
      <c r="I182" s="121">
        <v>3.7801960784313726</v>
      </c>
      <c r="J182" s="134">
        <v>5.2933243425488871E-2</v>
      </c>
    </row>
    <row r="183" spans="1:10" ht="15.75" customHeight="1" x14ac:dyDescent="0.3">
      <c r="B183" s="117" t="s">
        <v>191</v>
      </c>
      <c r="C183" s="106"/>
      <c r="D183" s="106"/>
      <c r="G183" s="119" t="s">
        <v>191</v>
      </c>
      <c r="H183" s="124"/>
      <c r="I183" s="124"/>
      <c r="J183" s="124"/>
    </row>
    <row r="184" spans="1:10" ht="15.75" customHeight="1" x14ac:dyDescent="0.3">
      <c r="B184" s="122" t="s">
        <v>192</v>
      </c>
      <c r="C184" s="136"/>
      <c r="D184" s="136"/>
      <c r="G184" s="119" t="s">
        <v>192</v>
      </c>
      <c r="H184" s="124"/>
      <c r="I184" s="124"/>
      <c r="J184" s="124"/>
    </row>
    <row r="185" spans="1:10" ht="15.75" customHeight="1" x14ac:dyDescent="0.3">
      <c r="B185" s="99"/>
      <c r="C185" s="136"/>
      <c r="D185" s="136"/>
      <c r="G185" s="99"/>
      <c r="H185" s="99"/>
      <c r="I185" s="99"/>
      <c r="J185" s="99"/>
    </row>
    <row r="186" spans="1:10" ht="15.75" customHeight="1" x14ac:dyDescent="0.3">
      <c r="B186" s="132" t="s">
        <v>193</v>
      </c>
      <c r="C186" s="137">
        <v>0.11204090047479355</v>
      </c>
      <c r="D186" s="137">
        <v>3.3843797616246694E-2</v>
      </c>
      <c r="G186" s="138" t="s">
        <v>193</v>
      </c>
      <c r="H186" s="139">
        <v>18.891719745222929</v>
      </c>
      <c r="I186" s="139">
        <v>5.2532401734805294</v>
      </c>
      <c r="J186" s="140">
        <v>5.2933243425488871E-2</v>
      </c>
    </row>
    <row r="187" spans="1:10" ht="15.75" customHeight="1" x14ac:dyDescent="0.3"/>
    <row r="188" spans="1:10" ht="15.75" customHeight="1" x14ac:dyDescent="0.3"/>
    <row r="189" spans="1:10" ht="15.75" customHeight="1" x14ac:dyDescent="0.3"/>
    <row r="190" spans="1:10" ht="15.75" customHeight="1" x14ac:dyDescent="0.3"/>
    <row r="191" spans="1:10" ht="15.75" customHeight="1" x14ac:dyDescent="0.3"/>
    <row r="192" spans="1:10" ht="15.75" customHeight="1" x14ac:dyDescent="0.3"/>
    <row r="193" spans="2:15" ht="15.75" customHeight="1" x14ac:dyDescent="0.3"/>
    <row r="194" spans="2:15" ht="15.75" customHeight="1" x14ac:dyDescent="0.3"/>
    <row r="195" spans="2:15" ht="15.75" customHeight="1" x14ac:dyDescent="0.3"/>
    <row r="196" spans="2:15" ht="15.75" customHeight="1" x14ac:dyDescent="0.3"/>
    <row r="197" spans="2:15" ht="15.75" customHeight="1" x14ac:dyDescent="0.3"/>
    <row r="198" spans="2:15" ht="15.75" customHeight="1" x14ac:dyDescent="0.3"/>
    <row r="199" spans="2:15" ht="15.75" customHeight="1" x14ac:dyDescent="0.3"/>
    <row r="200" spans="2:15" ht="15.75" customHeight="1" x14ac:dyDescent="0.3"/>
    <row r="201" spans="2:15" ht="15.75" customHeight="1" x14ac:dyDescent="0.3"/>
    <row r="202" spans="2:15" ht="15.75" customHeight="1" x14ac:dyDescent="0.3"/>
    <row r="203" spans="2:15" ht="15.75" customHeight="1" x14ac:dyDescent="0.3"/>
    <row r="204" spans="2:15" ht="15.75" customHeight="1" x14ac:dyDescent="0.3">
      <c r="B204" s="148" t="s">
        <v>153</v>
      </c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50"/>
    </row>
    <row r="205" spans="2:15" ht="15.75" customHeight="1" x14ac:dyDescent="0.3">
      <c r="B205" s="151"/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  <c r="O205" s="153"/>
    </row>
    <row r="206" spans="2:15" ht="15.75" customHeight="1" x14ac:dyDescent="0.3"/>
    <row r="207" spans="2:15" ht="15.75" customHeight="1" x14ac:dyDescent="0.3"/>
    <row r="208" spans="2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204:O205"/>
  </mergeCells>
  <conditionalFormatting sqref="C69:C75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97:C101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52:C158">
    <cfRule type="colorScale" priority="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178:C186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23:D127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78:D186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69:G75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97:G101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52:G159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4:H19 H32:H38 H50:H54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97:H101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23:H127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97:I101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97:J101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69:K75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97:K101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52:K158">
    <cfRule type="colorScale" priority="1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123:L127">
    <cfRule type="colorScale" priority="1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hyperlinks>
    <hyperlink ref="B204" r:id="rId1" xr:uid="{5AAE93FD-A340-4EB9-964A-1C9103C1397F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Maruti</vt:lpstr>
      <vt:lpstr>  Passenger Cars &amp; Utility Vehi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2024-09-12T09:31:25Z</dcterms:created>
  <dcterms:modified xsi:type="dcterms:W3CDTF">2024-09-12T10:06:04Z</dcterms:modified>
</cp:coreProperties>
</file>