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BDB642ED-1BBD-453F-8184-2574D2812B56}" xr6:coauthVersionLast="47" xr6:coauthVersionMax="47" xr10:uidLastSave="{00000000-0000-0000-0000-000000000000}"/>
  <bookViews>
    <workbookView xWindow="-108" yWindow="-108" windowWidth="23256" windowHeight="12456" xr2:uid="{3D80512C-6246-46CC-AF60-65191C29A8EF}"/>
  </bookViews>
  <sheets>
    <sheet name="JUBILANTFOOD FAIRVALU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O64" i="1"/>
  <c r="Q64" i="1" s="1"/>
  <c r="N64" i="1"/>
  <c r="M64" i="1"/>
  <c r="H64" i="1"/>
  <c r="O63" i="1"/>
  <c r="Q63" i="1" s="1"/>
  <c r="N63" i="1"/>
  <c r="M63" i="1"/>
  <c r="H63" i="1"/>
  <c r="O62" i="1"/>
  <c r="Q62" i="1" s="1"/>
  <c r="H62" i="1"/>
  <c r="G62" i="1"/>
  <c r="N62" i="1" s="1"/>
  <c r="O61" i="1"/>
  <c r="Q61" i="1" s="1"/>
  <c r="N61" i="1"/>
  <c r="M61" i="1"/>
  <c r="H61" i="1"/>
  <c r="Q60" i="1"/>
  <c r="P60" i="1"/>
  <c r="O60" i="1"/>
  <c r="N60" i="1"/>
  <c r="M60" i="1"/>
  <c r="H60" i="1"/>
  <c r="D60" i="1"/>
  <c r="O59" i="1"/>
  <c r="Q59" i="1" s="1"/>
  <c r="N59" i="1"/>
  <c r="M59" i="1"/>
  <c r="H59" i="1"/>
  <c r="D59" i="1"/>
  <c r="O58" i="1"/>
  <c r="Q58" i="1" s="1"/>
  <c r="N58" i="1"/>
  <c r="M58" i="1"/>
  <c r="H58" i="1"/>
  <c r="D58" i="1"/>
  <c r="O57" i="1"/>
  <c r="Q57" i="1" s="1"/>
  <c r="N57" i="1"/>
  <c r="M57" i="1"/>
  <c r="H57" i="1"/>
  <c r="O56" i="1"/>
  <c r="Q56" i="1" s="1"/>
  <c r="N56" i="1"/>
  <c r="M56" i="1"/>
  <c r="H56" i="1"/>
  <c r="Q55" i="1"/>
  <c r="O55" i="1"/>
  <c r="P55" i="1" s="1"/>
  <c r="N55" i="1"/>
  <c r="M55" i="1"/>
  <c r="H55" i="1"/>
  <c r="O54" i="1"/>
  <c r="Q54" i="1" s="1"/>
  <c r="N54" i="1"/>
  <c r="M54" i="1"/>
  <c r="H54" i="1"/>
  <c r="O53" i="1"/>
  <c r="Q53" i="1" s="1"/>
  <c r="N53" i="1"/>
  <c r="M53" i="1"/>
  <c r="H53" i="1"/>
  <c r="O52" i="1"/>
  <c r="L52" i="1"/>
  <c r="Q52" i="1" s="1"/>
  <c r="K52" i="1"/>
  <c r="P52" i="1" s="1"/>
  <c r="H52" i="1"/>
  <c r="G52" i="1"/>
  <c r="O51" i="1"/>
  <c r="Q51" i="1" s="1"/>
  <c r="N51" i="1"/>
  <c r="M51" i="1"/>
  <c r="H51" i="1"/>
  <c r="H43" i="1" s="1"/>
  <c r="O50" i="1"/>
  <c r="Q50" i="1" s="1"/>
  <c r="N50" i="1"/>
  <c r="M50" i="1"/>
  <c r="H50" i="1"/>
  <c r="Q49" i="1"/>
  <c r="P49" i="1"/>
  <c r="O49" i="1"/>
  <c r="N49" i="1"/>
  <c r="M49" i="1"/>
  <c r="H49" i="1"/>
  <c r="O48" i="1"/>
  <c r="Q48" i="1" s="1"/>
  <c r="F48" i="1"/>
  <c r="H48" i="1" s="1"/>
  <c r="E48" i="1"/>
  <c r="O45" i="1"/>
  <c r="L45" i="1"/>
  <c r="K45" i="1"/>
  <c r="J45" i="1"/>
  <c r="I45" i="1"/>
  <c r="G45" i="1"/>
  <c r="F45" i="1"/>
  <c r="E45" i="1"/>
  <c r="D45" i="1"/>
  <c r="O44" i="1"/>
  <c r="L44" i="1"/>
  <c r="K44" i="1"/>
  <c r="J44" i="1"/>
  <c r="I44" i="1"/>
  <c r="G44" i="1"/>
  <c r="F44" i="1"/>
  <c r="E44" i="1"/>
  <c r="D44" i="1"/>
  <c r="O43" i="1"/>
  <c r="L43" i="1"/>
  <c r="K43" i="1"/>
  <c r="J43" i="1"/>
  <c r="I43" i="1"/>
  <c r="G43" i="1"/>
  <c r="F43" i="1"/>
  <c r="E43" i="1"/>
  <c r="D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Q39" i="1"/>
  <c r="O37" i="1"/>
  <c r="G48" i="1" s="1"/>
  <c r="D34" i="1"/>
  <c r="C34" i="1"/>
  <c r="E34" i="1" s="1"/>
  <c r="AD33" i="1"/>
  <c r="AC33" i="1"/>
  <c r="AE33" i="1" s="1"/>
  <c r="AB33" i="1"/>
  <c r="E33" i="1"/>
  <c r="D33" i="1"/>
  <c r="C33" i="1"/>
  <c r="N32" i="1"/>
  <c r="O32" i="1" s="1"/>
  <c r="M32" i="1"/>
  <c r="J32" i="1"/>
  <c r="I32" i="1"/>
  <c r="H32" i="1"/>
  <c r="D32" i="1"/>
  <c r="AE31" i="1"/>
  <c r="AD31" i="1"/>
  <c r="Y31" i="1"/>
  <c r="X31" i="1"/>
  <c r="R31" i="1"/>
  <c r="T31" i="1" s="1"/>
  <c r="N31" i="1"/>
  <c r="M31" i="1"/>
  <c r="O31" i="1" s="1"/>
  <c r="I31" i="1"/>
  <c r="H31" i="1"/>
  <c r="J31" i="1" s="1"/>
  <c r="E31" i="1"/>
  <c r="AE30" i="1"/>
  <c r="AD30" i="1"/>
  <c r="O30" i="1"/>
  <c r="J30" i="1"/>
  <c r="E30" i="1"/>
  <c r="AE29" i="1"/>
  <c r="AD29" i="1"/>
  <c r="T29" i="1"/>
  <c r="S29" i="1"/>
  <c r="O29" i="1"/>
  <c r="J29" i="1"/>
  <c r="E29" i="1"/>
  <c r="D29" i="1"/>
  <c r="C29" i="1"/>
  <c r="C32" i="1" s="1"/>
  <c r="E32" i="1" s="1"/>
  <c r="AE28" i="1"/>
  <c r="AD28" i="1"/>
  <c r="Y28" i="1"/>
  <c r="T28" i="1"/>
  <c r="S28" i="1"/>
  <c r="O28" i="1"/>
  <c r="J28" i="1"/>
  <c r="E28" i="1"/>
  <c r="AE27" i="1"/>
  <c r="AD27" i="1"/>
  <c r="Y27" i="1"/>
  <c r="T27" i="1"/>
  <c r="S27" i="1"/>
  <c r="O27" i="1"/>
  <c r="J27" i="1"/>
  <c r="E27" i="1"/>
  <c r="AE26" i="1"/>
  <c r="AD26" i="1"/>
  <c r="Y26" i="1"/>
  <c r="T26" i="1"/>
  <c r="S26" i="1"/>
  <c r="O26" i="1"/>
  <c r="J26" i="1"/>
  <c r="E26" i="1"/>
  <c r="AE25" i="1"/>
  <c r="AD25" i="1"/>
  <c r="Y25" i="1"/>
  <c r="T25" i="1"/>
  <c r="S25" i="1"/>
  <c r="S31" i="1" s="1"/>
  <c r="U31" i="1" s="1"/>
  <c r="O25" i="1"/>
  <c r="J25" i="1"/>
  <c r="E25" i="1"/>
  <c r="D25" i="1"/>
  <c r="D17" i="1"/>
  <c r="E17" i="1" s="1"/>
  <c r="E21" i="1" s="1"/>
  <c r="F17" i="1" s="1"/>
  <c r="D16" i="1"/>
  <c r="E16" i="1" s="1"/>
  <c r="D12" i="1"/>
  <c r="S9" i="1"/>
  <c r="R9" i="1"/>
  <c r="Q9" i="1"/>
  <c r="N9" i="1"/>
  <c r="H9" i="1"/>
  <c r="G9" i="1"/>
  <c r="F9" i="1"/>
  <c r="D9" i="1"/>
  <c r="C9" i="1"/>
  <c r="B9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G5" i="1"/>
  <c r="E5" i="1"/>
  <c r="X4" i="1"/>
  <c r="X3" i="1"/>
  <c r="X5" i="1" s="1"/>
  <c r="H3" i="1"/>
  <c r="K9" i="1" s="1"/>
  <c r="F3" i="1"/>
  <c r="E9" i="1" s="1"/>
  <c r="D3" i="1"/>
  <c r="C3" i="1"/>
  <c r="D5" i="1" l="1"/>
  <c r="F16" i="1"/>
  <c r="E15" i="1"/>
  <c r="Q43" i="1"/>
  <c r="Q44" i="1"/>
  <c r="Q45" i="1"/>
  <c r="S37" i="1"/>
  <c r="J17" i="1"/>
  <c r="H17" i="1"/>
  <c r="I17" i="1" s="1"/>
  <c r="G17" i="1"/>
  <c r="M48" i="1"/>
  <c r="I3" i="1"/>
  <c r="N48" i="1"/>
  <c r="P43" i="1"/>
  <c r="F5" i="1"/>
  <c r="O9" i="1"/>
  <c r="D15" i="1"/>
  <c r="H45" i="1"/>
  <c r="P54" i="1"/>
  <c r="P59" i="1"/>
  <c r="P64" i="1"/>
  <c r="S39" i="1"/>
  <c r="T37" i="1" s="1"/>
  <c r="P9" i="1" s="1"/>
  <c r="P48" i="1"/>
  <c r="M52" i="1"/>
  <c r="P58" i="1"/>
  <c r="M62" i="1"/>
  <c r="H5" i="1"/>
  <c r="I9" i="1"/>
  <c r="H44" i="1"/>
  <c r="N52" i="1"/>
  <c r="P53" i="1"/>
  <c r="P57" i="1"/>
  <c r="P63" i="1"/>
  <c r="D4" i="1"/>
  <c r="J9" i="1"/>
  <c r="P51" i="1"/>
  <c r="R37" i="1"/>
  <c r="R39" i="1" s="1"/>
  <c r="P56" i="1"/>
  <c r="P44" i="1" s="1"/>
  <c r="P62" i="1"/>
  <c r="C5" i="1"/>
  <c r="P50" i="1"/>
  <c r="P45" i="1" s="1"/>
  <c r="P61" i="1"/>
  <c r="N45" i="1" l="1"/>
  <c r="N43" i="1"/>
  <c r="N44" i="1"/>
  <c r="M9" i="1"/>
  <c r="I5" i="1"/>
  <c r="M45" i="1"/>
  <c r="M43" i="1"/>
  <c r="M44" i="1"/>
  <c r="G16" i="1"/>
  <c r="K17" i="1"/>
  <c r="M17" i="1"/>
  <c r="F15" i="1"/>
  <c r="J16" i="1"/>
  <c r="H16" i="1"/>
  <c r="I16" i="1" s="1"/>
  <c r="L9" i="1"/>
  <c r="L17" i="1" l="1"/>
  <c r="N17" i="1" s="1"/>
  <c r="F12" i="1" s="1"/>
  <c r="G12" i="1" s="1"/>
  <c r="M16" i="1"/>
  <c r="G15" i="1"/>
  <c r="K16" i="1"/>
  <c r="L16" i="1" s="1"/>
  <c r="N16" i="1" s="1"/>
  <c r="J15" i="1"/>
  <c r="H15" i="1"/>
  <c r="I15" i="1" s="1"/>
  <c r="M15" i="1" l="1"/>
  <c r="K15" i="1"/>
  <c r="L15" i="1" s="1"/>
  <c r="N15" i="1" s="1"/>
</calcChain>
</file>

<file path=xl/sharedStrings.xml><?xml version="1.0" encoding="utf-8"?>
<sst xmlns="http://schemas.openxmlformats.org/spreadsheetml/2006/main" count="243" uniqueCount="165">
  <si>
    <t>MARKET</t>
  </si>
  <si>
    <t>INCOME STAT</t>
  </si>
  <si>
    <t>BALANCE SHEET</t>
  </si>
  <si>
    <t>CASH FLOW</t>
  </si>
  <si>
    <t>Company</t>
  </si>
  <si>
    <t>Price</t>
  </si>
  <si>
    <t>Marketcap in Cr</t>
  </si>
  <si>
    <t>RESTAURANT</t>
  </si>
  <si>
    <t>Sales in Cr</t>
  </si>
  <si>
    <t>ADS</t>
  </si>
  <si>
    <t>Profit</t>
  </si>
  <si>
    <t>Trail_EPS</t>
  </si>
  <si>
    <t>FV</t>
  </si>
  <si>
    <t>Equity</t>
  </si>
  <si>
    <t>Reserves Cr</t>
  </si>
  <si>
    <t>Debt</t>
  </si>
  <si>
    <t>Lease Cr</t>
  </si>
  <si>
    <t>CUR.ASSETS</t>
  </si>
  <si>
    <t>CUR.LIABILITIES</t>
  </si>
  <si>
    <t>ASSETS</t>
  </si>
  <si>
    <t>LIABILITIES</t>
  </si>
  <si>
    <t>TRADE REC</t>
  </si>
  <si>
    <t>PPE</t>
  </si>
  <si>
    <t>CFO</t>
  </si>
  <si>
    <t>CFI</t>
  </si>
  <si>
    <t>CFF</t>
  </si>
  <si>
    <t>TOTAL</t>
  </si>
  <si>
    <t>JUBLFOOD</t>
  </si>
  <si>
    <t>PREVIOUS YEAR_22</t>
  </si>
  <si>
    <t>GROWTH</t>
  </si>
  <si>
    <t>LIQUIDITY</t>
  </si>
  <si>
    <t>SOLVENCY</t>
  </si>
  <si>
    <t>PROFITABILITY</t>
  </si>
  <si>
    <t>VALUATIONS</t>
  </si>
  <si>
    <t>CASHFLOW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</si>
  <si>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</si>
  <si>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</si>
  <si>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</si>
  <si>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</si>
  <si>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</si>
  <si>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</si>
  <si>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</si>
  <si>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</si>
  <si>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ROPE</t>
  </si>
  <si>
    <t>ROA</t>
  </si>
  <si>
    <t>TRAIL_PE</t>
  </si>
  <si>
    <t>YIELD</t>
  </si>
  <si>
    <t>BOOKVALUE</t>
  </si>
  <si>
    <t>PBV</t>
  </si>
  <si>
    <t>PEG</t>
  </si>
  <si>
    <t>OCFR</t>
  </si>
  <si>
    <t>CFD</t>
  </si>
  <si>
    <t>FCF (INC R)</t>
  </si>
  <si>
    <t>STR. WEIGHTAGE</t>
  </si>
  <si>
    <t>FACTOR</t>
  </si>
  <si>
    <t>TECH. WEIGHT</t>
  </si>
  <si>
    <t>Estimate</t>
  </si>
  <si>
    <t>Year</t>
  </si>
  <si>
    <t>Sales</t>
  </si>
  <si>
    <t>EPS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</si>
  <si>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</si>
  <si>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</si>
  <si>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</si>
  <si>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</si>
  <si>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</si>
  <si>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</si>
  <si>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</si>
  <si>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FY_2030</t>
  </si>
  <si>
    <t>FY_2026</t>
  </si>
  <si>
    <t>EST_GR</t>
  </si>
  <si>
    <t>PROFIT</t>
  </si>
  <si>
    <t>MARGIN</t>
  </si>
  <si>
    <t>LongTerm</t>
  </si>
  <si>
    <t>LFL GR</t>
  </si>
  <si>
    <t>RESULTS</t>
  </si>
  <si>
    <t>Q1_FY_26</t>
  </si>
  <si>
    <t>Q1_FY_25</t>
  </si>
  <si>
    <t>Growth</t>
  </si>
  <si>
    <t>Q4_FY_25</t>
  </si>
  <si>
    <t>Q4_FY_24</t>
  </si>
  <si>
    <t>FY_25</t>
  </si>
  <si>
    <t>FY_24</t>
  </si>
  <si>
    <t>BRANDS</t>
  </si>
  <si>
    <t>SHARE</t>
  </si>
  <si>
    <t>COUNTRY</t>
  </si>
  <si>
    <t>MAJORCOST</t>
  </si>
  <si>
    <t xml:space="preserve">Domino’s </t>
  </si>
  <si>
    <t>INDIA</t>
  </si>
  <si>
    <t>OTHER COST</t>
  </si>
  <si>
    <t>Popeyes</t>
  </si>
  <si>
    <t>TURKEY &amp; OTH</t>
  </si>
  <si>
    <t>RAWMATERIAL</t>
  </si>
  <si>
    <t>Finance cost</t>
  </si>
  <si>
    <t>Dunkin’</t>
  </si>
  <si>
    <t>Srilanka</t>
  </si>
  <si>
    <t>EMPLOYEE</t>
  </si>
  <si>
    <t>Expenses</t>
  </si>
  <si>
    <t>Hong’s Kitchen</t>
  </si>
  <si>
    <t>Bangladesh</t>
  </si>
  <si>
    <t>D&amp;A</t>
  </si>
  <si>
    <t>EBITDA</t>
  </si>
  <si>
    <t>COFFY</t>
  </si>
  <si>
    <t>FINANCE</t>
  </si>
  <si>
    <t>GOODS</t>
  </si>
  <si>
    <t>Margin</t>
  </si>
  <si>
    <t>ALL BRANDS</t>
  </si>
  <si>
    <t>INVENTORY</t>
  </si>
  <si>
    <t>EBITDA %</t>
  </si>
  <si>
    <t>I.C.R</t>
  </si>
  <si>
    <t>Due to 170 Cr exceptional item</t>
  </si>
  <si>
    <t>Trend 4 Quarter</t>
  </si>
  <si>
    <t>TREND</t>
  </si>
  <si>
    <t>H1_FY_25</t>
  </si>
  <si>
    <t>9M_FY_25</t>
  </si>
  <si>
    <t>Q1_FY26</t>
  </si>
  <si>
    <t>EST_FY_26</t>
  </si>
  <si>
    <t>TRAIL-EPS</t>
  </si>
  <si>
    <t>Q2_FY25</t>
  </si>
  <si>
    <t>Q3_FY25</t>
  </si>
  <si>
    <t>Q4_FY25</t>
  </si>
  <si>
    <t>EPS_25</t>
  </si>
  <si>
    <t>EST_F_26</t>
  </si>
  <si>
    <t>SALES</t>
  </si>
  <si>
    <t>PE</t>
  </si>
  <si>
    <t>TRAILPE</t>
  </si>
  <si>
    <t>FPE</t>
  </si>
  <si>
    <t>Net Profit</t>
  </si>
  <si>
    <t>NPM%</t>
  </si>
  <si>
    <t>Researve</t>
  </si>
  <si>
    <t>LOW PRICE</t>
  </si>
  <si>
    <t>HIGH PRICE</t>
  </si>
  <si>
    <t>LOW PE</t>
  </si>
  <si>
    <t>HIGH PE</t>
  </si>
  <si>
    <t>LBV</t>
  </si>
  <si>
    <t>HBV</t>
  </si>
  <si>
    <t>Last Year</t>
  </si>
  <si>
    <t>5 YEAR</t>
  </si>
  <si>
    <t>10 YEAR</t>
  </si>
  <si>
    <t>15 YEAR</t>
  </si>
  <si>
    <t>History</t>
  </si>
  <si>
    <t>Tr FY_26</t>
  </si>
  <si>
    <t>FY_2025</t>
  </si>
  <si>
    <t>FY_2024</t>
  </si>
  <si>
    <t>SPLIT 10:2</t>
  </si>
  <si>
    <t>FY_2023</t>
  </si>
  <si>
    <t>FY_2022</t>
  </si>
  <si>
    <t>FY_2021</t>
  </si>
  <si>
    <t>FY_2020</t>
  </si>
  <si>
    <t>Bonus</t>
  </si>
  <si>
    <t>FY_2019</t>
  </si>
  <si>
    <t>FY_2018</t>
  </si>
  <si>
    <t>FY_2017</t>
  </si>
  <si>
    <t>FY_2016</t>
  </si>
  <si>
    <t>FY_2015</t>
  </si>
  <si>
    <t>FY_2014</t>
  </si>
  <si>
    <t>FY_2013</t>
  </si>
  <si>
    <t>FY_2012</t>
  </si>
  <si>
    <t>FY_2011</t>
  </si>
  <si>
    <t>IPO</t>
  </si>
  <si>
    <t>FY_2010</t>
  </si>
  <si>
    <t>FY_2009</t>
  </si>
  <si>
    <t>FY_2008</t>
  </si>
  <si>
    <t>FY_2007</t>
  </si>
  <si>
    <t>FY_2006</t>
  </si>
  <si>
    <t>FY_2005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</si>
</sst>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26" x14ac:knownFonts="1">
    <font>
      <sz val="11"/>
      <color theme="1"/>
      <name val="Arial"/>
      <scheme val="minor"/>
    </font>
    <font>
      <sz val="11"/>
      <color theme="1"/>
      <name val="Arial"/>
      <scheme val="minor"/>
    </font>
    <font>
      <b/>
      <sz val="11"/>
      <color rgb="FFFFFFFF"/>
      <name val="Arial"/>
      <scheme val="minor"/>
    </font>
    <font>
      <b/>
      <sz val="11"/>
      <color theme="0"/>
      <name val="Arial"/>
      <scheme val="minor"/>
    </font>
    <font>
      <sz val="11"/>
      <color theme="1"/>
      <name val="Calibri"/>
    </font>
    <font>
      <sz val="11"/>
      <color rgb="FF000000"/>
      <name val="Arial"/>
    </font>
    <font>
      <i/>
      <sz val="11"/>
      <color theme="1"/>
      <name val="Arial"/>
    </font>
    <font>
      <b/>
      <sz val="11"/>
      <color rgb="FFFFFFFF"/>
      <name val="Calibri"/>
    </font>
    <font>
      <sz val="11"/>
      <color theme="1"/>
      <name val="Arial"/>
    </font>
    <font>
      <i/>
      <sz val="11"/>
      <color theme="1"/>
      <name val="Calibri"/>
    </font>
    <font>
      <b/>
      <sz val="11"/>
      <color rgb="FF000000"/>
      <name val="Calibri"/>
    </font>
    <font>
      <b/>
      <i/>
      <sz val="11"/>
      <color theme="1"/>
      <name val="Arial"/>
      <scheme val="minor"/>
    </font>
    <font>
      <b/>
      <i/>
      <sz val="11"/>
      <color theme="1"/>
      <name val="Calibri"/>
    </font>
    <font>
      <b/>
      <sz val="10"/>
      <color rgb="FFFFFFFF"/>
      <name val="Arial"/>
      <scheme val="minor"/>
    </font>
    <font>
      <b/>
      <sz val="8"/>
      <color theme="0"/>
      <name val="Arial"/>
      <scheme val="minor"/>
    </font>
    <font>
      <b/>
      <sz val="9"/>
      <color rgb="FFFFFFFF"/>
      <name val="Arial"/>
      <scheme val="minor"/>
    </font>
    <font>
      <sz val="22"/>
      <color theme="1"/>
      <name val="Arial"/>
      <scheme val="minor"/>
    </font>
    <font>
      <b/>
      <sz val="10"/>
      <color rgb="FFFFFFFF"/>
      <name val="Source Code Pro"/>
    </font>
    <font>
      <b/>
      <sz val="10"/>
      <color theme="0"/>
      <name val="Source Code Pro"/>
    </font>
    <font>
      <sz val="11"/>
      <color rgb="FF000000"/>
      <name val="Arial"/>
      <scheme val="minor"/>
    </font>
    <font>
      <sz val="9"/>
      <color rgb="FF000000"/>
      <name val="Arial"/>
    </font>
    <font>
      <sz val="12"/>
      <color theme="1"/>
      <name val="Source Code Pro"/>
    </font>
    <font>
      <sz val="12"/>
      <color rgb="FF000000"/>
      <name val="Source Code Pro"/>
    </font>
    <font>
      <sz val="11"/>
      <color rgb="FFFFFFFF"/>
      <name val="Arial"/>
      <scheme val="minor"/>
    </font>
    <font>
      <sz val="11"/>
      <color theme="0"/>
      <name val="Arial"/>
      <scheme val="minor"/>
    </font>
    <font>
      <b/>
      <sz val="11"/>
      <color theme="1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rgb="FF84CEAA"/>
        <bgColor rgb="FF84CEAA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1" fontId="0" fillId="3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4" borderId="1" xfId="0" applyFont="1" applyFill="1" applyBorder="1"/>
    <xf numFmtId="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5" xfId="0" applyFont="1" applyBorder="1"/>
    <xf numFmtId="0" fontId="5" fillId="5" borderId="1" xfId="0" applyFont="1" applyFill="1" applyBorder="1"/>
    <xf numFmtId="3" fontId="5" fillId="5" borderId="1" xfId="0" applyNumberFormat="1" applyFont="1" applyFill="1" applyBorder="1"/>
    <xf numFmtId="9" fontId="5" fillId="5" borderId="1" xfId="0" applyNumberFormat="1" applyFont="1" applyFill="1" applyBorder="1" applyAlignment="1">
      <alignment horizontal="right"/>
    </xf>
    <xf numFmtId="166" fontId="5" fillId="5" borderId="1" xfId="0" applyNumberFormat="1" applyFont="1" applyFill="1" applyBorder="1" applyAlignment="1">
      <alignment horizontal="right"/>
    </xf>
    <xf numFmtId="1" fontId="5" fillId="5" borderId="1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165" fontId="5" fillId="5" borderId="1" xfId="0" applyNumberFormat="1" applyFont="1" applyFill="1" applyBorder="1" applyAlignment="1">
      <alignment horizontal="right"/>
    </xf>
    <xf numFmtId="164" fontId="6" fillId="5" borderId="3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0" fontId="7" fillId="6" borderId="4" xfId="0" applyFont="1" applyFill="1" applyBorder="1"/>
    <xf numFmtId="4" fontId="1" fillId="0" borderId="0" xfId="0" applyNumberFormat="1" applyFont="1"/>
    <xf numFmtId="10" fontId="1" fillId="0" borderId="0" xfId="0" applyNumberFormat="1" applyFont="1"/>
    <xf numFmtId="1" fontId="4" fillId="0" borderId="1" xfId="0" applyNumberFormat="1" applyFont="1" applyBorder="1" applyAlignment="1">
      <alignment horizontal="right"/>
    </xf>
    <xf numFmtId="10" fontId="8" fillId="7" borderId="1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9" fontId="1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3" fontId="9" fillId="8" borderId="1" xfId="0" applyNumberFormat="1" applyFont="1" applyFill="1" applyBorder="1" applyAlignment="1">
      <alignment horizontal="right"/>
    </xf>
    <xf numFmtId="1" fontId="8" fillId="8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 applyAlignment="1">
      <alignment horizontal="right"/>
    </xf>
    <xf numFmtId="0" fontId="1" fillId="0" borderId="0" xfId="0" applyFont="1"/>
    <xf numFmtId="165" fontId="1" fillId="0" borderId="0" xfId="0" applyNumberFormat="1" applyFont="1"/>
    <xf numFmtId="9" fontId="1" fillId="0" borderId="1" xfId="0" applyNumberFormat="1" applyFont="1" applyBorder="1"/>
    <xf numFmtId="165" fontId="1" fillId="0" borderId="1" xfId="0" applyNumberFormat="1" applyFont="1" applyBorder="1"/>
    <xf numFmtId="10" fontId="1" fillId="0" borderId="1" xfId="0" applyNumberFormat="1" applyFont="1" applyBorder="1"/>
    <xf numFmtId="4" fontId="2" fillId="2" borderId="1" xfId="0" applyNumberFormat="1" applyFont="1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left" wrapText="1"/>
    </xf>
    <xf numFmtId="9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1" fillId="5" borderId="6" xfId="0" applyFont="1" applyFill="1" applyBorder="1"/>
    <xf numFmtId="1" fontId="11" fillId="5" borderId="6" xfId="0" applyNumberFormat="1" applyFont="1" applyFill="1" applyBorder="1"/>
    <xf numFmtId="9" fontId="12" fillId="5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9" fontId="11" fillId="5" borderId="1" xfId="0" applyNumberFormat="1" applyFont="1" applyFill="1" applyBorder="1"/>
    <xf numFmtId="1" fontId="1" fillId="0" borderId="1" xfId="0" applyNumberFormat="1" applyFont="1" applyBorder="1"/>
    <xf numFmtId="166" fontId="1" fillId="0" borderId="1" xfId="0" applyNumberFormat="1" applyFont="1" applyBorder="1"/>
    <xf numFmtId="0" fontId="11" fillId="0" borderId="1" xfId="0" applyFont="1" applyBorder="1"/>
    <xf numFmtId="9" fontId="12" fillId="0" borderId="1" xfId="0" applyNumberFormat="1" applyFont="1" applyBorder="1" applyAlignment="1">
      <alignment horizontal="right"/>
    </xf>
    <xf numFmtId="4" fontId="13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" fontId="14" fillId="2" borderId="1" xfId="0" applyNumberFormat="1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6" fillId="9" borderId="0" xfId="0" applyNumberFormat="1" applyFont="1" applyFill="1" applyAlignment="1">
      <alignment horizontal="center" vertical="center"/>
    </xf>
    <xf numFmtId="0" fontId="0" fillId="0" borderId="0" xfId="0"/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4" fontId="18" fillId="2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left"/>
    </xf>
    <xf numFmtId="164" fontId="1" fillId="0" borderId="1" xfId="0" applyNumberFormat="1" applyFont="1" applyBorder="1"/>
    <xf numFmtId="0" fontId="20" fillId="3" borderId="1" xfId="0" applyFont="1" applyFill="1" applyBorder="1" applyAlignment="1">
      <alignment horizontal="left" wrapText="1"/>
    </xf>
    <xf numFmtId="3" fontId="1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" fontId="22" fillId="3" borderId="1" xfId="0" applyNumberFormat="1" applyFont="1" applyFill="1" applyBorder="1" applyAlignment="1">
      <alignment horizontal="right" wrapText="1"/>
    </xf>
    <xf numFmtId="1" fontId="22" fillId="10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Border="1"/>
    <xf numFmtId="165" fontId="22" fillId="3" borderId="1" xfId="0" applyNumberFormat="1" applyFont="1" applyFill="1" applyBorder="1" applyAlignment="1">
      <alignment horizontal="right" wrapText="1"/>
    </xf>
    <xf numFmtId="1" fontId="21" fillId="0" borderId="1" xfId="0" applyNumberFormat="1" applyFont="1" applyBorder="1" applyAlignment="1">
      <alignment horizontal="right"/>
    </xf>
    <xf numFmtId="3" fontId="21" fillId="0" borderId="1" xfId="0" applyNumberFormat="1" applyFont="1" applyBorder="1"/>
    <xf numFmtId="0" fontId="23" fillId="11" borderId="1" xfId="0" applyFont="1" applyFill="1" applyBorder="1" applyAlignment="1">
      <alignment horizontal="center"/>
    </xf>
    <xf numFmtId="0" fontId="21" fillId="10" borderId="1" xfId="0" applyFont="1" applyFill="1" applyBorder="1"/>
    <xf numFmtId="164" fontId="22" fillId="3" borderId="1" xfId="0" applyNumberFormat="1" applyFont="1" applyFill="1" applyBorder="1" applyAlignment="1">
      <alignment horizontal="right" wrapText="1"/>
    </xf>
    <xf numFmtId="0" fontId="22" fillId="0" borderId="1" xfId="0" applyFont="1" applyBorder="1" applyAlignment="1">
      <alignment horizontal="right"/>
    </xf>
    <xf numFmtId="0" fontId="24" fillId="11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right"/>
    </xf>
    <xf numFmtId="0" fontId="22" fillId="3" borderId="1" xfId="0" applyFont="1" applyFill="1" applyBorder="1" applyAlignment="1">
      <alignment horizontal="right" wrapText="1"/>
    </xf>
    <xf numFmtId="4" fontId="22" fillId="3" borderId="1" xfId="0" applyNumberFormat="1" applyFont="1" applyFill="1" applyBorder="1" applyAlignment="1">
      <alignment horizontal="right" wrapText="1"/>
    </xf>
    <xf numFmtId="3" fontId="22" fillId="10" borderId="1" xfId="0" applyNumberFormat="1" applyFont="1" applyFill="1" applyBorder="1" applyAlignment="1">
      <alignment horizontal="right" wrapText="1"/>
    </xf>
    <xf numFmtId="3" fontId="22" fillId="3" borderId="1" xfId="0" applyNumberFormat="1" applyFont="1" applyFill="1" applyBorder="1" applyAlignment="1">
      <alignment horizontal="right" wrapText="1"/>
    </xf>
    <xf numFmtId="0" fontId="22" fillId="10" borderId="1" xfId="0" applyFont="1" applyFill="1" applyBorder="1" applyAlignment="1">
      <alignment horizontal="right" wrapText="1"/>
    </xf>
    <xf numFmtId="0" fontId="21" fillId="10" borderId="1" xfId="0" applyFont="1" applyFill="1" applyBorder="1" applyAlignment="1">
      <alignment horizontal="right"/>
    </xf>
    <xf numFmtId="0" fontId="21" fillId="0" borderId="0" xfId="0" applyFont="1"/>
    <xf numFmtId="0" fontId="25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69</xdr:row>
      <xdr:rowOff>161925</xdr:rowOff>
    </xdr:from>
    <xdr:ext cx="11706225" cy="47529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654D8EE2-9F43-4C5F-96F9-4F791557F5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6720" y="13283565"/>
          <a:ext cx="11706225" cy="475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EA06-B89F-4565-AD02-140D7F991A6B}">
  <sheetPr>
    <outlinePr summaryBelow="0" summaryRight="0"/>
  </sheetPr>
  <dimension ref="B1:AI111"/>
  <sheetViews>
    <sheetView showGridLines="0" tabSelected="1" workbookViewId="0"/>
  </sheetViews>
  <sheetFormatPr defaultColWidth="12.59765625" defaultRowHeight="15" customHeight="1" x14ac:dyDescent="0.25"/>
  <cols>
    <col min="1" max="1" width="4.59765625" customWidth="1"/>
    <col min="2" max="2" width="15.69921875" customWidth="1"/>
    <col min="3" max="4" width="11" customWidth="1"/>
    <col min="5" max="5" width="14" customWidth="1"/>
    <col min="6" max="6" width="13.69921875" customWidth="1"/>
    <col min="7" max="7" width="13" customWidth="1"/>
    <col min="8" max="8" width="10.3984375" customWidth="1"/>
    <col min="9" max="10" width="11" customWidth="1"/>
    <col min="11" max="11" width="11.8984375" customWidth="1"/>
    <col min="12" max="12" width="11.69921875" customWidth="1"/>
    <col min="13" max="13" width="11.8984375" customWidth="1"/>
    <col min="14" max="14" width="12.09765625" customWidth="1"/>
    <col min="15" max="15" width="13.8984375" customWidth="1"/>
    <col min="16" max="16" width="10.8984375" customWidth="1"/>
    <col min="17" max="17" width="12.09765625" customWidth="1"/>
    <col min="18" max="18" width="13.19921875" customWidth="1"/>
    <col min="19" max="19" width="11.19921875" customWidth="1"/>
    <col min="20" max="20" width="11.3984375" customWidth="1"/>
    <col min="21" max="21" width="8.5" customWidth="1"/>
    <col min="22" max="22" width="14.8984375" customWidth="1"/>
    <col min="23" max="23" width="12.09765625" customWidth="1"/>
    <col min="24" max="24" width="13.69921875" customWidth="1"/>
    <col min="25" max="25" width="11.19921875" customWidth="1"/>
    <col min="26" max="26" width="10" customWidth="1"/>
    <col min="27" max="27" width="13.5" customWidth="1"/>
    <col min="28" max="28" width="14" customWidth="1"/>
    <col min="29" max="29" width="11.09765625" customWidth="1"/>
    <col min="30" max="30" width="13.5" customWidth="1"/>
  </cols>
  <sheetData>
    <row r="1" spans="2:25" ht="27.6" x14ac:dyDescent="0.25">
      <c r="B1" s="1" t="s">
        <v>0</v>
      </c>
      <c r="F1" s="1" t="s">
        <v>1</v>
      </c>
      <c r="K1" s="1" t="s">
        <v>2</v>
      </c>
      <c r="T1" s="1" t="s">
        <v>3</v>
      </c>
    </row>
    <row r="2" spans="2:25" ht="27.6" x14ac:dyDescent="0.25">
      <c r="B2" s="2" t="s">
        <v>4</v>
      </c>
      <c r="C2" s="2" t="s">
        <v>5</v>
      </c>
      <c r="D2" s="2" t="s">
        <v>6</v>
      </c>
      <c r="E2" s="1" t="s">
        <v>7</v>
      </c>
      <c r="F2" s="2" t="s">
        <v>8</v>
      </c>
      <c r="G2" s="1" t="s">
        <v>9</v>
      </c>
      <c r="H2" s="1" t="s">
        <v>10</v>
      </c>
      <c r="I2" s="1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3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  <c r="X2" s="1" t="s">
        <v>26</v>
      </c>
    </row>
    <row r="3" spans="2:25" ht="15" customHeight="1" x14ac:dyDescent="0.3">
      <c r="B3" s="4" t="s">
        <v>27</v>
      </c>
      <c r="C3" s="5">
        <f ca="1">IFERROR(__xludf.DUMMYFUNCTION("GOOGLEFINANCE(""nse:""&amp;B3,""price"")"),632)</f>
        <v>632</v>
      </c>
      <c r="D3" s="5">
        <f ca="1">IFERROR(__xludf.DUMMYFUNCTION("GOOGLEFINANCE(""nse:""&amp;B3,""MARKETCAP"")/10000000"),41793.81002)</f>
        <v>41793.810019999997</v>
      </c>
      <c r="E3" s="6">
        <v>3387</v>
      </c>
      <c r="F3" s="7">
        <f>E48</f>
        <v>8469</v>
      </c>
      <c r="G3" s="8">
        <v>85396</v>
      </c>
      <c r="H3" s="7">
        <f t="shared" ref="H3:I3" si="0">F48</f>
        <v>253</v>
      </c>
      <c r="I3" s="9">
        <f t="shared" si="0"/>
        <v>3.96</v>
      </c>
      <c r="J3" s="10">
        <v>2</v>
      </c>
      <c r="K3" s="11">
        <v>132</v>
      </c>
      <c r="L3" s="10">
        <v>1970</v>
      </c>
      <c r="M3" s="11">
        <v>1502</v>
      </c>
      <c r="N3" s="11">
        <v>2870</v>
      </c>
      <c r="O3" s="11">
        <v>1158</v>
      </c>
      <c r="P3" s="6">
        <v>2097</v>
      </c>
      <c r="Q3" s="8">
        <v>8528</v>
      </c>
      <c r="R3" s="8">
        <v>6345</v>
      </c>
      <c r="S3" s="6">
        <v>330</v>
      </c>
      <c r="T3" s="8">
        <v>-862</v>
      </c>
      <c r="U3" s="12">
        <v>1668</v>
      </c>
      <c r="V3" s="13">
        <v>-850</v>
      </c>
      <c r="W3" s="13">
        <v>-849</v>
      </c>
      <c r="X3" s="13">
        <f t="shared" ref="X3:X4" si="1">SUM(U3:W3)</f>
        <v>-31</v>
      </c>
    </row>
    <row r="4" spans="2:25" ht="15" customHeight="1" x14ac:dyDescent="0.3">
      <c r="B4" s="8" t="s">
        <v>28</v>
      </c>
      <c r="C4" s="6">
        <v>664</v>
      </c>
      <c r="D4" s="14">
        <f ca="1">C4*D3/C3</f>
        <v>43909.952299493663</v>
      </c>
      <c r="E4" s="6">
        <v>3316</v>
      </c>
      <c r="F4" s="6">
        <v>8141</v>
      </c>
      <c r="G4" s="8">
        <v>76489</v>
      </c>
      <c r="H4" s="6">
        <v>217</v>
      </c>
      <c r="I4" s="6">
        <v>3.41</v>
      </c>
      <c r="J4" s="8">
        <v>2</v>
      </c>
      <c r="K4" s="6">
        <v>132</v>
      </c>
      <c r="L4" s="8">
        <v>2038</v>
      </c>
      <c r="M4" s="6">
        <v>1507</v>
      </c>
      <c r="N4" s="6">
        <v>2700</v>
      </c>
      <c r="O4" s="6">
        <v>1156</v>
      </c>
      <c r="P4" s="6">
        <v>1916</v>
      </c>
      <c r="Q4" s="8">
        <v>8126</v>
      </c>
      <c r="R4" s="8">
        <v>5881</v>
      </c>
      <c r="S4" s="6">
        <v>265</v>
      </c>
      <c r="T4" s="8">
        <v>-841</v>
      </c>
      <c r="U4" s="15">
        <v>1010</v>
      </c>
      <c r="V4" s="16">
        <v>-1374</v>
      </c>
      <c r="W4" s="16">
        <v>377</v>
      </c>
      <c r="X4" s="16">
        <f t="shared" si="1"/>
        <v>13</v>
      </c>
    </row>
    <row r="5" spans="2:25" ht="13.8" x14ac:dyDescent="0.25">
      <c r="B5" s="17" t="s">
        <v>29</v>
      </c>
      <c r="C5" s="18">
        <f t="shared" ref="C5:D5" ca="1" si="2">(C3/C4)-1</f>
        <v>-4.8192771084337394E-2</v>
      </c>
      <c r="D5" s="18">
        <f t="shared" ca="1" si="2"/>
        <v>-4.8192771084337283E-2</v>
      </c>
      <c r="E5" s="19">
        <f>E3-E4</f>
        <v>71</v>
      </c>
      <c r="F5" s="18">
        <f t="shared" ref="F5:X5" si="3">(F3/F4)-1</f>
        <v>4.0289890676820983E-2</v>
      </c>
      <c r="G5" s="20">
        <f t="shared" si="3"/>
        <v>0.11644811672266608</v>
      </c>
      <c r="H5" s="18">
        <f t="shared" si="3"/>
        <v>0.16589861751152069</v>
      </c>
      <c r="I5" s="18">
        <f t="shared" si="3"/>
        <v>0.16129032258064502</v>
      </c>
      <c r="J5" s="18">
        <f t="shared" si="3"/>
        <v>0</v>
      </c>
      <c r="K5" s="18">
        <f t="shared" si="3"/>
        <v>0</v>
      </c>
      <c r="L5" s="18">
        <f t="shared" si="3"/>
        <v>-3.3366045142296352E-2</v>
      </c>
      <c r="M5" s="18">
        <f t="shared" si="3"/>
        <v>-3.3178500331785266E-3</v>
      </c>
      <c r="N5" s="18">
        <f t="shared" si="3"/>
        <v>6.2962962962962887E-2</v>
      </c>
      <c r="O5" s="18">
        <f t="shared" si="3"/>
        <v>1.7301038062282892E-3</v>
      </c>
      <c r="P5" s="18">
        <f t="shared" si="3"/>
        <v>9.4467640918580287E-2</v>
      </c>
      <c r="Q5" s="18">
        <f t="shared" si="3"/>
        <v>4.9470834358848137E-2</v>
      </c>
      <c r="R5" s="18">
        <f t="shared" si="3"/>
        <v>7.8898146573711969E-2</v>
      </c>
      <c r="S5" s="18">
        <f t="shared" si="3"/>
        <v>0.24528301886792447</v>
      </c>
      <c r="T5" s="18">
        <f t="shared" si="3"/>
        <v>2.4970273483947647E-2</v>
      </c>
      <c r="U5" s="18">
        <f t="shared" si="3"/>
        <v>0.6514851485148514</v>
      </c>
      <c r="V5" s="18">
        <f t="shared" si="3"/>
        <v>-0.38136826783114997</v>
      </c>
      <c r="W5" s="18">
        <f t="shared" si="3"/>
        <v>-3.2519893899204244</v>
      </c>
      <c r="X5" s="18">
        <f t="shared" si="3"/>
        <v>-3.3846153846153846</v>
      </c>
    </row>
    <row r="7" spans="2:25" ht="15" customHeight="1" x14ac:dyDescent="0.3">
      <c r="B7" s="2" t="s">
        <v>29</v>
      </c>
      <c r="C7" s="2" t="s">
        <v>30</v>
      </c>
      <c r="D7" s="21"/>
      <c r="E7" s="21"/>
      <c r="F7" s="2" t="s">
        <v>31</v>
      </c>
      <c r="G7" s="21"/>
      <c r="H7" s="21"/>
      <c r="I7" s="2" t="s">
        <v>32</v>
      </c>
      <c r="J7" s="21"/>
      <c r="K7" s="21"/>
      <c r="L7" s="2" t="s">
        <v>33</v>
      </c>
      <c r="M7" s="21"/>
      <c r="N7" s="21"/>
      <c r="O7" s="21"/>
      <c r="Q7" s="2" t="s">
        <v>34</v>
      </c>
      <c r="R7" s="22"/>
      <c r="S7" s="22"/>
    </row>
    <row r="8" spans="2:25" ht="13.8" x14ac:dyDescent="0.25">
      <c r="B8" s="23" t="s">
        <v>35</v>
      </c>
      <c r="C8" s="23" t="s">
        <v>36</v>
      </c>
      <c r="D8" s="24" t="s">
        <v>37</v>
      </c>
      <c r="E8" s="23" t="s">
        <v>38</v>
      </c>
      <c r="F8" s="23" t="s">
        <v>39</v>
      </c>
      <c r="G8" s="23" t="s">
        <v>40</v>
      </c>
      <c r="H8" s="23" t="s">
        <v>41</v>
      </c>
      <c r="I8" s="23" t="s">
        <v>42</v>
      </c>
      <c r="J8" s="23" t="s">
        <v>43</v>
      </c>
      <c r="K8" s="23" t="s">
        <v>44</v>
      </c>
      <c r="L8" s="23" t="s">
        <v>45</v>
      </c>
      <c r="M8" s="23" t="s">
        <v>46</v>
      </c>
      <c r="N8" s="23" t="s">
        <v>47</v>
      </c>
      <c r="O8" s="23" t="s">
        <v>48</v>
      </c>
      <c r="P8" s="23" t="s">
        <v>49</v>
      </c>
      <c r="Q8" s="2" t="s">
        <v>50</v>
      </c>
      <c r="R8" s="2" t="s">
        <v>51</v>
      </c>
      <c r="S8" s="2" t="s">
        <v>52</v>
      </c>
    </row>
    <row r="9" spans="2:25" ht="15" customHeight="1" x14ac:dyDescent="0.3">
      <c r="B9" s="25">
        <f>E26</f>
        <v>0.16968442834971542</v>
      </c>
      <c r="C9" s="25">
        <f>C33</f>
        <v>4.1574524546660767E-2</v>
      </c>
      <c r="D9" s="25">
        <f>O3/P3</f>
        <v>0.55221745350500717</v>
      </c>
      <c r="E9" s="26">
        <f>(S3/F3)*365</f>
        <v>14.222458377612469</v>
      </c>
      <c r="F9" s="25">
        <f>M3/(K3+L3)</f>
        <v>0.71455756422454808</v>
      </c>
      <c r="G9" s="25">
        <f>R3/Q3</f>
        <v>0.7440196998123827</v>
      </c>
      <c r="H9" s="27">
        <f>C34</f>
        <v>1.9639639639639639</v>
      </c>
      <c r="I9" s="25">
        <f>H3/(K3+L3)</f>
        <v>0.1203615604186489</v>
      </c>
      <c r="J9" s="28">
        <f>H3/K3</f>
        <v>1.9166666666666667</v>
      </c>
      <c r="K9" s="25">
        <f>H3/Q3</f>
        <v>2.9666979362101314E-2</v>
      </c>
      <c r="L9" s="28">
        <f ca="1">C3/I3</f>
        <v>159.59595959595958</v>
      </c>
      <c r="M9" s="29">
        <f ca="1">I3/C3</f>
        <v>6.2658227848101265E-3</v>
      </c>
      <c r="N9" s="27">
        <f>(L3+K3)/(K3/J3)</f>
        <v>31.848484848484848</v>
      </c>
      <c r="O9" s="28">
        <f ca="1">C3/N9</f>
        <v>19.843958135109421</v>
      </c>
      <c r="P9" s="28">
        <f ca="1">T37</f>
        <v>1.6508610435387825</v>
      </c>
      <c r="Q9" s="30">
        <f>U3/P3</f>
        <v>0.79542203147353363</v>
      </c>
      <c r="R9" s="31">
        <f>U3/M3</f>
        <v>1.1105193075898803</v>
      </c>
      <c r="S9" s="32">
        <f>U3+T3</f>
        <v>806</v>
      </c>
    </row>
    <row r="11" spans="2:25" ht="15" customHeight="1" x14ac:dyDescent="0.3">
      <c r="C11" s="33" t="s">
        <v>4</v>
      </c>
      <c r="D11" s="33" t="s">
        <v>5</v>
      </c>
      <c r="E11" s="33" t="s">
        <v>53</v>
      </c>
      <c r="F11" s="33" t="s">
        <v>54</v>
      </c>
      <c r="G11" s="33" t="s">
        <v>55</v>
      </c>
      <c r="O11" s="34"/>
      <c r="X11" s="35"/>
    </row>
    <row r="12" spans="2:25" ht="15" customHeight="1" x14ac:dyDescent="0.3">
      <c r="C12" s="4" t="s">
        <v>27</v>
      </c>
      <c r="D12" s="36">
        <f ca="1">IFERROR(__xludf.DUMMYFUNCTION("GOOGLEFINANCE(""NSE:""&amp;C12,""price"")"),632)</f>
        <v>632</v>
      </c>
      <c r="E12" s="37">
        <v>0.02</v>
      </c>
      <c r="F12" s="38">
        <f ca="1">IFERROR(MAX(0.5, MIN(1,0.75 - 0.3*((D12/N17)-1))),"")</f>
        <v>0.73839183095110006</v>
      </c>
      <c r="G12" s="39">
        <f ca="1">E12*F12</f>
        <v>1.4767836619022002E-2</v>
      </c>
      <c r="X12" s="40"/>
      <c r="Y12" s="40"/>
    </row>
    <row r="13" spans="2:25" ht="13.8" x14ac:dyDescent="0.25">
      <c r="X13" s="40"/>
    </row>
    <row r="14" spans="2:25" ht="27.6" x14ac:dyDescent="0.25">
      <c r="B14" s="2" t="s">
        <v>56</v>
      </c>
      <c r="C14" s="2" t="s">
        <v>57</v>
      </c>
      <c r="D14" s="2" t="s">
        <v>58</v>
      </c>
      <c r="E14" s="2" t="s">
        <v>10</v>
      </c>
      <c r="F14" s="2" t="s">
        <v>59</v>
      </c>
      <c r="G14" s="2" t="s">
        <v>60</v>
      </c>
      <c r="H14" s="2" t="s">
        <v>61</v>
      </c>
      <c r="I14" s="2" t="s">
        <v>62</v>
      </c>
      <c r="J14" s="2" t="s">
        <v>63</v>
      </c>
      <c r="K14" s="2" t="s">
        <v>61</v>
      </c>
      <c r="L14" s="2" t="s">
        <v>64</v>
      </c>
      <c r="M14" s="2" t="s">
        <v>63</v>
      </c>
      <c r="N14" s="2" t="s">
        <v>65</v>
      </c>
    </row>
    <row r="15" spans="2:25" ht="15" customHeight="1" x14ac:dyDescent="0.3">
      <c r="B15" s="41"/>
      <c r="C15" s="42" t="s">
        <v>66</v>
      </c>
      <c r="D15" s="43">
        <f t="shared" ref="D15:G15" si="4">FV(12%,5,0,-D16,0)</f>
        <v>31366.729777043045</v>
      </c>
      <c r="E15" s="43">
        <f t="shared" si="4"/>
        <v>1850.6370568455397</v>
      </c>
      <c r="F15" s="44">
        <f t="shared" si="4"/>
        <v>29.081439464715626</v>
      </c>
      <c r="G15" s="45">
        <f t="shared" si="4"/>
        <v>101.35578552024965</v>
      </c>
      <c r="H15" s="46">
        <f t="shared" ref="H15:H17" si="5">55*F15</f>
        <v>1599.4791705593593</v>
      </c>
      <c r="I15" s="46">
        <f t="shared" ref="I15:I17" si="6">AVERAGE(H15,J15)</f>
        <v>2544.6259531626174</v>
      </c>
      <c r="J15" s="46">
        <f t="shared" ref="J15:J17" si="7">120*F15</f>
        <v>3489.772735765875</v>
      </c>
      <c r="K15" s="47">
        <f t="shared" ref="K15:K17" si="8">G15*12</f>
        <v>1216.2694262429959</v>
      </c>
      <c r="L15" s="46">
        <f t="shared" ref="L15:L17" si="9">AVERAGE(K15,M15)</f>
        <v>1773.726246604369</v>
      </c>
      <c r="M15" s="47">
        <f t="shared" ref="M15:M17" si="10">G15*23</f>
        <v>2331.183066965742</v>
      </c>
      <c r="N15" s="46">
        <f t="shared" ref="N15:N17" si="11">I15*60%+L15*40%</f>
        <v>2236.2660705393182</v>
      </c>
      <c r="O15" s="48"/>
      <c r="P15" s="48"/>
      <c r="Q15" s="40"/>
      <c r="R15" s="49"/>
      <c r="S15" s="35"/>
    </row>
    <row r="16" spans="2:25" ht="15" customHeight="1" x14ac:dyDescent="0.3">
      <c r="B16" s="41"/>
      <c r="C16" s="42" t="s">
        <v>67</v>
      </c>
      <c r="D16" s="43">
        <f>FV(D20,4,0,-D17,0)</f>
        <v>17798.324851562495</v>
      </c>
      <c r="E16" s="43">
        <f t="shared" ref="E16:E17" si="12">D16*F20</f>
        <v>1050.1011662421872</v>
      </c>
      <c r="F16" s="44">
        <f>(E16*F17)/E17</f>
        <v>16.50158975523437</v>
      </c>
      <c r="G16" s="45">
        <f>FV(12%,4,0,-G17,0)</f>
        <v>57.511994686643988</v>
      </c>
      <c r="H16" s="46">
        <f t="shared" si="5"/>
        <v>907.58743653789031</v>
      </c>
      <c r="I16" s="46">
        <f t="shared" si="6"/>
        <v>1443.8891035830075</v>
      </c>
      <c r="J16" s="46">
        <f t="shared" si="7"/>
        <v>1980.1907706281245</v>
      </c>
      <c r="K16" s="47">
        <f t="shared" si="8"/>
        <v>690.14393623972785</v>
      </c>
      <c r="L16" s="46">
        <f t="shared" si="9"/>
        <v>1006.4599070162699</v>
      </c>
      <c r="M16" s="47">
        <f t="shared" si="10"/>
        <v>1322.7758777928118</v>
      </c>
      <c r="N16" s="46">
        <f t="shared" si="11"/>
        <v>1268.9174249563125</v>
      </c>
      <c r="O16" s="48"/>
      <c r="P16" s="48"/>
      <c r="Q16" s="49"/>
      <c r="R16" s="49"/>
    </row>
    <row r="17" spans="2:33" ht="15" customHeight="1" x14ac:dyDescent="0.3">
      <c r="B17" s="41"/>
      <c r="C17" s="42" t="s">
        <v>68</v>
      </c>
      <c r="D17" s="43">
        <f>FV(D21,1,0,-E49,0)</f>
        <v>10176.25</v>
      </c>
      <c r="E17" s="43">
        <f t="shared" si="12"/>
        <v>427.40250000000003</v>
      </c>
      <c r="F17" s="44">
        <f>FV(E21,1,0,-G49,0)</f>
        <v>6.7163250000000003</v>
      </c>
      <c r="G17" s="45">
        <f>(F17*70%)+O49</f>
        <v>36.549912348484845</v>
      </c>
      <c r="H17" s="46">
        <f t="shared" si="5"/>
        <v>369.397875</v>
      </c>
      <c r="I17" s="46">
        <f t="shared" si="6"/>
        <v>587.67843749999997</v>
      </c>
      <c r="J17" s="46">
        <f t="shared" si="7"/>
        <v>805.95900000000006</v>
      </c>
      <c r="K17" s="47">
        <f t="shared" si="8"/>
        <v>438.59894818181817</v>
      </c>
      <c r="L17" s="46">
        <f t="shared" si="9"/>
        <v>639.62346609848487</v>
      </c>
      <c r="M17" s="47">
        <f t="shared" si="10"/>
        <v>840.64798401515145</v>
      </c>
      <c r="N17" s="46">
        <f t="shared" si="11"/>
        <v>608.45644893939391</v>
      </c>
      <c r="O17" s="48"/>
      <c r="P17" s="48"/>
      <c r="Q17" s="40"/>
      <c r="R17" s="49"/>
      <c r="U17" s="35"/>
    </row>
    <row r="19" spans="2:33" ht="13.8" x14ac:dyDescent="0.25">
      <c r="B19" s="1" t="s">
        <v>69</v>
      </c>
      <c r="C19" s="2" t="s">
        <v>57</v>
      </c>
      <c r="D19" s="2" t="s">
        <v>58</v>
      </c>
      <c r="E19" s="1" t="s">
        <v>70</v>
      </c>
      <c r="F19" s="1" t="s">
        <v>71</v>
      </c>
    </row>
    <row r="20" spans="2:33" ht="15" customHeight="1" x14ac:dyDescent="0.3">
      <c r="B20" s="41"/>
      <c r="C20" s="42" t="s">
        <v>72</v>
      </c>
      <c r="D20" s="50">
        <v>0.15</v>
      </c>
      <c r="E20" s="50">
        <v>0.15</v>
      </c>
      <c r="F20" s="51">
        <v>5.8999999999999997E-2</v>
      </c>
    </row>
    <row r="21" spans="2:33" ht="15" customHeight="1" x14ac:dyDescent="0.3">
      <c r="C21" s="42" t="s">
        <v>68</v>
      </c>
      <c r="D21" s="50">
        <v>0.25</v>
      </c>
      <c r="E21" s="50">
        <f>(E17/F49)-1</f>
        <v>0.96959677419354851</v>
      </c>
      <c r="F21" s="51">
        <v>4.2000000000000003E-2</v>
      </c>
    </row>
    <row r="23" spans="2:33" ht="13.8" x14ac:dyDescent="0.25">
      <c r="B23" s="8"/>
      <c r="C23" s="8"/>
      <c r="D23" s="8" t="s">
        <v>73</v>
      </c>
      <c r="E23" s="52">
        <v>0.11600000000000001</v>
      </c>
      <c r="G23" s="8"/>
      <c r="H23" s="8"/>
      <c r="I23" s="8" t="s">
        <v>73</v>
      </c>
      <c r="J23" s="52">
        <v>0.121</v>
      </c>
      <c r="L23" s="8"/>
      <c r="M23" s="8"/>
      <c r="N23" s="8" t="s">
        <v>73</v>
      </c>
      <c r="O23" s="52">
        <v>0.121</v>
      </c>
    </row>
    <row r="24" spans="2:33" ht="13.8" x14ac:dyDescent="0.25">
      <c r="B24" s="53" t="s">
        <v>74</v>
      </c>
      <c r="C24" s="53" t="s">
        <v>75</v>
      </c>
      <c r="D24" s="53" t="s">
        <v>76</v>
      </c>
      <c r="E24" s="54" t="s">
        <v>77</v>
      </c>
      <c r="G24" s="53" t="s">
        <v>74</v>
      </c>
      <c r="H24" s="53" t="s">
        <v>78</v>
      </c>
      <c r="I24" s="53" t="s">
        <v>79</v>
      </c>
      <c r="J24" s="54" t="s">
        <v>77</v>
      </c>
      <c r="L24" s="53" t="s">
        <v>74</v>
      </c>
      <c r="M24" s="53" t="s">
        <v>80</v>
      </c>
      <c r="N24" s="53" t="s">
        <v>81</v>
      </c>
      <c r="O24" s="54" t="s">
        <v>77</v>
      </c>
      <c r="Q24" s="53" t="s">
        <v>82</v>
      </c>
      <c r="R24" s="53" t="s">
        <v>75</v>
      </c>
      <c r="S24" s="53" t="s">
        <v>76</v>
      </c>
      <c r="T24" s="53" t="s">
        <v>83</v>
      </c>
      <c r="U24" s="54" t="s">
        <v>77</v>
      </c>
      <c r="V24" s="34"/>
      <c r="W24" s="53" t="s">
        <v>84</v>
      </c>
      <c r="X24" s="53" t="s">
        <v>75</v>
      </c>
      <c r="Y24" s="53" t="s">
        <v>83</v>
      </c>
      <c r="AA24" s="53" t="s">
        <v>85</v>
      </c>
      <c r="AB24" s="53" t="s">
        <v>75</v>
      </c>
      <c r="AC24" s="53" t="s">
        <v>76</v>
      </c>
      <c r="AD24" s="53" t="s">
        <v>83</v>
      </c>
      <c r="AE24" s="54" t="s">
        <v>77</v>
      </c>
    </row>
    <row r="25" spans="2:33" ht="15" customHeight="1" x14ac:dyDescent="0.3">
      <c r="B25" s="4" t="s">
        <v>7</v>
      </c>
      <c r="C25" s="8">
        <v>3387</v>
      </c>
      <c r="D25" s="8">
        <f>C25-330</f>
        <v>3057</v>
      </c>
      <c r="E25" s="51">
        <f t="shared" ref="E25:E28" si="13">(C25/D25)-1</f>
        <v>0.10794896957801758</v>
      </c>
      <c r="F25" s="40"/>
      <c r="G25" s="8" t="s">
        <v>7</v>
      </c>
      <c r="H25" s="8">
        <v>3316</v>
      </c>
      <c r="I25" s="8">
        <v>2991</v>
      </c>
      <c r="J25" s="51">
        <f t="shared" ref="J25:J28" si="14">(H25/I25)-1</f>
        <v>0.10865931126713479</v>
      </c>
      <c r="L25" s="8" t="s">
        <v>7</v>
      </c>
      <c r="M25" s="8">
        <v>3316</v>
      </c>
      <c r="N25" s="8">
        <v>2991</v>
      </c>
      <c r="O25" s="51">
        <f t="shared" ref="O25:O28" si="15">(M25/N25)-1</f>
        <v>0.10865931126713479</v>
      </c>
      <c r="Q25" s="8" t="s">
        <v>86</v>
      </c>
      <c r="R25" s="10">
        <v>3098</v>
      </c>
      <c r="S25" s="36">
        <f t="shared" ref="S25:S29" si="16">R25-U25</f>
        <v>2833</v>
      </c>
      <c r="T25" s="55">
        <f t="shared" ref="T25:T29" si="17">R25/$R$31</f>
        <v>0.91467375258340711</v>
      </c>
      <c r="U25" s="56">
        <v>265</v>
      </c>
      <c r="V25" s="40"/>
      <c r="W25" s="8" t="s">
        <v>87</v>
      </c>
      <c r="X25" s="10">
        <v>2362</v>
      </c>
      <c r="Y25" s="55">
        <f t="shared" ref="Y25:Y28" si="18">X25/$X$31</f>
        <v>0.697372305875406</v>
      </c>
      <c r="AA25" s="4" t="s">
        <v>88</v>
      </c>
      <c r="AB25" s="10">
        <v>800</v>
      </c>
      <c r="AC25" s="10">
        <v>692</v>
      </c>
      <c r="AD25" s="55">
        <f t="shared" ref="AD25:AD31" si="19">AB25/$AB$33</f>
        <v>0.3715693696790105</v>
      </c>
      <c r="AE25" s="55">
        <f t="shared" ref="AE25:AE31" si="20">(AB25/AC25)^(1/1)-1</f>
        <v>0.1560693641618498</v>
      </c>
    </row>
    <row r="26" spans="2:33" ht="15" customHeight="1" x14ac:dyDescent="0.3">
      <c r="B26" s="4" t="s">
        <v>58</v>
      </c>
      <c r="C26" s="8">
        <v>2261</v>
      </c>
      <c r="D26" s="8">
        <v>1933</v>
      </c>
      <c r="E26" s="51">
        <f t="shared" si="13"/>
        <v>0.16968442834971542</v>
      </c>
      <c r="F26" s="49"/>
      <c r="G26" s="8" t="s">
        <v>58</v>
      </c>
      <c r="H26" s="8">
        <v>2103</v>
      </c>
      <c r="I26" s="8">
        <v>1574</v>
      </c>
      <c r="J26" s="51">
        <f t="shared" si="14"/>
        <v>0.3360864040660736</v>
      </c>
      <c r="L26" s="8" t="s">
        <v>58</v>
      </c>
      <c r="M26" s="8">
        <v>8141</v>
      </c>
      <c r="N26" s="8">
        <v>5655</v>
      </c>
      <c r="O26" s="51">
        <f t="shared" si="15"/>
        <v>0.43961096374889475</v>
      </c>
      <c r="Q26" s="8" t="s">
        <v>89</v>
      </c>
      <c r="R26" s="36">
        <v>60</v>
      </c>
      <c r="S26" s="36">
        <f t="shared" si="16"/>
        <v>50</v>
      </c>
      <c r="T26" s="55">
        <f t="shared" si="17"/>
        <v>1.771479185119575E-2</v>
      </c>
      <c r="U26" s="56">
        <v>10</v>
      </c>
      <c r="V26" s="40"/>
      <c r="W26" s="8" t="s">
        <v>90</v>
      </c>
      <c r="X26" s="56">
        <v>935</v>
      </c>
      <c r="Y26" s="55">
        <f t="shared" si="18"/>
        <v>0.27605550634780041</v>
      </c>
      <c r="AA26" s="4" t="s">
        <v>91</v>
      </c>
      <c r="AB26" s="36">
        <v>476</v>
      </c>
      <c r="AC26" s="36">
        <v>402</v>
      </c>
      <c r="AD26" s="55">
        <f t="shared" si="19"/>
        <v>0.22108377495901124</v>
      </c>
      <c r="AE26" s="55">
        <f t="shared" si="20"/>
        <v>0.18407960199004969</v>
      </c>
    </row>
    <row r="27" spans="2:33" ht="14.4" x14ac:dyDescent="0.3">
      <c r="B27" s="4" t="s">
        <v>92</v>
      </c>
      <c r="C27" s="8">
        <v>111</v>
      </c>
      <c r="D27" s="8">
        <v>134</v>
      </c>
      <c r="E27" s="50">
        <f t="shared" si="13"/>
        <v>-0.17164179104477617</v>
      </c>
      <c r="G27" s="8" t="s">
        <v>92</v>
      </c>
      <c r="H27" s="8">
        <v>117</v>
      </c>
      <c r="I27" s="8">
        <v>114</v>
      </c>
      <c r="J27" s="50">
        <f t="shared" si="14"/>
        <v>2.6315789473684292E-2</v>
      </c>
      <c r="L27" s="8" t="s">
        <v>92</v>
      </c>
      <c r="M27" s="8">
        <v>522</v>
      </c>
      <c r="N27" s="8">
        <v>289</v>
      </c>
      <c r="O27" s="50">
        <f t="shared" si="15"/>
        <v>0.80622837370242206</v>
      </c>
      <c r="Q27" s="8" t="s">
        <v>93</v>
      </c>
      <c r="R27" s="56">
        <v>29</v>
      </c>
      <c r="S27" s="36">
        <f t="shared" si="16"/>
        <v>36</v>
      </c>
      <c r="T27" s="55">
        <f t="shared" si="17"/>
        <v>8.5621493947446118E-3</v>
      </c>
      <c r="U27" s="56">
        <v>-7</v>
      </c>
      <c r="V27" s="40"/>
      <c r="W27" s="8" t="s">
        <v>94</v>
      </c>
      <c r="X27" s="56">
        <v>50</v>
      </c>
      <c r="Y27" s="55">
        <f t="shared" si="18"/>
        <v>1.4762326542663124E-2</v>
      </c>
      <c r="AA27" s="4" t="s">
        <v>95</v>
      </c>
      <c r="AB27" s="56">
        <v>376</v>
      </c>
      <c r="AC27" s="56">
        <v>329</v>
      </c>
      <c r="AD27" s="55">
        <f t="shared" si="19"/>
        <v>0.17463760374913492</v>
      </c>
      <c r="AE27" s="55">
        <f t="shared" si="20"/>
        <v>0.14285714285714279</v>
      </c>
    </row>
    <row r="28" spans="2:33" ht="14.4" x14ac:dyDescent="0.3">
      <c r="B28" s="4" t="s">
        <v>96</v>
      </c>
      <c r="C28" s="8">
        <v>2154</v>
      </c>
      <c r="D28" s="8">
        <v>1868</v>
      </c>
      <c r="E28" s="50">
        <f t="shared" si="13"/>
        <v>0.15310492505353324</v>
      </c>
      <c r="G28" s="8" t="s">
        <v>96</v>
      </c>
      <c r="H28" s="8">
        <v>2045</v>
      </c>
      <c r="I28" s="8">
        <v>1545</v>
      </c>
      <c r="J28" s="50">
        <f t="shared" si="14"/>
        <v>0.32362459546925559</v>
      </c>
      <c r="L28" s="8" t="s">
        <v>96</v>
      </c>
      <c r="M28" s="8">
        <v>7898</v>
      </c>
      <c r="N28" s="8">
        <v>5396</v>
      </c>
      <c r="O28" s="50">
        <f t="shared" si="15"/>
        <v>0.46367679762787239</v>
      </c>
      <c r="Q28" s="8" t="s">
        <v>97</v>
      </c>
      <c r="R28" s="8">
        <v>33</v>
      </c>
      <c r="S28" s="36">
        <f t="shared" si="16"/>
        <v>33</v>
      </c>
      <c r="T28" s="55">
        <f t="shared" si="17"/>
        <v>9.7431355181576609E-3</v>
      </c>
      <c r="U28" s="56">
        <v>0</v>
      </c>
      <c r="V28" s="40"/>
      <c r="W28" s="8" t="s">
        <v>98</v>
      </c>
      <c r="X28" s="8">
        <v>40</v>
      </c>
      <c r="Y28" s="55">
        <f t="shared" si="18"/>
        <v>1.1809861234130499E-2</v>
      </c>
      <c r="AA28" s="4" t="s">
        <v>99</v>
      </c>
      <c r="AB28" s="10">
        <v>220</v>
      </c>
      <c r="AC28" s="10">
        <v>183</v>
      </c>
      <c r="AD28" s="55">
        <f t="shared" si="19"/>
        <v>0.10218157666172788</v>
      </c>
      <c r="AE28" s="55">
        <f t="shared" si="20"/>
        <v>0.20218579234972678</v>
      </c>
    </row>
    <row r="29" spans="2:33" ht="14.4" x14ac:dyDescent="0.3">
      <c r="B29" s="8" t="s">
        <v>100</v>
      </c>
      <c r="C29" s="8">
        <f>C26-C28+$AB$28+$AB$29</f>
        <v>438</v>
      </c>
      <c r="D29" s="8">
        <f>D26-D28+$AC$28+$AC$29</f>
        <v>382</v>
      </c>
      <c r="E29" s="50">
        <f t="shared" ref="E29:E31" si="21">(C29/D29)^(1/1)-1</f>
        <v>0.14659685863874339</v>
      </c>
      <c r="G29" s="8" t="s">
        <v>10</v>
      </c>
      <c r="H29" s="8">
        <v>49</v>
      </c>
      <c r="I29" s="8">
        <v>208</v>
      </c>
      <c r="J29" s="50">
        <f t="shared" ref="J29:J30" si="22">(H29/I29)^(1/1)-1</f>
        <v>-0.76442307692307687</v>
      </c>
      <c r="L29" s="8" t="s">
        <v>10</v>
      </c>
      <c r="M29" s="8">
        <v>217</v>
      </c>
      <c r="N29" s="8">
        <v>400</v>
      </c>
      <c r="O29" s="50">
        <f t="shared" ref="O29:O30" si="23">(M29/N29)^(1/1)-1</f>
        <v>-0.45750000000000002</v>
      </c>
      <c r="Q29" s="8" t="s">
        <v>101</v>
      </c>
      <c r="R29" s="8">
        <v>167</v>
      </c>
      <c r="S29" s="36">
        <f t="shared" si="16"/>
        <v>105</v>
      </c>
      <c r="T29" s="55">
        <f t="shared" si="17"/>
        <v>4.9306170652494832E-2</v>
      </c>
      <c r="U29" s="56">
        <v>62</v>
      </c>
      <c r="W29" s="8"/>
      <c r="X29" s="8"/>
      <c r="Y29" s="55"/>
      <c r="AA29" s="4" t="s">
        <v>102</v>
      </c>
      <c r="AB29" s="10">
        <v>111</v>
      </c>
      <c r="AC29" s="10">
        <v>134</v>
      </c>
      <c r="AD29" s="55">
        <f t="shared" si="19"/>
        <v>5.1555250042962707E-2</v>
      </c>
      <c r="AE29" s="55">
        <f t="shared" si="20"/>
        <v>-0.17164179104477617</v>
      </c>
      <c r="AG29" s="34"/>
    </row>
    <row r="30" spans="2:33" ht="14.4" x14ac:dyDescent="0.3">
      <c r="B30" s="57" t="s">
        <v>10</v>
      </c>
      <c r="C30" s="8">
        <v>94</v>
      </c>
      <c r="D30" s="8">
        <v>58</v>
      </c>
      <c r="E30" s="50">
        <f t="shared" si="21"/>
        <v>0.6206896551724137</v>
      </c>
      <c r="F30" s="49"/>
      <c r="G30" s="8" t="s">
        <v>59</v>
      </c>
      <c r="H30" s="8">
        <v>0.74</v>
      </c>
      <c r="I30" s="8">
        <v>3.15</v>
      </c>
      <c r="J30" s="50">
        <f t="shared" si="22"/>
        <v>-0.76507936507936503</v>
      </c>
      <c r="L30" s="8" t="s">
        <v>59</v>
      </c>
      <c r="M30" s="8">
        <v>3.41</v>
      </c>
      <c r="N30" s="8">
        <v>6.06</v>
      </c>
      <c r="O30" s="50">
        <f t="shared" si="23"/>
        <v>-0.4372937293729372</v>
      </c>
      <c r="V30" s="40"/>
      <c r="W30" s="8"/>
      <c r="X30" s="8"/>
      <c r="Y30" s="55"/>
      <c r="AA30" s="4" t="s">
        <v>103</v>
      </c>
      <c r="AB30" s="10">
        <v>170</v>
      </c>
      <c r="AC30" s="10">
        <v>117</v>
      </c>
      <c r="AD30" s="55">
        <f t="shared" si="19"/>
        <v>7.8958491056789731E-2</v>
      </c>
      <c r="AE30" s="55">
        <f t="shared" si="20"/>
        <v>0.45299145299145294</v>
      </c>
    </row>
    <row r="31" spans="2:33" ht="14.4" x14ac:dyDescent="0.3">
      <c r="B31" s="57" t="s">
        <v>59</v>
      </c>
      <c r="C31" s="8">
        <v>1.43</v>
      </c>
      <c r="D31" s="8">
        <v>0.89</v>
      </c>
      <c r="E31" s="50">
        <f t="shared" si="21"/>
        <v>0.60674157303370779</v>
      </c>
      <c r="G31" s="8" t="s">
        <v>104</v>
      </c>
      <c r="H31" s="51">
        <f t="shared" ref="H31:I31" si="24">H29/H26</f>
        <v>2.3300047551117451E-2</v>
      </c>
      <c r="I31" s="51">
        <f t="shared" si="24"/>
        <v>0.13214739517153748</v>
      </c>
      <c r="J31" s="50">
        <f t="shared" ref="J31:J32" si="25">H31-I31</f>
        <v>-0.10884734762042003</v>
      </c>
      <c r="L31" s="8" t="s">
        <v>104</v>
      </c>
      <c r="M31" s="51">
        <f t="shared" ref="M31:N31" si="26">M29/M26</f>
        <v>2.6655202063628546E-2</v>
      </c>
      <c r="N31" s="51">
        <f t="shared" si="26"/>
        <v>7.0733863837312116E-2</v>
      </c>
      <c r="O31" s="51">
        <f t="shared" ref="O31:O32" si="27">M31-N31</f>
        <v>-4.4078661773683567E-2</v>
      </c>
      <c r="Q31" s="58" t="s">
        <v>26</v>
      </c>
      <c r="R31" s="58">
        <f t="shared" ref="R31:S31" si="28">SUM(R25:R29)</f>
        <v>3387</v>
      </c>
      <c r="S31" s="59">
        <f t="shared" si="28"/>
        <v>3057</v>
      </c>
      <c r="T31" s="60">
        <f>R31/$R$31</f>
        <v>1</v>
      </c>
      <c r="U31" s="56">
        <f>R31-S31</f>
        <v>330</v>
      </c>
      <c r="W31" s="61" t="s">
        <v>105</v>
      </c>
      <c r="X31" s="61">
        <f>SUM(X25:X30)</f>
        <v>3387</v>
      </c>
      <c r="Y31" s="62">
        <f>X31/$X$31</f>
        <v>1</v>
      </c>
      <c r="AA31" s="4" t="s">
        <v>106</v>
      </c>
      <c r="AB31" s="10">
        <v>0.03</v>
      </c>
      <c r="AC31" s="10">
        <v>1.1200000000000001</v>
      </c>
      <c r="AD31" s="55">
        <f t="shared" si="19"/>
        <v>1.3933851362962893E-5</v>
      </c>
      <c r="AE31" s="55">
        <f t="shared" si="20"/>
        <v>-0.9732142857142857</v>
      </c>
    </row>
    <row r="32" spans="2:33" ht="14.4" x14ac:dyDescent="0.3">
      <c r="B32" s="4" t="s">
        <v>107</v>
      </c>
      <c r="C32" s="51">
        <f t="shared" ref="C32:D32" si="29">C29/C26</f>
        <v>0.19371959310039805</v>
      </c>
      <c r="D32" s="51">
        <f t="shared" si="29"/>
        <v>0.19762027935851009</v>
      </c>
      <c r="E32" s="51">
        <f t="shared" ref="E32:E34" si="30">C32-D32</f>
        <v>-3.9006862581120461E-3</v>
      </c>
      <c r="F32" s="49"/>
      <c r="G32" s="8" t="s">
        <v>108</v>
      </c>
      <c r="H32" s="63">
        <f t="shared" ref="H32:I32" si="31">(H26-H28+H27)/H27</f>
        <v>1.4957264957264957</v>
      </c>
      <c r="I32" s="63">
        <f t="shared" si="31"/>
        <v>1.2543859649122806</v>
      </c>
      <c r="J32" s="64">
        <f t="shared" si="25"/>
        <v>0.24134053081421514</v>
      </c>
      <c r="L32" s="8" t="s">
        <v>108</v>
      </c>
      <c r="M32" s="63">
        <f t="shared" ref="M32:N32" si="32">(M26-M28+M27)/M27</f>
        <v>1.4655172413793103</v>
      </c>
      <c r="N32" s="63">
        <f t="shared" si="32"/>
        <v>1.8961937716262975</v>
      </c>
      <c r="O32" s="64">
        <f t="shared" si="27"/>
        <v>-0.43067653024698727</v>
      </c>
    </row>
    <row r="33" spans="2:35" ht="14.4" x14ac:dyDescent="0.3">
      <c r="B33" s="4" t="s">
        <v>104</v>
      </c>
      <c r="C33" s="51">
        <f t="shared" ref="C33:D33" si="33">C30/C26</f>
        <v>4.1574524546660767E-2</v>
      </c>
      <c r="D33" s="51">
        <f t="shared" si="33"/>
        <v>3.0005173305742368E-2</v>
      </c>
      <c r="E33" s="51">
        <f t="shared" si="30"/>
        <v>1.1569351240918398E-2</v>
      </c>
      <c r="G33" s="8"/>
      <c r="H33" s="8" t="s">
        <v>109</v>
      </c>
      <c r="I33" s="8"/>
      <c r="J33" s="8"/>
      <c r="L33" s="8"/>
      <c r="M33" s="8" t="s">
        <v>109</v>
      </c>
      <c r="N33" s="8"/>
      <c r="O33" s="8"/>
      <c r="AA33" s="65" t="s">
        <v>26</v>
      </c>
      <c r="AB33" s="65">
        <f t="shared" ref="AB33:AC33" si="34">SUM(AB25:AB31)</f>
        <v>2153.0300000000002</v>
      </c>
      <c r="AC33" s="65">
        <f t="shared" si="34"/>
        <v>1858.12</v>
      </c>
      <c r="AD33" s="66">
        <f>AB33/$AB$33</f>
        <v>1</v>
      </c>
      <c r="AE33" s="66">
        <f>(AB33/AC33)^(1/1)-1</f>
        <v>0.15871418422922101</v>
      </c>
    </row>
    <row r="34" spans="2:35" ht="14.4" x14ac:dyDescent="0.3">
      <c r="B34" s="4" t="s">
        <v>108</v>
      </c>
      <c r="C34" s="63">
        <f t="shared" ref="C34:D34" si="35">(C26-C28+C27)/C27</f>
        <v>1.9639639639639639</v>
      </c>
      <c r="D34" s="63">
        <f t="shared" si="35"/>
        <v>1.4850746268656716</v>
      </c>
      <c r="E34" s="64">
        <f t="shared" si="30"/>
        <v>0.47888933709829229</v>
      </c>
    </row>
    <row r="36" spans="2:35" ht="13.8" x14ac:dyDescent="0.25">
      <c r="B36" s="67" t="s">
        <v>110</v>
      </c>
      <c r="C36" s="67" t="s">
        <v>111</v>
      </c>
      <c r="D36" s="67" t="s">
        <v>112</v>
      </c>
      <c r="E36" s="67" t="s">
        <v>113</v>
      </c>
      <c r="F36" s="67" t="s">
        <v>80</v>
      </c>
      <c r="G36" s="68" t="s">
        <v>114</v>
      </c>
      <c r="H36" s="67" t="s">
        <v>115</v>
      </c>
      <c r="J36" s="69" t="s">
        <v>116</v>
      </c>
      <c r="K36" s="68" t="s">
        <v>117</v>
      </c>
      <c r="L36" s="68" t="s">
        <v>118</v>
      </c>
      <c r="M36" s="68" t="s">
        <v>119</v>
      </c>
      <c r="N36" s="68" t="s">
        <v>114</v>
      </c>
      <c r="O36" s="68" t="s">
        <v>59</v>
      </c>
      <c r="Q36" s="70" t="s">
        <v>120</v>
      </c>
      <c r="R36" s="70" t="s">
        <v>11</v>
      </c>
      <c r="S36" s="70" t="s">
        <v>121</v>
      </c>
      <c r="T36" s="70" t="s">
        <v>49</v>
      </c>
    </row>
    <row r="37" spans="2:35" ht="14.4" x14ac:dyDescent="0.3">
      <c r="C37" s="4" t="s">
        <v>122</v>
      </c>
      <c r="D37" s="51">
        <v>0.439</v>
      </c>
      <c r="E37" s="51">
        <v>0.48</v>
      </c>
      <c r="F37" s="51">
        <v>0.44</v>
      </c>
      <c r="G37" s="51">
        <v>0.17</v>
      </c>
      <c r="H37" s="50">
        <v>0.25</v>
      </c>
      <c r="J37" s="4" t="s">
        <v>59</v>
      </c>
      <c r="K37" s="71">
        <v>1.05</v>
      </c>
      <c r="L37" s="71">
        <v>0.74</v>
      </c>
      <c r="M37" s="71">
        <v>0.74</v>
      </c>
      <c r="N37" s="71">
        <v>1.43</v>
      </c>
      <c r="O37" s="71">
        <f>SUM(K37:N37)</f>
        <v>3.96</v>
      </c>
      <c r="Q37" s="6">
        <v>3.41</v>
      </c>
      <c r="R37" s="72">
        <f>O37</f>
        <v>3.96</v>
      </c>
      <c r="S37" s="73">
        <f>F17</f>
        <v>6.7163250000000003</v>
      </c>
      <c r="T37" s="74">
        <f ca="1">S39/57</f>
        <v>1.6508610435387825</v>
      </c>
    </row>
    <row r="38" spans="2:35" ht="14.4" x14ac:dyDescent="0.3">
      <c r="C38" s="4" t="s">
        <v>71</v>
      </c>
      <c r="D38" s="51">
        <v>3.2000000000000001E-2</v>
      </c>
      <c r="E38" s="51">
        <v>2.8000000000000001E-2</v>
      </c>
      <c r="F38" s="51">
        <v>2.7E-2</v>
      </c>
      <c r="G38" s="51">
        <v>4.2000000000000003E-2</v>
      </c>
      <c r="H38" s="51">
        <v>4.2000000000000003E-2</v>
      </c>
      <c r="Q38" s="68" t="s">
        <v>123</v>
      </c>
      <c r="R38" s="68" t="s">
        <v>124</v>
      </c>
      <c r="S38" s="68" t="s">
        <v>125</v>
      </c>
      <c r="T38" s="75"/>
      <c r="AE38" s="34"/>
      <c r="AF38" s="34"/>
      <c r="AG38" s="40"/>
    </row>
    <row r="39" spans="2:35" ht="14.4" x14ac:dyDescent="0.3">
      <c r="C39" s="4" t="s">
        <v>70</v>
      </c>
      <c r="D39" s="50">
        <v>-0.02</v>
      </c>
      <c r="E39" s="50">
        <v>-0.13</v>
      </c>
      <c r="F39" s="50">
        <v>-0.46</v>
      </c>
      <c r="G39" s="50">
        <v>0.62</v>
      </c>
      <c r="H39" s="50">
        <v>0.97</v>
      </c>
      <c r="Q39" s="14">
        <f>C4/Q37</f>
        <v>194.72140762463343</v>
      </c>
      <c r="R39" s="14">
        <f ca="1">C3/R37</f>
        <v>159.59595959595958</v>
      </c>
      <c r="S39" s="14">
        <f ca="1">C3/S37</f>
        <v>94.099079481710604</v>
      </c>
      <c r="T39" s="75"/>
      <c r="AE39" s="40"/>
      <c r="AF39" s="40"/>
      <c r="AG39" s="40"/>
      <c r="AH39" s="40"/>
      <c r="AI39" s="40"/>
    </row>
    <row r="40" spans="2:35" ht="13.8" x14ac:dyDescent="0.25">
      <c r="AF40" s="40"/>
      <c r="AG40" s="40"/>
      <c r="AH40" s="40"/>
      <c r="AI40" s="40"/>
    </row>
    <row r="41" spans="2:35" ht="14.4" x14ac:dyDescent="0.3">
      <c r="B41" s="76" t="s">
        <v>77</v>
      </c>
      <c r="C41" s="77" t="s">
        <v>57</v>
      </c>
      <c r="D41" s="78" t="s">
        <v>7</v>
      </c>
      <c r="E41" s="79" t="s">
        <v>58</v>
      </c>
      <c r="F41" s="80" t="s">
        <v>126</v>
      </c>
      <c r="G41" s="80" t="s">
        <v>59</v>
      </c>
      <c r="H41" s="80" t="s">
        <v>127</v>
      </c>
      <c r="I41" s="80" t="s">
        <v>13</v>
      </c>
      <c r="J41" s="80" t="s">
        <v>128</v>
      </c>
      <c r="K41" s="79" t="s">
        <v>129</v>
      </c>
      <c r="L41" s="79" t="s">
        <v>130</v>
      </c>
      <c r="M41" s="79" t="s">
        <v>131</v>
      </c>
      <c r="N41" s="79" t="s">
        <v>132</v>
      </c>
      <c r="O41" s="78" t="s">
        <v>60</v>
      </c>
      <c r="P41" s="78" t="s">
        <v>133</v>
      </c>
      <c r="Q41" s="78" t="s">
        <v>134</v>
      </c>
      <c r="AE41" s="40"/>
      <c r="AF41" s="40"/>
      <c r="AG41" s="40"/>
      <c r="AH41" s="40"/>
      <c r="AI41" s="40"/>
    </row>
    <row r="42" spans="2:35" ht="13.8" x14ac:dyDescent="0.25">
      <c r="B42" s="48"/>
      <c r="C42" s="81" t="s">
        <v>135</v>
      </c>
      <c r="D42" s="50">
        <f t="shared" ref="D42:G42" si="36">(D49/D50)-1</f>
        <v>0.10865931126713479</v>
      </c>
      <c r="E42" s="50">
        <f t="shared" si="36"/>
        <v>0.4398655818889281</v>
      </c>
      <c r="F42" s="50">
        <f t="shared" si="36"/>
        <v>-0.45750000000000002</v>
      </c>
      <c r="G42" s="50">
        <f t="shared" si="36"/>
        <v>-0.4372937293729372</v>
      </c>
      <c r="H42" s="51">
        <f>H49</f>
        <v>2.6655202063628546E-2</v>
      </c>
      <c r="I42" s="50">
        <f t="shared" ref="I42:L42" si="37">(I49/I50)-1</f>
        <v>0</v>
      </c>
      <c r="J42" s="50">
        <f t="shared" si="37"/>
        <v>-3.3366045142296352E-2</v>
      </c>
      <c r="K42" s="50">
        <f t="shared" si="37"/>
        <v>2.1377672209026199E-2</v>
      </c>
      <c r="L42" s="50">
        <f t="shared" si="37"/>
        <v>0.35836177474402731</v>
      </c>
      <c r="M42" s="63">
        <f t="shared" ref="M42:N42" si="38">M49</f>
        <v>126.09970674486803</v>
      </c>
      <c r="N42" s="63">
        <f t="shared" si="38"/>
        <v>233.43108504398825</v>
      </c>
      <c r="O42" s="50">
        <f>(O49/O50)-1</f>
        <v>-3.133640552995387E-2</v>
      </c>
      <c r="P42" s="82">
        <f t="shared" ref="P42:Q42" si="39">P49</f>
        <v>13.501427212178877</v>
      </c>
      <c r="Q42" s="82">
        <f t="shared" si="39"/>
        <v>24.993339676498575</v>
      </c>
      <c r="AD42" s="40"/>
      <c r="AE42" s="40"/>
      <c r="AF42" s="40"/>
      <c r="AG42" s="40"/>
      <c r="AH42" s="40"/>
      <c r="AI42" s="40"/>
    </row>
    <row r="43" spans="2:35" ht="13.8" x14ac:dyDescent="0.25">
      <c r="B43" s="48"/>
      <c r="C43" s="83" t="s">
        <v>136</v>
      </c>
      <c r="D43" s="50">
        <f t="shared" ref="D43:F43" si="40">(D49/D54)^(1/5)-1</f>
        <v>0.19957291476704087</v>
      </c>
      <c r="E43" s="50">
        <f t="shared" si="40"/>
        <v>0.15289225405496087</v>
      </c>
      <c r="F43" s="50">
        <f t="shared" si="40"/>
        <v>-4.9020607204410371E-2</v>
      </c>
      <c r="G43" s="50">
        <f>((5*G49)/G54)^(1/5)-1</f>
        <v>-4.2815183888937458E-2</v>
      </c>
      <c r="H43" s="51">
        <f>MEDIAN(H49:H54)</f>
        <v>6.9774364287708529E-2</v>
      </c>
      <c r="I43" s="50">
        <f t="shared" ref="I43:J43" si="41">(I49/I54)^(1/5)-1</f>
        <v>0</v>
      </c>
      <c r="J43" s="50">
        <f t="shared" si="41"/>
        <v>0.14753570245681202</v>
      </c>
      <c r="K43" s="50">
        <f t="shared" ref="K43:L43" si="42">((5*K49)/K54)^(1/5)-1</f>
        <v>0.1480582923660041</v>
      </c>
      <c r="L43" s="50">
        <f t="shared" si="42"/>
        <v>0.1505544719003491</v>
      </c>
      <c r="M43" s="63">
        <f t="shared" ref="M43:Q43" si="43">MEDIAN(M49:M54)</f>
        <v>74.265945694517114</v>
      </c>
      <c r="N43" s="63">
        <f t="shared" si="43"/>
        <v>132.9910943529101</v>
      </c>
      <c r="O43" s="84">
        <f t="shared" si="43"/>
        <v>58.939393939393938</v>
      </c>
      <c r="P43" s="82">
        <f t="shared" si="43"/>
        <v>13.076825502399164</v>
      </c>
      <c r="Q43" s="82">
        <f t="shared" si="43"/>
        <v>24.10843454413164</v>
      </c>
      <c r="AD43" s="40"/>
      <c r="AE43" s="40"/>
      <c r="AF43" s="40"/>
    </row>
    <row r="44" spans="2:35" ht="13.8" x14ac:dyDescent="0.25">
      <c r="B44" s="48"/>
      <c r="C44" s="83" t="s">
        <v>137</v>
      </c>
      <c r="D44" s="50">
        <f t="shared" ref="D44:F44" si="44">(D49/D59)^(1/10)-1</f>
        <v>0.13556803035076714</v>
      </c>
      <c r="E44" s="50">
        <f t="shared" si="44"/>
        <v>0.14609258558147586</v>
      </c>
      <c r="F44" s="50">
        <f t="shared" si="44"/>
        <v>5.8413723301457887E-2</v>
      </c>
      <c r="G44" s="50">
        <f>((10*G49)/G59)^(1/10)-1</f>
        <v>6.1239670235227361E-2</v>
      </c>
      <c r="H44" s="51">
        <f>MEDIAN(H49:H59)</f>
        <v>6.8598068598068593E-2</v>
      </c>
      <c r="I44" s="50">
        <f t="shared" ref="I44:J44" si="45">(I49/I59)^(1/10)-1</f>
        <v>7.1773462536293131E-2</v>
      </c>
      <c r="J44" s="50">
        <f t="shared" si="45"/>
        <v>0.12512133544139381</v>
      </c>
      <c r="K44" s="50">
        <f t="shared" ref="K44:L44" si="46">((10*K49)/K59)^(1/10)-1</f>
        <v>0.16434125675429412</v>
      </c>
      <c r="L44" s="50">
        <f t="shared" si="46"/>
        <v>0.1656380591476132</v>
      </c>
      <c r="M44" s="63">
        <f t="shared" ref="M44:N44" si="47">MEDIAN(M49:M59)</f>
        <v>69.471947194719476</v>
      </c>
      <c r="N44" s="63">
        <f t="shared" si="47"/>
        <v>116.17829137432935</v>
      </c>
      <c r="O44" s="50">
        <f>((10*O49)/O59)^(1/10)-1</f>
        <v>0.120795410390238</v>
      </c>
      <c r="P44" s="82">
        <f t="shared" ref="P44:Q44" si="48">MEDIAN(P49:P59)</f>
        <v>11.701471618780658</v>
      </c>
      <c r="Q44" s="82">
        <f t="shared" si="48"/>
        <v>21.125184094256259</v>
      </c>
    </row>
    <row r="45" spans="2:35" ht="13.8" x14ac:dyDescent="0.25">
      <c r="B45" s="48"/>
      <c r="C45" s="83" t="s">
        <v>138</v>
      </c>
      <c r="D45" s="50">
        <f t="shared" ref="D45:F45" si="49">(D49/D64)^(1/15)-1</f>
        <v>0.17217612943721194</v>
      </c>
      <c r="E45" s="50">
        <f t="shared" si="49"/>
        <v>0.21773875135214671</v>
      </c>
      <c r="F45" s="50">
        <f t="shared" si="49"/>
        <v>0.13378242233999038</v>
      </c>
      <c r="G45" s="50">
        <f>((10*G49)/G64)^(1/15)-1</f>
        <v>0.12879819845042939</v>
      </c>
      <c r="H45" s="51">
        <f>MEDIAN(H49:H64)</f>
        <v>7.0274363006071316E-2</v>
      </c>
      <c r="I45" s="50">
        <f t="shared" ref="I45:J45" si="50">(I49/I64)^(1/15)-1</f>
        <v>4.9444793207626736E-2</v>
      </c>
      <c r="J45" s="50">
        <f t="shared" si="50"/>
        <v>0.27256319108058058</v>
      </c>
      <c r="K45" s="50">
        <f t="shared" ref="K45:L45" si="51">((10*K49)/K64)^(1/15)-1</f>
        <v>0.24431469315091836</v>
      </c>
      <c r="L45" s="50">
        <f t="shared" si="51"/>
        <v>0.22879744539656288</v>
      </c>
      <c r="M45" s="63">
        <f t="shared" ref="M45:N45" si="52">MEDIAN(M49:M64)</f>
        <v>50.147553110588966</v>
      </c>
      <c r="N45" s="63">
        <f t="shared" si="52"/>
        <v>94.862558828927206</v>
      </c>
      <c r="O45" s="50">
        <f>((10*O49)/O64)^(1/15)-1</f>
        <v>0.20987042108877185</v>
      </c>
      <c r="P45" s="82">
        <f t="shared" ref="P45:Q45" si="53">MEDIAN(P49:P64)</f>
        <v>11.408630546232434</v>
      </c>
      <c r="Q45" s="82">
        <f t="shared" si="53"/>
        <v>20.463446747982829</v>
      </c>
    </row>
    <row r="47" spans="2:35" ht="14.4" x14ac:dyDescent="0.3">
      <c r="B47" s="76" t="s">
        <v>139</v>
      </c>
      <c r="C47" s="77" t="s">
        <v>57</v>
      </c>
      <c r="D47" s="78" t="s">
        <v>7</v>
      </c>
      <c r="E47" s="79" t="s">
        <v>58</v>
      </c>
      <c r="F47" s="80" t="s">
        <v>126</v>
      </c>
      <c r="G47" s="80" t="s">
        <v>59</v>
      </c>
      <c r="H47" s="80" t="s">
        <v>127</v>
      </c>
      <c r="I47" s="80" t="s">
        <v>13</v>
      </c>
      <c r="J47" s="80" t="s">
        <v>128</v>
      </c>
      <c r="K47" s="79" t="s">
        <v>129</v>
      </c>
      <c r="L47" s="79" t="s">
        <v>130</v>
      </c>
      <c r="M47" s="79" t="s">
        <v>131</v>
      </c>
      <c r="N47" s="79" t="s">
        <v>132</v>
      </c>
      <c r="O47" s="78" t="s">
        <v>60</v>
      </c>
      <c r="P47" s="78" t="s">
        <v>133</v>
      </c>
      <c r="Q47" s="78" t="s">
        <v>134</v>
      </c>
    </row>
    <row r="48" spans="2:35" ht="15.6" x14ac:dyDescent="0.3">
      <c r="C48" s="85" t="s">
        <v>140</v>
      </c>
      <c r="D48" s="86">
        <v>3387</v>
      </c>
      <c r="E48" s="87">
        <f>E49+C26-D26</f>
        <v>8469</v>
      </c>
      <c r="F48" s="88">
        <f>F49+C30-D30</f>
        <v>253</v>
      </c>
      <c r="G48" s="89">
        <f>O37</f>
        <v>3.96</v>
      </c>
      <c r="H48" s="90">
        <f t="shared" ref="H48:H69" si="54">F48/E48</f>
        <v>2.9873656866217971E-2</v>
      </c>
      <c r="I48" s="86">
        <v>132</v>
      </c>
      <c r="J48" s="86">
        <v>1970</v>
      </c>
      <c r="K48" s="86">
        <v>646</v>
      </c>
      <c r="L48" s="86">
        <v>728</v>
      </c>
      <c r="M48" s="91">
        <f t="shared" ref="M48:M64" si="55">K48/G48</f>
        <v>163.13131313131314</v>
      </c>
      <c r="N48" s="91">
        <f t="shared" ref="N48:N64" si="56">L48/G48</f>
        <v>183.83838383838383</v>
      </c>
      <c r="O48" s="92">
        <f t="shared" ref="O48:O51" si="57">(I48+J48)/(I48/2)</f>
        <v>31.848484848484848</v>
      </c>
      <c r="P48" s="63">
        <f t="shared" ref="P48:P64" si="58">K48/O48</f>
        <v>20.283539486203615</v>
      </c>
      <c r="Q48" s="63">
        <f t="shared" ref="Q48:Q64" si="59">L48/O48</f>
        <v>22.858230256898192</v>
      </c>
    </row>
    <row r="49" spans="2:18" ht="15.6" x14ac:dyDescent="0.3">
      <c r="C49" s="85" t="s">
        <v>141</v>
      </c>
      <c r="D49" s="86">
        <v>3316</v>
      </c>
      <c r="E49" s="87">
        <v>8141</v>
      </c>
      <c r="F49" s="88">
        <v>217</v>
      </c>
      <c r="G49" s="89">
        <v>3.41</v>
      </c>
      <c r="H49" s="90">
        <f t="shared" si="54"/>
        <v>2.6655202063628546E-2</v>
      </c>
      <c r="I49" s="86">
        <v>132</v>
      </c>
      <c r="J49" s="86">
        <v>1970</v>
      </c>
      <c r="K49" s="86">
        <v>430</v>
      </c>
      <c r="L49" s="86">
        <v>796</v>
      </c>
      <c r="M49" s="91">
        <f t="shared" si="55"/>
        <v>126.09970674486803</v>
      </c>
      <c r="N49" s="91">
        <f t="shared" si="56"/>
        <v>233.43108504398825</v>
      </c>
      <c r="O49" s="92">
        <f t="shared" si="57"/>
        <v>31.848484848484848</v>
      </c>
      <c r="P49" s="63">
        <f t="shared" si="58"/>
        <v>13.501427212178877</v>
      </c>
      <c r="Q49" s="63">
        <f t="shared" si="59"/>
        <v>24.993339676498575</v>
      </c>
    </row>
    <row r="50" spans="2:18" ht="15.6" x14ac:dyDescent="0.3">
      <c r="C50" s="85" t="s">
        <v>142</v>
      </c>
      <c r="D50" s="86">
        <v>2991</v>
      </c>
      <c r="E50" s="87">
        <v>5654</v>
      </c>
      <c r="F50" s="88">
        <v>400</v>
      </c>
      <c r="G50" s="89">
        <v>6.06</v>
      </c>
      <c r="H50" s="90">
        <f t="shared" si="54"/>
        <v>7.0746374248319768E-2</v>
      </c>
      <c r="I50" s="86">
        <v>132</v>
      </c>
      <c r="J50" s="86">
        <v>2038</v>
      </c>
      <c r="K50" s="86">
        <v>421</v>
      </c>
      <c r="L50" s="86">
        <v>586</v>
      </c>
      <c r="M50" s="91">
        <f t="shared" si="55"/>
        <v>69.471947194719476</v>
      </c>
      <c r="N50" s="91">
        <f t="shared" si="56"/>
        <v>96.699669966996709</v>
      </c>
      <c r="O50" s="92">
        <f t="shared" si="57"/>
        <v>32.878787878787875</v>
      </c>
      <c r="P50" s="63">
        <f t="shared" si="58"/>
        <v>12.804608294930876</v>
      </c>
      <c r="Q50" s="63">
        <f t="shared" si="59"/>
        <v>17.823041474654381</v>
      </c>
    </row>
    <row r="51" spans="2:18" ht="15.6" x14ac:dyDescent="0.3">
      <c r="B51" s="93" t="s">
        <v>143</v>
      </c>
      <c r="C51" s="85" t="s">
        <v>144</v>
      </c>
      <c r="D51" s="86">
        <v>1816</v>
      </c>
      <c r="E51" s="87">
        <v>5158</v>
      </c>
      <c r="F51" s="88">
        <v>353</v>
      </c>
      <c r="G51" s="89">
        <v>5.35</v>
      </c>
      <c r="H51" s="90">
        <f t="shared" si="54"/>
        <v>6.8437378829003484E-2</v>
      </c>
      <c r="I51" s="86">
        <v>132</v>
      </c>
      <c r="J51" s="86">
        <v>1905</v>
      </c>
      <c r="K51" s="86">
        <v>412</v>
      </c>
      <c r="L51" s="86">
        <v>652</v>
      </c>
      <c r="M51" s="91">
        <f t="shared" si="55"/>
        <v>77.00934579439253</v>
      </c>
      <c r="N51" s="91">
        <f t="shared" si="56"/>
        <v>121.86915887850468</v>
      </c>
      <c r="O51" s="92">
        <f t="shared" si="57"/>
        <v>30.863636363636363</v>
      </c>
      <c r="P51" s="63">
        <f t="shared" si="58"/>
        <v>13.349042709867453</v>
      </c>
      <c r="Q51" s="63">
        <f t="shared" si="59"/>
        <v>21.125184094256259</v>
      </c>
    </row>
    <row r="52" spans="2:18" ht="15.6" x14ac:dyDescent="0.3">
      <c r="C52" s="85" t="s">
        <v>145</v>
      </c>
      <c r="D52" s="86">
        <v>1567</v>
      </c>
      <c r="E52" s="87">
        <v>4396</v>
      </c>
      <c r="F52" s="88">
        <v>418</v>
      </c>
      <c r="G52" s="89">
        <f>6.37*5</f>
        <v>31.85</v>
      </c>
      <c r="H52" s="90">
        <f t="shared" si="54"/>
        <v>9.5086442220200185E-2</v>
      </c>
      <c r="I52" s="86">
        <v>132</v>
      </c>
      <c r="J52" s="86">
        <v>1813</v>
      </c>
      <c r="K52" s="86">
        <f>487*5</f>
        <v>2435</v>
      </c>
      <c r="L52" s="86">
        <f>918*5</f>
        <v>4590</v>
      </c>
      <c r="M52" s="91">
        <f t="shared" si="55"/>
        <v>76.452119309262159</v>
      </c>
      <c r="N52" s="91">
        <f t="shared" si="56"/>
        <v>144.11302982731553</v>
      </c>
      <c r="O52" s="92">
        <f t="shared" ref="O52:O64" si="60">(I52+J52)/(I52/10)</f>
        <v>147.34848484848484</v>
      </c>
      <c r="P52" s="63">
        <f t="shared" si="58"/>
        <v>16.525449871465295</v>
      </c>
      <c r="Q52" s="63">
        <f t="shared" si="59"/>
        <v>31.150642673521851</v>
      </c>
    </row>
    <row r="53" spans="2:18" ht="15.6" x14ac:dyDescent="0.3">
      <c r="C53" s="85" t="s">
        <v>146</v>
      </c>
      <c r="D53" s="86">
        <v>1360</v>
      </c>
      <c r="E53" s="94">
        <v>3312</v>
      </c>
      <c r="F53" s="94">
        <v>231</v>
      </c>
      <c r="G53" s="89">
        <v>17.55</v>
      </c>
      <c r="H53" s="90">
        <f t="shared" si="54"/>
        <v>6.9746376811594207E-2</v>
      </c>
      <c r="I53" s="86">
        <v>132</v>
      </c>
      <c r="J53" s="86">
        <v>1295</v>
      </c>
      <c r="K53" s="86">
        <v>1265</v>
      </c>
      <c r="L53" s="86">
        <v>3216</v>
      </c>
      <c r="M53" s="91">
        <f t="shared" si="55"/>
        <v>72.07977207977207</v>
      </c>
      <c r="N53" s="91">
        <f t="shared" si="56"/>
        <v>183.24786324786325</v>
      </c>
      <c r="O53" s="92">
        <f t="shared" si="60"/>
        <v>108.10606060606061</v>
      </c>
      <c r="P53" s="63">
        <f t="shared" si="58"/>
        <v>11.701471618780658</v>
      </c>
      <c r="Q53" s="63">
        <f t="shared" si="59"/>
        <v>29.748563419761737</v>
      </c>
    </row>
    <row r="54" spans="2:18" ht="15.6" x14ac:dyDescent="0.3">
      <c r="B54" s="48"/>
      <c r="C54" s="85" t="s">
        <v>147</v>
      </c>
      <c r="D54" s="87">
        <v>1335</v>
      </c>
      <c r="E54" s="87">
        <v>3997</v>
      </c>
      <c r="F54" s="88">
        <v>279</v>
      </c>
      <c r="G54" s="95">
        <v>21.22</v>
      </c>
      <c r="H54" s="90">
        <f t="shared" si="54"/>
        <v>6.9802351763822865E-2</v>
      </c>
      <c r="I54" s="87">
        <v>132</v>
      </c>
      <c r="J54" s="87">
        <v>990</v>
      </c>
      <c r="K54" s="96">
        <v>1078</v>
      </c>
      <c r="L54" s="96">
        <v>1974</v>
      </c>
      <c r="M54" s="91">
        <f t="shared" si="55"/>
        <v>50.801131008482564</v>
      </c>
      <c r="N54" s="91">
        <f t="shared" si="56"/>
        <v>93.025447690857689</v>
      </c>
      <c r="O54" s="92">
        <f t="shared" si="60"/>
        <v>85</v>
      </c>
      <c r="P54" s="63">
        <f t="shared" si="58"/>
        <v>12.68235294117647</v>
      </c>
      <c r="Q54" s="63">
        <f t="shared" si="59"/>
        <v>23.223529411764705</v>
      </c>
    </row>
    <row r="55" spans="2:18" ht="15.6" x14ac:dyDescent="0.3">
      <c r="B55" s="97" t="s">
        <v>148</v>
      </c>
      <c r="C55" s="85" t="s">
        <v>149</v>
      </c>
      <c r="D55" s="87">
        <v>1227</v>
      </c>
      <c r="E55" s="87">
        <v>3578</v>
      </c>
      <c r="F55" s="88">
        <v>323</v>
      </c>
      <c r="G55" s="95">
        <v>24.23</v>
      </c>
      <c r="H55" s="90">
        <f t="shared" si="54"/>
        <v>9.0273896031302397E-2</v>
      </c>
      <c r="I55" s="87">
        <v>132</v>
      </c>
      <c r="J55" s="87">
        <v>1192</v>
      </c>
      <c r="K55" s="98">
        <v>982</v>
      </c>
      <c r="L55" s="98">
        <v>2815</v>
      </c>
      <c r="M55" s="91">
        <f t="shared" si="55"/>
        <v>40.528270738753612</v>
      </c>
      <c r="N55" s="91">
        <f t="shared" si="56"/>
        <v>116.17829137432935</v>
      </c>
      <c r="O55" s="92">
        <f t="shared" si="60"/>
        <v>100.30303030303031</v>
      </c>
      <c r="P55" s="63">
        <f t="shared" si="58"/>
        <v>9.7903323262839876</v>
      </c>
      <c r="Q55" s="63">
        <f t="shared" si="59"/>
        <v>28.064954682779454</v>
      </c>
      <c r="R55" s="98"/>
    </row>
    <row r="56" spans="2:18" ht="15.6" x14ac:dyDescent="0.3">
      <c r="B56" s="48"/>
      <c r="C56" s="85" t="s">
        <v>150</v>
      </c>
      <c r="D56" s="87">
        <v>1134</v>
      </c>
      <c r="E56" s="87">
        <v>3003</v>
      </c>
      <c r="F56" s="88">
        <v>206</v>
      </c>
      <c r="G56" s="95">
        <v>31.29</v>
      </c>
      <c r="H56" s="90">
        <f t="shared" si="54"/>
        <v>6.8598068598068593E-2</v>
      </c>
      <c r="I56" s="87">
        <v>66</v>
      </c>
      <c r="J56" s="87">
        <v>998</v>
      </c>
      <c r="K56" s="98">
        <v>818</v>
      </c>
      <c r="L56" s="98">
        <v>2396</v>
      </c>
      <c r="M56" s="91">
        <f t="shared" si="55"/>
        <v>26.142537551933525</v>
      </c>
      <c r="N56" s="91">
        <f t="shared" si="56"/>
        <v>76.573985298817519</v>
      </c>
      <c r="O56" s="92">
        <f t="shared" si="60"/>
        <v>161.21212121212122</v>
      </c>
      <c r="P56" s="63">
        <f t="shared" si="58"/>
        <v>5.0740601503759395</v>
      </c>
      <c r="Q56" s="63">
        <f t="shared" si="59"/>
        <v>14.862406015037594</v>
      </c>
      <c r="R56" s="99"/>
    </row>
    <row r="57" spans="2:18" ht="15.6" x14ac:dyDescent="0.3">
      <c r="B57" s="48"/>
      <c r="C57" s="85" t="s">
        <v>151</v>
      </c>
      <c r="D57" s="87">
        <v>1117</v>
      </c>
      <c r="E57" s="87">
        <v>2561</v>
      </c>
      <c r="F57" s="88">
        <v>67</v>
      </c>
      <c r="G57" s="95">
        <v>10.199999999999999</v>
      </c>
      <c r="H57" s="90">
        <f t="shared" si="54"/>
        <v>2.616165560327997E-2</v>
      </c>
      <c r="I57" s="87">
        <v>66</v>
      </c>
      <c r="J57" s="87">
        <v>786</v>
      </c>
      <c r="K57" s="98">
        <v>761</v>
      </c>
      <c r="L57" s="98">
        <v>1348</v>
      </c>
      <c r="M57" s="91">
        <f t="shared" si="55"/>
        <v>74.607843137254903</v>
      </c>
      <c r="N57" s="91">
        <f t="shared" si="56"/>
        <v>132.15686274509804</v>
      </c>
      <c r="O57" s="92">
        <f t="shared" si="60"/>
        <v>129.09090909090909</v>
      </c>
      <c r="P57" s="63">
        <f t="shared" si="58"/>
        <v>5.8950704225352109</v>
      </c>
      <c r="Q57" s="63">
        <f t="shared" si="59"/>
        <v>10.44225352112676</v>
      </c>
      <c r="R57" s="99"/>
    </row>
    <row r="58" spans="2:18" ht="15.6" x14ac:dyDescent="0.3">
      <c r="B58" s="48"/>
      <c r="C58" s="85" t="s">
        <v>152</v>
      </c>
      <c r="D58" s="87">
        <f>1026+71</f>
        <v>1097</v>
      </c>
      <c r="E58" s="87">
        <v>2416</v>
      </c>
      <c r="F58" s="88">
        <v>115</v>
      </c>
      <c r="G58" s="95">
        <v>17.440000000000001</v>
      </c>
      <c r="H58" s="90">
        <f t="shared" si="54"/>
        <v>4.7599337748344371E-2</v>
      </c>
      <c r="I58" s="87">
        <v>66</v>
      </c>
      <c r="J58" s="87">
        <v>702</v>
      </c>
      <c r="K58" s="98">
        <v>879</v>
      </c>
      <c r="L58" s="98">
        <v>1984</v>
      </c>
      <c r="M58" s="91">
        <f t="shared" si="55"/>
        <v>50.401376146788984</v>
      </c>
      <c r="N58" s="91">
        <f t="shared" si="56"/>
        <v>113.76146788990825</v>
      </c>
      <c r="O58" s="92">
        <f t="shared" si="60"/>
        <v>116.36363636363637</v>
      </c>
      <c r="P58" s="63">
        <f t="shared" si="58"/>
        <v>7.5539062499999989</v>
      </c>
      <c r="Q58" s="63">
        <f t="shared" si="59"/>
        <v>17.049999999999997</v>
      </c>
      <c r="R58" s="100"/>
    </row>
    <row r="59" spans="2:18" ht="15.6" x14ac:dyDescent="0.3">
      <c r="B59" s="48"/>
      <c r="C59" s="85" t="s">
        <v>153</v>
      </c>
      <c r="D59" s="87">
        <f>876+54</f>
        <v>930</v>
      </c>
      <c r="E59" s="87">
        <v>2082</v>
      </c>
      <c r="F59" s="88">
        <v>123</v>
      </c>
      <c r="G59" s="95">
        <v>18.82</v>
      </c>
      <c r="H59" s="90">
        <f t="shared" si="54"/>
        <v>5.9077809798270896E-2</v>
      </c>
      <c r="I59" s="87">
        <v>66</v>
      </c>
      <c r="J59" s="87">
        <v>606</v>
      </c>
      <c r="K59" s="98">
        <v>939</v>
      </c>
      <c r="L59" s="98">
        <v>1719</v>
      </c>
      <c r="M59" s="91">
        <f t="shared" si="55"/>
        <v>49.893730074388948</v>
      </c>
      <c r="N59" s="91">
        <f t="shared" si="56"/>
        <v>91.339001062699253</v>
      </c>
      <c r="O59" s="92">
        <f t="shared" si="60"/>
        <v>101.81818181818183</v>
      </c>
      <c r="P59" s="63">
        <f t="shared" si="58"/>
        <v>9.2223214285714281</v>
      </c>
      <c r="Q59" s="63">
        <f t="shared" si="59"/>
        <v>16.883035714285711</v>
      </c>
      <c r="R59" s="99"/>
    </row>
    <row r="60" spans="2:18" ht="15.6" x14ac:dyDescent="0.3">
      <c r="B60" s="48"/>
      <c r="C60" s="85" t="s">
        <v>154</v>
      </c>
      <c r="D60" s="87">
        <f>726+26</f>
        <v>752</v>
      </c>
      <c r="E60" s="87">
        <v>1724</v>
      </c>
      <c r="F60" s="101">
        <v>126</v>
      </c>
      <c r="G60" s="95">
        <v>19.25</v>
      </c>
      <c r="H60" s="90">
        <f t="shared" si="54"/>
        <v>7.3085846867749424E-2</v>
      </c>
      <c r="I60" s="102">
        <v>66</v>
      </c>
      <c r="J60" s="102">
        <v>485</v>
      </c>
      <c r="K60" s="98">
        <v>928</v>
      </c>
      <c r="L60" s="98">
        <v>1390</v>
      </c>
      <c r="M60" s="91">
        <f t="shared" si="55"/>
        <v>48.20779220779221</v>
      </c>
      <c r="N60" s="91">
        <f t="shared" si="56"/>
        <v>72.20779220779221</v>
      </c>
      <c r="O60" s="92">
        <f t="shared" si="60"/>
        <v>83.484848484848484</v>
      </c>
      <c r="P60" s="63">
        <f t="shared" si="58"/>
        <v>11.115789473684211</v>
      </c>
      <c r="Q60" s="63">
        <f t="shared" si="59"/>
        <v>16.649727767695101</v>
      </c>
      <c r="R60" s="100"/>
    </row>
    <row r="61" spans="2:18" ht="15.6" x14ac:dyDescent="0.3">
      <c r="B61" s="48"/>
      <c r="C61" s="85" t="s">
        <v>155</v>
      </c>
      <c r="D61" s="87">
        <v>586</v>
      </c>
      <c r="E61" s="87">
        <v>1408</v>
      </c>
      <c r="F61" s="103">
        <v>135</v>
      </c>
      <c r="G61" s="95">
        <v>20.73</v>
      </c>
      <c r="H61" s="90">
        <f t="shared" si="54"/>
        <v>9.5880681818181823E-2</v>
      </c>
      <c r="I61" s="99">
        <v>65</v>
      </c>
      <c r="J61" s="99">
        <v>364</v>
      </c>
      <c r="K61" s="98">
        <v>1020</v>
      </c>
      <c r="L61" s="91">
        <v>1397</v>
      </c>
      <c r="M61" s="91">
        <f t="shared" si="55"/>
        <v>49.204052098408106</v>
      </c>
      <c r="N61" s="91">
        <f t="shared" si="56"/>
        <v>67.390255668113838</v>
      </c>
      <c r="O61" s="92">
        <f t="shared" si="60"/>
        <v>66</v>
      </c>
      <c r="P61" s="63">
        <f t="shared" si="58"/>
        <v>15.454545454545455</v>
      </c>
      <c r="Q61" s="63">
        <f t="shared" si="59"/>
        <v>21.166666666666668</v>
      </c>
    </row>
    <row r="62" spans="2:18" ht="15.6" x14ac:dyDescent="0.3">
      <c r="B62" s="48"/>
      <c r="C62" s="85" t="s">
        <v>156</v>
      </c>
      <c r="D62" s="87">
        <v>465</v>
      </c>
      <c r="E62" s="87">
        <v>1018</v>
      </c>
      <c r="F62" s="103">
        <v>106</v>
      </c>
      <c r="G62" s="95">
        <f>(F62*G61)/F61</f>
        <v>16.276888888888891</v>
      </c>
      <c r="H62" s="90">
        <f t="shared" si="54"/>
        <v>0.10412573673870335</v>
      </c>
      <c r="I62" s="99">
        <v>65</v>
      </c>
      <c r="J62" s="99">
        <v>231</v>
      </c>
      <c r="K62" s="98">
        <v>543</v>
      </c>
      <c r="L62" s="91">
        <v>1189</v>
      </c>
      <c r="M62" s="91">
        <f t="shared" si="55"/>
        <v>33.360183491248662</v>
      </c>
      <c r="N62" s="91">
        <f t="shared" si="56"/>
        <v>73.048357589492937</v>
      </c>
      <c r="O62" s="92">
        <f t="shared" si="60"/>
        <v>45.53846153846154</v>
      </c>
      <c r="P62" s="63">
        <f t="shared" si="58"/>
        <v>11.923986486486486</v>
      </c>
      <c r="Q62" s="63">
        <f t="shared" si="59"/>
        <v>26.109797297297295</v>
      </c>
    </row>
    <row r="63" spans="2:18" ht="15.6" x14ac:dyDescent="0.3">
      <c r="B63" s="48"/>
      <c r="C63" s="85" t="s">
        <v>157</v>
      </c>
      <c r="D63" s="87">
        <v>378</v>
      </c>
      <c r="E63" s="87">
        <v>678</v>
      </c>
      <c r="F63" s="103">
        <v>72</v>
      </c>
      <c r="G63" s="95">
        <v>11.2</v>
      </c>
      <c r="H63" s="90">
        <f t="shared" si="54"/>
        <v>0.10619469026548672</v>
      </c>
      <c r="I63" s="99">
        <v>65</v>
      </c>
      <c r="J63" s="99">
        <v>200</v>
      </c>
      <c r="K63" s="98">
        <v>252</v>
      </c>
      <c r="L63" s="98">
        <v>671</v>
      </c>
      <c r="M63" s="91">
        <f t="shared" si="55"/>
        <v>22.5</v>
      </c>
      <c r="N63" s="91">
        <f t="shared" si="56"/>
        <v>59.910714285714292</v>
      </c>
      <c r="O63" s="92">
        <f t="shared" si="60"/>
        <v>40.769230769230766</v>
      </c>
      <c r="P63" s="63">
        <f t="shared" si="58"/>
        <v>6.181132075471699</v>
      </c>
      <c r="Q63" s="63">
        <f t="shared" si="59"/>
        <v>16.458490566037735</v>
      </c>
    </row>
    <row r="64" spans="2:18" ht="15.6" x14ac:dyDescent="0.3">
      <c r="B64" s="97" t="s">
        <v>158</v>
      </c>
      <c r="C64" s="85" t="s">
        <v>159</v>
      </c>
      <c r="D64" s="87">
        <v>306</v>
      </c>
      <c r="E64" s="87">
        <v>424</v>
      </c>
      <c r="F64" s="103">
        <v>33</v>
      </c>
      <c r="G64" s="95">
        <v>5.54</v>
      </c>
      <c r="H64" s="90">
        <f t="shared" si="54"/>
        <v>7.783018867924528E-2</v>
      </c>
      <c r="I64" s="99">
        <v>64</v>
      </c>
      <c r="J64" s="99">
        <v>53</v>
      </c>
      <c r="K64" s="98">
        <v>162</v>
      </c>
      <c r="L64" s="98">
        <v>362</v>
      </c>
      <c r="M64" s="91">
        <f t="shared" si="55"/>
        <v>29.241877256317689</v>
      </c>
      <c r="N64" s="91">
        <f t="shared" si="56"/>
        <v>65.342960288808669</v>
      </c>
      <c r="O64" s="92">
        <f t="shared" si="60"/>
        <v>18.28125</v>
      </c>
      <c r="P64" s="63">
        <f t="shared" si="58"/>
        <v>8.861538461538462</v>
      </c>
      <c r="Q64" s="63">
        <f t="shared" si="59"/>
        <v>19.801709401709402</v>
      </c>
    </row>
    <row r="65" spans="2:17" ht="15.6" x14ac:dyDescent="0.3">
      <c r="B65" s="40"/>
      <c r="C65" s="85" t="s">
        <v>160</v>
      </c>
      <c r="D65" s="87">
        <v>241</v>
      </c>
      <c r="E65" s="87">
        <v>281</v>
      </c>
      <c r="F65" s="104">
        <v>7</v>
      </c>
      <c r="G65" s="98"/>
      <c r="H65" s="90">
        <f t="shared" si="54"/>
        <v>2.491103202846975E-2</v>
      </c>
      <c r="I65" s="99">
        <v>60</v>
      </c>
      <c r="J65" s="98"/>
      <c r="L65" s="98"/>
      <c r="M65" s="98"/>
      <c r="N65" s="98"/>
      <c r="O65" s="105"/>
      <c r="P65" s="8"/>
      <c r="Q65" s="8"/>
    </row>
    <row r="66" spans="2:17" ht="15.6" x14ac:dyDescent="0.3">
      <c r="B66" s="48"/>
      <c r="C66" s="85" t="s">
        <v>161</v>
      </c>
      <c r="D66" s="99">
        <v>181</v>
      </c>
      <c r="E66" s="99">
        <v>211</v>
      </c>
      <c r="F66" s="103">
        <v>8</v>
      </c>
      <c r="G66" s="99"/>
      <c r="H66" s="90">
        <f t="shared" si="54"/>
        <v>3.7914691943127965E-2</v>
      </c>
      <c r="I66" s="99">
        <v>60</v>
      </c>
      <c r="J66" s="99"/>
      <c r="L66" s="98"/>
      <c r="M66" s="98"/>
      <c r="N66" s="98"/>
      <c r="O66" s="105"/>
      <c r="P66" s="8"/>
      <c r="Q66" s="8"/>
    </row>
    <row r="67" spans="2:17" ht="15.6" x14ac:dyDescent="0.3">
      <c r="B67" s="48"/>
      <c r="C67" s="85" t="s">
        <v>162</v>
      </c>
      <c r="D67" s="99">
        <v>130</v>
      </c>
      <c r="E67" s="99">
        <v>139</v>
      </c>
      <c r="F67" s="88">
        <v>6</v>
      </c>
      <c r="G67" s="99"/>
      <c r="H67" s="90">
        <f t="shared" si="54"/>
        <v>4.3165467625899283E-2</v>
      </c>
      <c r="I67" s="99"/>
      <c r="J67" s="99"/>
      <c r="L67" s="98"/>
      <c r="M67" s="98"/>
      <c r="N67" s="98"/>
      <c r="O67" s="105"/>
      <c r="P67" s="8"/>
      <c r="Q67" s="8"/>
    </row>
    <row r="68" spans="2:17" ht="15.6" x14ac:dyDescent="0.3">
      <c r="B68" s="48"/>
      <c r="C68" s="85" t="s">
        <v>163</v>
      </c>
      <c r="D68" s="99"/>
      <c r="E68" s="99">
        <v>97</v>
      </c>
      <c r="F68" s="88">
        <v>2</v>
      </c>
      <c r="G68" s="100"/>
      <c r="H68" s="90">
        <f t="shared" si="54"/>
        <v>2.0618556701030927E-2</v>
      </c>
      <c r="I68" s="100"/>
      <c r="J68" s="100"/>
      <c r="L68" s="98"/>
      <c r="M68" s="98"/>
      <c r="N68" s="98"/>
      <c r="O68" s="105"/>
      <c r="P68" s="8"/>
      <c r="Q68" s="8"/>
    </row>
    <row r="69" spans="2:17" ht="15.6" x14ac:dyDescent="0.3">
      <c r="B69" s="48"/>
      <c r="C69" s="85" t="s">
        <v>164</v>
      </c>
      <c r="D69" s="99"/>
      <c r="E69" s="99">
        <v>74</v>
      </c>
      <c r="F69" s="88">
        <v>-0.6</v>
      </c>
      <c r="G69" s="99"/>
      <c r="H69" s="90">
        <f t="shared" si="54"/>
        <v>-8.1081081081081086E-3</v>
      </c>
      <c r="I69" s="99"/>
      <c r="J69" s="99"/>
      <c r="L69" s="98"/>
      <c r="M69" s="98"/>
      <c r="N69" s="98"/>
      <c r="O69" s="105"/>
      <c r="P69" s="8"/>
      <c r="Q69" s="8"/>
    </row>
    <row r="80" spans="2:17" ht="13.8" x14ac:dyDescent="0.25">
      <c r="B80" s="106"/>
    </row>
    <row r="82" spans="2:4" ht="13.8" x14ac:dyDescent="0.25">
      <c r="B82" s="106"/>
    </row>
    <row r="84" spans="2:4" ht="13.8" x14ac:dyDescent="0.25">
      <c r="B84" s="106"/>
      <c r="D84" s="106"/>
    </row>
    <row r="100" spans="4:4" ht="13.8" x14ac:dyDescent="0.25">
      <c r="D100" s="107"/>
    </row>
    <row r="101" spans="4:4" ht="13.8" x14ac:dyDescent="0.25">
      <c r="D101" s="107"/>
    </row>
    <row r="102" spans="4:4" ht="13.8" x14ac:dyDescent="0.25">
      <c r="D102" s="107"/>
    </row>
    <row r="103" spans="4:4" ht="13.8" x14ac:dyDescent="0.25">
      <c r="D103" s="107"/>
    </row>
    <row r="104" spans="4:4" ht="13.8" x14ac:dyDescent="0.25">
      <c r="D104" s="107"/>
    </row>
    <row r="105" spans="4:4" ht="13.8" x14ac:dyDescent="0.25">
      <c r="D105" s="107"/>
    </row>
    <row r="106" spans="4:4" ht="13.8" x14ac:dyDescent="0.25">
      <c r="D106" s="107"/>
    </row>
    <row r="107" spans="4:4" ht="13.8" x14ac:dyDescent="0.25">
      <c r="D107" s="107"/>
    </row>
    <row r="108" spans="4:4" ht="13.8" x14ac:dyDescent="0.25">
      <c r="D108" s="107"/>
    </row>
    <row r="109" spans="4:4" ht="13.8" x14ac:dyDescent="0.25">
      <c r="D109" s="107"/>
    </row>
    <row r="110" spans="4:4" ht="13.8" x14ac:dyDescent="0.25">
      <c r="D110" s="107"/>
    </row>
    <row r="111" spans="4:4" ht="13.8" x14ac:dyDescent="0.25">
      <c r="D111" s="107"/>
    </row>
  </sheetData>
  <mergeCells count="1">
    <mergeCell ref="T37:T39"/>
  </mergeCells>
  <conditionalFormatting sqref="C38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3:D41 D46:D69">
    <cfRule type="colorScale" priority="5">
      <colorScale>
        <cfvo type="min"/>
        <cfvo type="max"/>
        <color rgb="FFFFFFFF"/>
        <color rgb="FF57BB8A"/>
      </colorScale>
    </cfRule>
  </conditionalFormatting>
  <conditionalFormatting sqref="D18:E19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7:G37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8:G38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9:G39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32:E41 E46:E69">
    <cfRule type="colorScale" priority="4">
      <colorScale>
        <cfvo type="min"/>
        <cfvo type="max"/>
        <color rgb="FFFFFFFF"/>
        <color rgb="FF57BB8A"/>
      </colorScale>
    </cfRule>
  </conditionalFormatting>
  <conditionalFormatting sqref="F18:F19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3:F41 F46:F69">
    <cfRule type="colorScale" priority="6">
      <colorScale>
        <cfvo type="min"/>
        <cfvo type="max"/>
        <color rgb="FFFFFFFF"/>
        <color rgb="FF57BB8A"/>
      </colorScale>
    </cfRule>
  </conditionalFormatting>
  <conditionalFormatting sqref="G48:G64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5:H41 H46:H69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5:I41 I46:I66">
    <cfRule type="colorScale" priority="8">
      <colorScale>
        <cfvo type="min"/>
        <cfvo type="max"/>
        <color rgb="FFFFFFFF"/>
        <color rgb="FF57BB8A"/>
      </colorScale>
    </cfRule>
  </conditionalFormatting>
  <conditionalFormatting sqref="J21:J24 E24 O24 E32:E34 O32:O34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5:J41 J46:J66">
    <cfRule type="colorScale" priority="9">
      <colorScale>
        <cfvo type="min"/>
        <cfvo type="max"/>
        <color rgb="FFFFFFFF"/>
        <color rgb="FF57BB8A"/>
      </colorScale>
    </cfRule>
  </conditionalFormatting>
  <conditionalFormatting sqref="J37:O37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5:K41 K46:K64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35:L41 L46:L64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48:N64">
    <cfRule type="colorScale" priority="2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20:O24 J21:J24 E22:E24 E32:E34 O32:O34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48:O64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29:P41 P46:P64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32:Q41 Q46:Q64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39:S39 O13">
    <cfRule type="colorScale" priority="3">
      <colorScale>
        <cfvo type="min"/>
        <cfvo type="max"/>
        <color rgb="FFFFFFFF"/>
        <color rgb="FFE67C73"/>
      </colorScale>
    </cfRule>
  </conditionalFormatting>
  <conditionalFormatting sqref="O11 T11 Q37:T37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24:U29 U31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V25:Y30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D24:AD31 X32:X33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E24:AE31 Y32:Y33">
    <cfRule type="colorScale" priority="1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K20:AK23 T24:T29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JUBILANTFOOD FAIRVALUE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2025-08-29T03:52:37Z</dcterms:created>
  <dcterms:modified xsi:type="dcterms:W3CDTF">2025-08-29T03:52:54Z</dcterms:modified>
</cp:coreProperties>
</file>