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25\"/>
    </mc:Choice>
  </mc:AlternateContent>
  <xr:revisionPtr revIDLastSave="0" documentId="8_{1561596A-E88D-4DE6-8A24-CAFA6BD4DED0}" xr6:coauthVersionLast="47" xr6:coauthVersionMax="47" xr10:uidLastSave="{00000000-0000-0000-0000-000000000000}"/>
  <bookViews>
    <workbookView xWindow="-108" yWindow="-108" windowWidth="23256" windowHeight="12456" xr2:uid="{32A6605D-97C9-4DCB-BAA1-30252FFB5083}"/>
  </bookViews>
  <sheets>
    <sheet name="JUBILANTFOOD FAIRVALUE" sheetId="1" r:id="rId1"/>
    <sheet name="Restaurants    " sheetId="2" r:id="rId2"/>
  </sheets>
  <externalReferences>
    <externalReference r:id="rId3"/>
  </externalReferences>
  <definedNames>
    <definedName name="_xlnm._FilterDatabase" localSheetId="1" hidden="1">'Restaurants    '!$A$1:$AL$11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3" i="2" l="1"/>
  <c r="T43" i="2"/>
  <c r="K43" i="2"/>
  <c r="G43" i="2"/>
  <c r="Y39" i="2"/>
  <c r="V39" i="2"/>
  <c r="Y38" i="2"/>
  <c r="X38" i="2"/>
  <c r="W38" i="2"/>
  <c r="V38" i="2"/>
  <c r="Y37" i="2"/>
  <c r="X37" i="2"/>
  <c r="V37" i="2"/>
  <c r="AL13" i="2"/>
  <c r="AJ13" i="2"/>
  <c r="AI13" i="2"/>
  <c r="AB13" i="2"/>
  <c r="Y13" i="2"/>
  <c r="V13" i="2"/>
  <c r="U13" i="2"/>
  <c r="T13" i="2"/>
  <c r="Z13" i="2" s="1"/>
  <c r="S13" i="2"/>
  <c r="W13" i="2" s="1"/>
  <c r="R13" i="2"/>
  <c r="AH13" i="2" s="1"/>
  <c r="Q13" i="2"/>
  <c r="AA13" i="2" s="1"/>
  <c r="P13" i="2"/>
  <c r="O13" i="2"/>
  <c r="N13" i="2"/>
  <c r="M13" i="2"/>
  <c r="L13" i="2"/>
  <c r="AC13" i="2" s="1"/>
  <c r="K13" i="2"/>
  <c r="AD13" i="2" s="1"/>
  <c r="J13" i="2"/>
  <c r="AK13" i="2" s="1"/>
  <c r="I13" i="2"/>
  <c r="AG13" i="2" s="1"/>
  <c r="H13" i="2"/>
  <c r="AE13" i="2" s="1"/>
  <c r="G13" i="2"/>
  <c r="F13" i="2"/>
  <c r="E13" i="2"/>
  <c r="C11" i="2"/>
  <c r="D10" i="2"/>
  <c r="C10" i="2"/>
  <c r="Z9" i="2"/>
  <c r="Y9" i="2"/>
  <c r="X9" i="2"/>
  <c r="W9" i="2"/>
  <c r="D9" i="2"/>
  <c r="C9" i="2"/>
  <c r="Z8" i="2"/>
  <c r="Y8" i="2"/>
  <c r="X8" i="2"/>
  <c r="W8" i="2"/>
  <c r="D8" i="2"/>
  <c r="C8" i="2"/>
  <c r="Z7" i="2"/>
  <c r="Y7" i="2"/>
  <c r="X7" i="2"/>
  <c r="W7" i="2"/>
  <c r="D7" i="2"/>
  <c r="C7" i="2"/>
  <c r="Z6" i="2"/>
  <c r="Y6" i="2"/>
  <c r="X6" i="2"/>
  <c r="W6" i="2"/>
  <c r="D6" i="2"/>
  <c r="C6" i="2"/>
  <c r="Z5" i="2"/>
  <c r="Y5" i="2"/>
  <c r="X5" i="2"/>
  <c r="W5" i="2"/>
  <c r="D5" i="2"/>
  <c r="C5" i="2"/>
  <c r="Z4" i="2"/>
  <c r="Y4" i="2"/>
  <c r="X4" i="2"/>
  <c r="W4" i="2"/>
  <c r="D4" i="2"/>
  <c r="C4" i="2"/>
  <c r="Z3" i="2"/>
  <c r="Y3" i="2"/>
  <c r="X3" i="2"/>
  <c r="W3" i="2"/>
  <c r="D3" i="2"/>
  <c r="C3" i="2"/>
  <c r="Z2" i="2"/>
  <c r="Y2" i="2"/>
  <c r="X2" i="2"/>
  <c r="W2" i="2"/>
  <c r="D2" i="2"/>
  <c r="C2" i="2"/>
  <c r="I47" i="1"/>
  <c r="I46" i="1"/>
  <c r="I45" i="1"/>
  <c r="I44" i="1"/>
  <c r="I43" i="1"/>
  <c r="P42" i="1"/>
  <c r="O42" i="1"/>
  <c r="N42" i="1"/>
  <c r="I42" i="1"/>
  <c r="P41" i="1"/>
  <c r="O41" i="1"/>
  <c r="N41" i="1"/>
  <c r="I41" i="1"/>
  <c r="T40" i="1"/>
  <c r="S40" i="1"/>
  <c r="U36" i="1" s="1"/>
  <c r="P40" i="1"/>
  <c r="I40" i="1"/>
  <c r="H40" i="1"/>
  <c r="O40" i="1" s="1"/>
  <c r="P39" i="1"/>
  <c r="O39" i="1"/>
  <c r="N39" i="1"/>
  <c r="I39" i="1"/>
  <c r="Y38" i="1"/>
  <c r="V38" i="1"/>
  <c r="P38" i="1"/>
  <c r="O38" i="1"/>
  <c r="N38" i="1"/>
  <c r="I38" i="1"/>
  <c r="E38" i="1"/>
  <c r="V37" i="1"/>
  <c r="P37" i="1"/>
  <c r="O37" i="1"/>
  <c r="N37" i="1"/>
  <c r="I37" i="1"/>
  <c r="E37" i="1"/>
  <c r="AF36" i="1"/>
  <c r="AE36" i="1"/>
  <c r="AF33" i="1" s="1"/>
  <c r="AA36" i="1"/>
  <c r="Z36" i="1"/>
  <c r="V36" i="1"/>
  <c r="P36" i="1"/>
  <c r="O36" i="1"/>
  <c r="N36" i="1"/>
  <c r="I36" i="1"/>
  <c r="E36" i="1"/>
  <c r="AA35" i="1"/>
  <c r="Z35" i="1"/>
  <c r="V35" i="1"/>
  <c r="P35" i="1"/>
  <c r="P23" i="1" s="1"/>
  <c r="O35" i="1"/>
  <c r="N35" i="1"/>
  <c r="I35" i="1"/>
  <c r="AF34" i="1"/>
  <c r="AA34" i="1"/>
  <c r="Z34" i="1"/>
  <c r="V34" i="1"/>
  <c r="U34" i="1"/>
  <c r="P34" i="1"/>
  <c r="O34" i="1"/>
  <c r="N34" i="1"/>
  <c r="I34" i="1"/>
  <c r="AA33" i="1"/>
  <c r="Z33" i="1"/>
  <c r="V33" i="1"/>
  <c r="P33" i="1"/>
  <c r="O33" i="1"/>
  <c r="N33" i="1"/>
  <c r="I33" i="1"/>
  <c r="AF32" i="1"/>
  <c r="AA32" i="1"/>
  <c r="Z32" i="1"/>
  <c r="Z38" i="1" s="1"/>
  <c r="V32" i="1"/>
  <c r="P32" i="1"/>
  <c r="O32" i="1"/>
  <c r="N32" i="1"/>
  <c r="I32" i="1"/>
  <c r="P31" i="1"/>
  <c r="O31" i="1"/>
  <c r="N31" i="1"/>
  <c r="I31" i="1"/>
  <c r="P30" i="1"/>
  <c r="O30" i="1"/>
  <c r="M30" i="1"/>
  <c r="L30" i="1"/>
  <c r="N30" i="1" s="1"/>
  <c r="I30" i="1"/>
  <c r="I24" i="1" s="1"/>
  <c r="H30" i="1"/>
  <c r="P29" i="1"/>
  <c r="O29" i="1"/>
  <c r="N29" i="1"/>
  <c r="N23" i="1" s="1"/>
  <c r="I29" i="1"/>
  <c r="AD28" i="1"/>
  <c r="AC28" i="1"/>
  <c r="AE28" i="1" s="1"/>
  <c r="Z28" i="1"/>
  <c r="Y28" i="1"/>
  <c r="X28" i="1"/>
  <c r="U28" i="1"/>
  <c r="T28" i="1"/>
  <c r="S28" i="1"/>
  <c r="P28" i="1"/>
  <c r="O28" i="1"/>
  <c r="O23" i="1" s="1"/>
  <c r="N28" i="1"/>
  <c r="I28" i="1"/>
  <c r="AD27" i="1"/>
  <c r="Y27" i="1"/>
  <c r="X27" i="1"/>
  <c r="Z27" i="1" s="1"/>
  <c r="U27" i="1"/>
  <c r="T27" i="1"/>
  <c r="S27" i="1"/>
  <c r="P27" i="1"/>
  <c r="O27" i="1"/>
  <c r="N27" i="1"/>
  <c r="G27" i="1"/>
  <c r="I27" i="1" s="1"/>
  <c r="F27" i="1"/>
  <c r="E27" i="1"/>
  <c r="D27" i="1"/>
  <c r="AE26" i="1"/>
  <c r="Z26" i="1"/>
  <c r="U26" i="1"/>
  <c r="AC25" i="1"/>
  <c r="AC27" i="1" s="1"/>
  <c r="AE27" i="1" s="1"/>
  <c r="Z25" i="1"/>
  <c r="U25" i="1"/>
  <c r="N25" i="1"/>
  <c r="M25" i="1"/>
  <c r="AE24" i="1"/>
  <c r="Z24" i="1"/>
  <c r="U24" i="1"/>
  <c r="J24" i="1"/>
  <c r="G24" i="1"/>
  <c r="F24" i="1"/>
  <c r="E24" i="1"/>
  <c r="D24" i="1"/>
  <c r="AE23" i="1"/>
  <c r="Z23" i="1"/>
  <c r="U23" i="1"/>
  <c r="M23" i="1"/>
  <c r="L23" i="1"/>
  <c r="K23" i="1"/>
  <c r="J23" i="1"/>
  <c r="I23" i="1"/>
  <c r="H23" i="1"/>
  <c r="G23" i="1"/>
  <c r="F23" i="1"/>
  <c r="E23" i="1"/>
  <c r="D23" i="1"/>
  <c r="AE22" i="1"/>
  <c r="Z22" i="1"/>
  <c r="U22" i="1"/>
  <c r="B9" i="1" s="1"/>
  <c r="P22" i="1"/>
  <c r="M22" i="1"/>
  <c r="L22" i="1"/>
  <c r="K22" i="1"/>
  <c r="J22" i="1"/>
  <c r="I22" i="1"/>
  <c r="H22" i="1"/>
  <c r="G22" i="1"/>
  <c r="F22" i="1"/>
  <c r="E22" i="1"/>
  <c r="D22" i="1"/>
  <c r="AE21" i="1"/>
  <c r="Z21" i="1"/>
  <c r="U21" i="1"/>
  <c r="P21" i="1"/>
  <c r="N21" i="1"/>
  <c r="M21" i="1"/>
  <c r="L21" i="1"/>
  <c r="K21" i="1"/>
  <c r="J21" i="1"/>
  <c r="I21" i="1"/>
  <c r="H21" i="1"/>
  <c r="G21" i="1"/>
  <c r="F21" i="1"/>
  <c r="E21" i="1"/>
  <c r="D21" i="1"/>
  <c r="D17" i="1"/>
  <c r="P14" i="1"/>
  <c r="D14" i="1"/>
  <c r="D13" i="1" s="1"/>
  <c r="Q12" i="1"/>
  <c r="N12" i="1"/>
  <c r="S9" i="1"/>
  <c r="R9" i="1"/>
  <c r="Q9" i="1"/>
  <c r="N9" i="1"/>
  <c r="H9" i="1"/>
  <c r="G9" i="1"/>
  <c r="F9" i="1"/>
  <c r="D9" i="1"/>
  <c r="C9" i="1"/>
  <c r="W5" i="1"/>
  <c r="V5" i="1"/>
  <c r="U5" i="1"/>
  <c r="T5" i="1"/>
  <c r="S5" i="1"/>
  <c r="Q5" i="1"/>
  <c r="P5" i="1"/>
  <c r="O5" i="1"/>
  <c r="N5" i="1"/>
  <c r="M5" i="1"/>
  <c r="L5" i="1"/>
  <c r="K5" i="1"/>
  <c r="J5" i="1"/>
  <c r="I5" i="1"/>
  <c r="G5" i="1"/>
  <c r="F5" i="1"/>
  <c r="X4" i="1"/>
  <c r="R4" i="1"/>
  <c r="R5" i="1" s="1"/>
  <c r="H4" i="1"/>
  <c r="F4" i="1"/>
  <c r="X3" i="1"/>
  <c r="X5" i="1" s="1"/>
  <c r="F3" i="1"/>
  <c r="E9" i="1" s="1"/>
  <c r="E3" i="1"/>
  <c r="E4" i="1" s="1"/>
  <c r="D3" i="1"/>
  <c r="D4" i="1" s="1"/>
  <c r="D5" i="1" s="1"/>
  <c r="C3" i="1"/>
  <c r="R14" i="1" s="1"/>
  <c r="D13" i="2" l="1"/>
  <c r="X13" i="2"/>
  <c r="AF13" i="2"/>
  <c r="O9" i="1"/>
  <c r="D12" i="1"/>
  <c r="AB38" i="1"/>
  <c r="F17" i="1"/>
  <c r="E13" i="1" s="1"/>
  <c r="L9" i="1"/>
  <c r="Q14" i="1"/>
  <c r="S12" i="1" s="1"/>
  <c r="P9" i="1" s="1"/>
  <c r="N22" i="1"/>
  <c r="AF35" i="1"/>
  <c r="U38" i="1"/>
  <c r="H3" i="1"/>
  <c r="C5" i="1"/>
  <c r="M9" i="1"/>
  <c r="O21" i="1"/>
  <c r="O22" i="1"/>
  <c r="U32" i="1"/>
  <c r="U37" i="1"/>
  <c r="U40" i="1"/>
  <c r="U33" i="1"/>
  <c r="V40" i="1"/>
  <c r="E14" i="1"/>
  <c r="E18" i="1" s="1"/>
  <c r="F14" i="1" s="1"/>
  <c r="G14" i="1" s="1"/>
  <c r="AE25" i="1"/>
  <c r="U35" i="1"/>
  <c r="AA38" i="1"/>
  <c r="N40" i="1"/>
  <c r="F13" i="1" l="1"/>
  <c r="E12" i="1"/>
  <c r="O19" i="1"/>
  <c r="K9" i="1"/>
  <c r="J9" i="1"/>
  <c r="I9" i="1"/>
  <c r="H5" i="1"/>
  <c r="G13" i="1" l="1"/>
  <c r="F12" i="1"/>
  <c r="G12" i="1" s="1"/>
</calcChain>
</file>

<file path=xl/sharedStrings.xml><?xml version="1.0" encoding="utf-8"?>
<sst xmlns="http://schemas.openxmlformats.org/spreadsheetml/2006/main" count="443" uniqueCount="195">
  <si>
    <t>MARKET</t>
  </si>
  <si>
    <t>INCOME STAT</t>
  </si>
  <si>
    <t>BALANCE SHEET</t>
  </si>
  <si>
    <t>CASH FLOW</t>
  </si>
  <si>
    <t>Company</t>
  </si>
  <si>
    <t>Price</t>
  </si>
  <si>
    <t>Marketcap in Cr</t>
  </si>
  <si>
    <t>RESTAURANT</t>
  </si>
  <si>
    <t>Sales in Cr</t>
  </si>
  <si>
    <t>ADS</t>
  </si>
  <si>
    <t>Profit</t>
  </si>
  <si>
    <t>Trail_EPS</t>
  </si>
  <si>
    <t>FV</t>
  </si>
  <si>
    <t>Equity</t>
  </si>
  <si>
    <t>Reserves Cr</t>
  </si>
  <si>
    <t>Debt</t>
  </si>
  <si>
    <t>Lease Cr</t>
  </si>
  <si>
    <t>CUR.ASSETS</t>
  </si>
  <si>
    <t>CUR.LIABILITIES</t>
  </si>
  <si>
    <t>ASSETS</t>
  </si>
  <si>
    <t>LIABILITIES</t>
  </si>
  <si>
    <t>TRADE REC</t>
  </si>
  <si>
    <t>PPE</t>
  </si>
  <si>
    <t>CFO</t>
  </si>
  <si>
    <t>CFI</t>
  </si>
  <si>
    <t>CFF</t>
  </si>
  <si>
    <t>TOTAL</t>
  </si>
  <si>
    <t>JUBLFOOD</t>
  </si>
  <si>
    <t>PREVIOUS YEAR_22</t>
  </si>
  <si>
    <t>GROWTH</t>
  </si>
  <si>
    <t>LIQUIDITY</t>
  </si>
  <si>
    <t>SOLVENCY</t>
  </si>
  <si>
    <t>PROFITABILITY</t>
  </si>
  <si>
    <t>VALUATIONS</t>
  </si>
  <si>
    <t>CASHFLOW</t>
  </si>
  <si>
    <t>SALES GROWTH</t>
  </si>
  <si>
    <t>P-MARGIN</t>
  </si>
  <si>
    <t>CUR.RATIO</t>
  </si>
  <si>
    <t>TRADE CYC</t>
  </si>
  <si>
    <t>DEBT2EQUITY</t>
  </si>
  <si>
    <t>DEBTRATIO</t>
  </si>
  <si>
    <t>ICR</t>
  </si>
  <si>
    <t>ROE</t>
  </si>
  <si>
    <t>ROPE</t>
  </si>
  <si>
    <t>ROA</t>
  </si>
  <si>
    <t>TRAIL_PE</t>
  </si>
  <si>
    <t>YIELD</t>
  </si>
  <si>
    <t>BOOKVALUE</t>
  </si>
  <si>
    <t>PBV</t>
  </si>
  <si>
    <t>PEG</t>
  </si>
  <si>
    <t>OCFR</t>
  </si>
  <si>
    <t>CFD</t>
  </si>
  <si>
    <t>FCF (INC R)</t>
  </si>
  <si>
    <t>Estimate</t>
  </si>
  <si>
    <t>Year</t>
  </si>
  <si>
    <t>Sales</t>
  </si>
  <si>
    <t>EPS</t>
  </si>
  <si>
    <t>FairValue</t>
  </si>
  <si>
    <t>TRAIL-EPS</t>
  </si>
  <si>
    <t>Q1</t>
  </si>
  <si>
    <t>Q2</t>
  </si>
  <si>
    <t>Q3</t>
  </si>
  <si>
    <t>Q4</t>
  </si>
  <si>
    <t>EPS_24</t>
  </si>
  <si>
    <t>T_EPS</t>
  </si>
  <si>
    <t>EST_F_25</t>
  </si>
  <si>
    <t>FY_2035</t>
  </si>
  <si>
    <t>FY_2030</t>
  </si>
  <si>
    <t>PE</t>
  </si>
  <si>
    <t>TRAILPE</t>
  </si>
  <si>
    <t>FPE</t>
  </si>
  <si>
    <t>FY_2025</t>
  </si>
  <si>
    <t>TREND</t>
  </si>
  <si>
    <t>H1_FY_24</t>
  </si>
  <si>
    <t>9M_FY_24</t>
  </si>
  <si>
    <t>FY_24</t>
  </si>
  <si>
    <t>Q1_FY_25</t>
  </si>
  <si>
    <t>EST_FY_25</t>
  </si>
  <si>
    <t>EST_GR</t>
  </si>
  <si>
    <t>PROFIT</t>
  </si>
  <si>
    <t>MARGIN</t>
  </si>
  <si>
    <t>SALES</t>
  </si>
  <si>
    <t>LongTerm</t>
  </si>
  <si>
    <t>LFL GR</t>
  </si>
  <si>
    <t>Expense</t>
  </si>
  <si>
    <t>Net Profit</t>
  </si>
  <si>
    <t>NPM%</t>
  </si>
  <si>
    <t>Researve</t>
  </si>
  <si>
    <t>HIGH PRICE</t>
  </si>
  <si>
    <t>LOW PRICE</t>
  </si>
  <si>
    <t>HIGH PE</t>
  </si>
  <si>
    <t>LOW PE</t>
  </si>
  <si>
    <t>FAIR PBV</t>
  </si>
  <si>
    <t>RESULTS</t>
  </si>
  <si>
    <t>Q1_FY_24</t>
  </si>
  <si>
    <t>Growth</t>
  </si>
  <si>
    <t>Q4_FY_24</t>
  </si>
  <si>
    <t>Q4_FY_23</t>
  </si>
  <si>
    <t>FY_23</t>
  </si>
  <si>
    <t>Last Year</t>
  </si>
  <si>
    <t>5 YEAR</t>
  </si>
  <si>
    <t>10 YEAR</t>
  </si>
  <si>
    <t>Finance cost</t>
  </si>
  <si>
    <t>15 YEAR</t>
  </si>
  <si>
    <t>Expenses</t>
  </si>
  <si>
    <t>TRAIL_25</t>
  </si>
  <si>
    <t>Margin</t>
  </si>
  <si>
    <t>FY_2024</t>
  </si>
  <si>
    <t>I.C.R</t>
  </si>
  <si>
    <t>SPLIT 10:2</t>
  </si>
  <si>
    <t>FY_2023</t>
  </si>
  <si>
    <t>FY_2022</t>
  </si>
  <si>
    <t>FY_2021</t>
  </si>
  <si>
    <t>MAJORCOST</t>
  </si>
  <si>
    <t>SHARE</t>
  </si>
  <si>
    <t>FY_2020</t>
  </si>
  <si>
    <t>OTHER COST</t>
  </si>
  <si>
    <t xml:space="preserve">Domino’s </t>
  </si>
  <si>
    <t>INDIA</t>
  </si>
  <si>
    <t>Bonus</t>
  </si>
  <si>
    <t>FY_2019</t>
  </si>
  <si>
    <t>RAWMATERIAL</t>
  </si>
  <si>
    <t>Popeyes</t>
  </si>
  <si>
    <t>SRILANKA &amp; BANGLADESH</t>
  </si>
  <si>
    <t>FY_2018</t>
  </si>
  <si>
    <t>EMPLOYEE</t>
  </si>
  <si>
    <t>Dunkin’</t>
  </si>
  <si>
    <t>TURKEY</t>
  </si>
  <si>
    <t>FY_2017</t>
  </si>
  <si>
    <t>D&amp;A</t>
  </si>
  <si>
    <t>Hong’s Kitchen</t>
  </si>
  <si>
    <t>Ajarbeijan &amp; GEORGIA</t>
  </si>
  <si>
    <t>FY_2016</t>
  </si>
  <si>
    <t>FINANCE</t>
  </si>
  <si>
    <t>COFFY</t>
  </si>
  <si>
    <t>ALL BRANDS</t>
  </si>
  <si>
    <t>FY_2015</t>
  </si>
  <si>
    <t>GOODS</t>
  </si>
  <si>
    <t>FY_2014</t>
  </si>
  <si>
    <t>INVENTORY</t>
  </si>
  <si>
    <t>FY_2013</t>
  </si>
  <si>
    <t>FY_2012</t>
  </si>
  <si>
    <t>FY_2011</t>
  </si>
  <si>
    <t>IPO</t>
  </si>
  <si>
    <t>FY_2010</t>
  </si>
  <si>
    <t>FY_2009</t>
  </si>
  <si>
    <t>FY_2008</t>
  </si>
  <si>
    <t>FY_2007</t>
  </si>
  <si>
    <t>FY_2006</t>
  </si>
  <si>
    <t>FY_2005</t>
  </si>
  <si>
    <t>FY_1996</t>
  </si>
  <si>
    <t>Security Code</t>
  </si>
  <si>
    <t>Security Name</t>
  </si>
  <si>
    <t>CMP</t>
  </si>
  <si>
    <t>market cap</t>
  </si>
  <si>
    <t>CUR ASSET</t>
  </si>
  <si>
    <t>CUR LIABILITY</t>
  </si>
  <si>
    <t>TOT. ASSET</t>
  </si>
  <si>
    <t>TOT. LIABILITY</t>
  </si>
  <si>
    <t>EQUITY</t>
  </si>
  <si>
    <t>TOT. EQUITY</t>
  </si>
  <si>
    <t>BORROWING</t>
  </si>
  <si>
    <t xml:space="preserve">TRADE REC. </t>
  </si>
  <si>
    <t>TRAIL_EPS</t>
  </si>
  <si>
    <t>Companies weightage</t>
  </si>
  <si>
    <t>SALES_18</t>
  </si>
  <si>
    <t>SALES_23</t>
  </si>
  <si>
    <t>PROFIT_23</t>
  </si>
  <si>
    <t>FY_24_SALES</t>
  </si>
  <si>
    <t>FY_24_PROFITS</t>
  </si>
  <si>
    <t>EXPENSE</t>
  </si>
  <si>
    <t>CY_SALES GR</t>
  </si>
  <si>
    <t>CY_PRPFIT_GR</t>
  </si>
  <si>
    <t>SALES_5Y_GR</t>
  </si>
  <si>
    <t>CUR. RATIO</t>
  </si>
  <si>
    <t>TR.DAYS</t>
  </si>
  <si>
    <t>DEVYANI</t>
  </si>
  <si>
    <t>WESTLIFE</t>
  </si>
  <si>
    <t>SAPPHIRE*</t>
  </si>
  <si>
    <t>RBA</t>
  </si>
  <si>
    <t>BARBEQUE</t>
  </si>
  <si>
    <t>SPECIALITY</t>
  </si>
  <si>
    <t>COFFEEDAY*</t>
  </si>
  <si>
    <t>VIDLI</t>
  </si>
  <si>
    <t>PECOS</t>
  </si>
  <si>
    <t>INDUSTRY</t>
  </si>
  <si>
    <t>INDUSTRIES</t>
  </si>
  <si>
    <t>SALES_Q1_FY25</t>
  </si>
  <si>
    <t>Profit_Q1_FY25</t>
  </si>
  <si>
    <t>CY_PROFIT_GR</t>
  </si>
  <si>
    <t>Margin_Q1_24</t>
  </si>
  <si>
    <t>Margin_Q1_25</t>
  </si>
  <si>
    <t>NA (LOSS TO PROFIT)</t>
  </si>
  <si>
    <t>NA (LOSS TO LOSS)</t>
  </si>
  <si>
    <t>NA (PROFIT TO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</si>
</sst>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29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Calibri"/>
      <scheme val="minor"/>
    </font>
    <font>
      <b/>
      <sz val="11"/>
      <color theme="0"/>
      <name val="Calibri"/>
      <scheme val="minor"/>
    </font>
    <font>
      <sz val="11"/>
      <color theme="1"/>
      <name val="Calibri"/>
    </font>
    <font>
      <sz val="11"/>
      <color rgb="FF000000"/>
      <name val="Arial"/>
    </font>
    <font>
      <i/>
      <sz val="11"/>
      <color theme="1"/>
      <name val="Arial"/>
    </font>
    <font>
      <b/>
      <sz val="9"/>
      <color rgb="FFFFFFFF"/>
      <name val="Calibri"/>
      <scheme val="minor"/>
    </font>
    <font>
      <sz val="22"/>
      <color theme="1"/>
      <name val="Calibri"/>
      <scheme val="minor"/>
    </font>
    <font>
      <b/>
      <sz val="10"/>
      <color rgb="FFFFFFFF"/>
      <name val="Calibri"/>
      <scheme val="minor"/>
    </font>
    <font>
      <sz val="11"/>
      <color rgb="FF000000"/>
      <name val="Calibri"/>
      <scheme val="minor"/>
    </font>
    <font>
      <sz val="9"/>
      <color rgb="FF000000"/>
      <name val="Arial"/>
    </font>
    <font>
      <b/>
      <sz val="11"/>
      <color theme="0"/>
      <name val="Source Code Pro"/>
    </font>
    <font>
      <b/>
      <sz val="11"/>
      <color rgb="FFFFFFFF"/>
      <name val="Source Code Pro"/>
    </font>
    <font>
      <sz val="12"/>
      <color theme="1"/>
      <name val="Source Code Pro"/>
    </font>
    <font>
      <sz val="12"/>
      <color rgb="FF000000"/>
      <name val="Source Code Pro"/>
    </font>
    <font>
      <sz val="11"/>
      <color rgb="FFFFFFFF"/>
      <name val="Calibri"/>
      <scheme val="minor"/>
    </font>
    <font>
      <sz val="11"/>
      <color theme="0"/>
      <name val="Calibri"/>
      <scheme val="minor"/>
    </font>
    <font>
      <b/>
      <i/>
      <sz val="11"/>
      <color theme="1"/>
      <name val="Calibri"/>
      <scheme val="minor"/>
    </font>
    <font>
      <b/>
      <i/>
      <sz val="11"/>
      <color theme="1"/>
      <name val="Calibri"/>
    </font>
    <font>
      <b/>
      <sz val="11"/>
      <color theme="1"/>
      <name val="Calibri"/>
      <scheme val="minor"/>
    </font>
    <font>
      <sz val="11"/>
      <color rgb="FFFFFFFF"/>
      <name val="Arial"/>
    </font>
    <font>
      <b/>
      <sz val="11"/>
      <color rgb="FFFFFFFF"/>
      <name val="Arial"/>
    </font>
    <font>
      <sz val="11"/>
      <color rgb="FF000000"/>
      <name val="Calibri"/>
    </font>
    <font>
      <sz val="11"/>
      <color theme="1"/>
      <name val="Arial"/>
    </font>
    <font>
      <b/>
      <sz val="11"/>
      <color theme="1"/>
      <name val="Arial"/>
    </font>
    <font>
      <b/>
      <i/>
      <u/>
      <sz val="11"/>
      <color theme="1"/>
      <name val="Arial"/>
    </font>
    <font>
      <sz val="7"/>
      <color theme="1"/>
      <name val="Arial"/>
    </font>
    <font>
      <i/>
      <u/>
      <sz val="11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  <fill>
      <patternFill patternType="solid">
        <fgColor rgb="FF073763"/>
        <bgColor rgb="FF073763"/>
      </patternFill>
    </fill>
    <fill>
      <patternFill patternType="solid">
        <fgColor rgb="FF4C1130"/>
        <bgColor rgb="FF4C113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1" fontId="0" fillId="3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4" borderId="1" xfId="0" applyFont="1" applyFill="1" applyBorder="1"/>
    <xf numFmtId="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5" xfId="0" applyFont="1" applyBorder="1"/>
    <xf numFmtId="0" fontId="5" fillId="5" borderId="1" xfId="0" applyFont="1" applyFill="1" applyBorder="1"/>
    <xf numFmtId="3" fontId="5" fillId="5" borderId="1" xfId="0" applyNumberFormat="1" applyFont="1" applyFill="1" applyBorder="1"/>
    <xf numFmtId="9" fontId="5" fillId="5" borderId="1" xfId="0" applyNumberFormat="1" applyFont="1" applyFill="1" applyBorder="1" applyAlignment="1">
      <alignment horizontal="right"/>
    </xf>
    <xf numFmtId="165" fontId="5" fillId="5" borderId="1" xfId="0" applyNumberFormat="1" applyFont="1" applyFill="1" applyBorder="1" applyAlignment="1">
      <alignment horizontal="right"/>
    </xf>
    <xf numFmtId="1" fontId="5" fillId="5" borderId="1" xfId="0" applyNumberFormat="1" applyFont="1" applyFill="1" applyBorder="1" applyAlignment="1">
      <alignment horizontal="right"/>
    </xf>
    <xf numFmtId="166" fontId="5" fillId="5" borderId="1" xfId="0" applyNumberFormat="1" applyFont="1" applyFill="1" applyBorder="1" applyAlignment="1">
      <alignment horizontal="right"/>
    </xf>
    <xf numFmtId="164" fontId="5" fillId="5" borderId="1" xfId="0" applyNumberFormat="1" applyFont="1" applyFill="1" applyBorder="1" applyAlignment="1">
      <alignment horizontal="right"/>
    </xf>
    <xf numFmtId="166" fontId="6" fillId="5" borderId="3" xfId="0" applyNumberFormat="1" applyFont="1" applyFill="1" applyBorder="1" applyAlignment="1">
      <alignment horizontal="right"/>
    </xf>
    <xf numFmtId="166" fontId="6" fillId="5" borderId="4" xfId="0" applyNumberFormat="1" applyFont="1" applyFill="1" applyBorder="1" applyAlignment="1">
      <alignment horizontal="right"/>
    </xf>
    <xf numFmtId="3" fontId="6" fillId="5" borderId="4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" fontId="1" fillId="0" borderId="0" xfId="0" applyNumberFormat="1" applyFont="1"/>
    <xf numFmtId="4" fontId="7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horizontal="left"/>
    </xf>
    <xf numFmtId="3" fontId="4" fillId="5" borderId="1" xfId="0" applyNumberFormat="1" applyFont="1" applyFill="1" applyBorder="1" applyAlignment="1">
      <alignment horizontal="right"/>
    </xf>
    <xf numFmtId="1" fontId="4" fillId="5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" fontId="8" fillId="6" borderId="0" xfId="0" applyNumberFormat="1" applyFont="1" applyFill="1" applyAlignment="1">
      <alignment horizontal="center" vertical="center"/>
    </xf>
    <xf numFmtId="0" fontId="0" fillId="0" borderId="0" xfId="0"/>
    <xf numFmtId="165" fontId="4" fillId="5" borderId="1" xfId="0" applyNumberFormat="1" applyFont="1" applyFill="1" applyBorder="1" applyAlignment="1">
      <alignment horizontal="right"/>
    </xf>
    <xf numFmtId="3" fontId="1" fillId="0" borderId="0" xfId="0" applyNumberFormat="1" applyFont="1"/>
    <xf numFmtId="4" fontId="9" fillId="2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Border="1"/>
    <xf numFmtId="9" fontId="1" fillId="0" borderId="1" xfId="0" applyNumberFormat="1" applyFont="1" applyBorder="1"/>
    <xf numFmtId="0" fontId="1" fillId="0" borderId="0" xfId="0" applyFont="1"/>
    <xf numFmtId="9" fontId="1" fillId="0" borderId="0" xfId="0" applyNumberFormat="1" applyFont="1"/>
    <xf numFmtId="164" fontId="1" fillId="0" borderId="0" xfId="0" applyNumberFormat="1" applyFont="1"/>
    <xf numFmtId="10" fontId="1" fillId="0" borderId="0" xfId="0" applyNumberFormat="1" applyFont="1"/>
    <xf numFmtId="9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left" wrapText="1"/>
    </xf>
    <xf numFmtId="4" fontId="3" fillId="2" borderId="1" xfId="0" applyNumberFormat="1" applyFont="1" applyFill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9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 wrapText="1"/>
    </xf>
    <xf numFmtId="9" fontId="11" fillId="3" borderId="1" xfId="0" applyNumberFormat="1" applyFont="1" applyFill="1" applyBorder="1" applyAlignment="1">
      <alignment horizontal="right" wrapText="1"/>
    </xf>
    <xf numFmtId="164" fontId="11" fillId="3" borderId="1" xfId="0" applyNumberFormat="1" applyFont="1" applyFill="1" applyBorder="1" applyAlignment="1">
      <alignment horizontal="right" wrapText="1"/>
    </xf>
    <xf numFmtId="1" fontId="11" fillId="3" borderId="1" xfId="0" applyNumberFormat="1" applyFont="1" applyFill="1" applyBorder="1" applyAlignment="1">
      <alignment horizontal="right" wrapText="1"/>
    </xf>
    <xf numFmtId="165" fontId="11" fillId="3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4" fontId="12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left"/>
    </xf>
    <xf numFmtId="1" fontId="15" fillId="3" borderId="1" xfId="0" applyNumberFormat="1" applyFont="1" applyFill="1" applyBorder="1" applyAlignment="1">
      <alignment horizontal="right" wrapText="1"/>
    </xf>
    <xf numFmtId="0" fontId="14" fillId="0" borderId="1" xfId="0" applyFont="1" applyBorder="1"/>
    <xf numFmtId="1" fontId="14" fillId="0" borderId="1" xfId="0" applyNumberFormat="1" applyFont="1" applyBorder="1"/>
    <xf numFmtId="1" fontId="15" fillId="7" borderId="1" xfId="0" applyNumberFormat="1" applyFont="1" applyFill="1" applyBorder="1" applyAlignment="1">
      <alignment horizontal="right" wrapText="1"/>
    </xf>
    <xf numFmtId="164" fontId="15" fillId="3" borderId="1" xfId="0" applyNumberFormat="1" applyFont="1" applyFill="1" applyBorder="1" applyAlignment="1">
      <alignment horizontal="right" wrapText="1"/>
    </xf>
    <xf numFmtId="1" fontId="14" fillId="0" borderId="1" xfId="0" applyNumberFormat="1" applyFont="1" applyBorder="1" applyAlignment="1">
      <alignment horizontal="right"/>
    </xf>
    <xf numFmtId="165" fontId="14" fillId="0" borderId="1" xfId="0" applyNumberFormat="1" applyFont="1" applyBorder="1"/>
    <xf numFmtId="1" fontId="4" fillId="0" borderId="1" xfId="0" applyNumberFormat="1" applyFont="1" applyBorder="1" applyAlignment="1">
      <alignment horizontal="right"/>
    </xf>
    <xf numFmtId="0" fontId="16" fillId="8" borderId="1" xfId="0" applyFont="1" applyFill="1" applyBorder="1" applyAlignment="1">
      <alignment horizontal="center"/>
    </xf>
    <xf numFmtId="0" fontId="14" fillId="7" borderId="1" xfId="0" applyFont="1" applyFill="1" applyBorder="1"/>
    <xf numFmtId="0" fontId="15" fillId="0" borderId="1" xfId="0" applyFont="1" applyBorder="1" applyAlignment="1">
      <alignment horizontal="right"/>
    </xf>
    <xf numFmtId="0" fontId="17" fillId="8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8" fillId="5" borderId="1" xfId="0" applyFont="1" applyFill="1" applyBorder="1"/>
    <xf numFmtId="3" fontId="15" fillId="7" borderId="1" xfId="0" applyNumberFormat="1" applyFont="1" applyFill="1" applyBorder="1" applyAlignment="1">
      <alignment horizontal="right" wrapText="1"/>
    </xf>
    <xf numFmtId="3" fontId="15" fillId="3" borderId="1" xfId="0" applyNumberFormat="1" applyFont="1" applyFill="1" applyBorder="1" applyAlignment="1">
      <alignment horizontal="right" wrapText="1"/>
    </xf>
    <xf numFmtId="0" fontId="18" fillId="5" borderId="6" xfId="0" applyFont="1" applyFill="1" applyBorder="1"/>
    <xf numFmtId="1" fontId="18" fillId="5" borderId="6" xfId="0" applyNumberFormat="1" applyFont="1" applyFill="1" applyBorder="1"/>
    <xf numFmtId="9" fontId="19" fillId="5" borderId="1" xfId="0" applyNumberFormat="1" applyFont="1" applyFill="1" applyBorder="1" applyAlignment="1">
      <alignment horizontal="right"/>
    </xf>
    <xf numFmtId="0" fontId="15" fillId="7" borderId="1" xfId="0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right" wrapText="1"/>
    </xf>
    <xf numFmtId="0" fontId="18" fillId="0" borderId="1" xfId="0" applyFont="1" applyBorder="1"/>
    <xf numFmtId="9" fontId="19" fillId="0" borderId="1" xfId="0" applyNumberFormat="1" applyFont="1" applyBorder="1" applyAlignment="1">
      <alignment horizontal="right"/>
    </xf>
    <xf numFmtId="0" fontId="14" fillId="7" borderId="1" xfId="0" applyFont="1" applyFill="1" applyBorder="1" applyAlignment="1">
      <alignment horizontal="right"/>
    </xf>
    <xf numFmtId="0" fontId="14" fillId="0" borderId="0" xfId="0" applyFont="1"/>
    <xf numFmtId="4" fontId="15" fillId="3" borderId="1" xfId="0" applyNumberFormat="1" applyFont="1" applyFill="1" applyBorder="1" applyAlignment="1">
      <alignment horizontal="right" wrapText="1"/>
    </xf>
    <xf numFmtId="0" fontId="15" fillId="3" borderId="1" xfId="0" applyFont="1" applyFill="1" applyBorder="1" applyAlignment="1">
      <alignment horizontal="left" wrapText="1"/>
    </xf>
    <xf numFmtId="4" fontId="15" fillId="7" borderId="1" xfId="0" applyNumberFormat="1" applyFont="1" applyFill="1" applyBorder="1" applyAlignment="1">
      <alignment horizontal="right" wrapText="1"/>
    </xf>
    <xf numFmtId="0" fontId="20" fillId="0" borderId="0" xfId="0" applyFont="1"/>
    <xf numFmtId="0" fontId="21" fillId="9" borderId="1" xfId="0" applyFont="1" applyFill="1" applyBorder="1"/>
    <xf numFmtId="0" fontId="22" fillId="10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right"/>
    </xf>
    <xf numFmtId="0" fontId="23" fillId="0" borderId="1" xfId="0" applyFont="1" applyBorder="1"/>
    <xf numFmtId="1" fontId="24" fillId="0" borderId="1" xfId="0" applyNumberFormat="1" applyFont="1" applyBorder="1"/>
    <xf numFmtId="1" fontId="24" fillId="0" borderId="1" xfId="0" applyNumberFormat="1" applyFont="1" applyBorder="1" applyAlignment="1">
      <alignment horizontal="right"/>
    </xf>
    <xf numFmtId="9" fontId="24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0" fontId="24" fillId="0" borderId="1" xfId="0" applyFont="1" applyBorder="1"/>
    <xf numFmtId="164" fontId="24" fillId="0" borderId="1" xfId="0" applyNumberFormat="1" applyFont="1" applyBorder="1" applyAlignment="1">
      <alignment horizontal="right"/>
    </xf>
    <xf numFmtId="10" fontId="24" fillId="0" borderId="1" xfId="0" applyNumberFormat="1" applyFont="1" applyBorder="1"/>
    <xf numFmtId="2" fontId="24" fillId="0" borderId="1" xfId="0" applyNumberFormat="1" applyFont="1" applyBorder="1"/>
    <xf numFmtId="4" fontId="24" fillId="0" borderId="1" xfId="0" applyNumberFormat="1" applyFont="1" applyBorder="1"/>
    <xf numFmtId="0" fontId="23" fillId="3" borderId="1" xfId="0" applyFont="1" applyFill="1" applyBorder="1" applyAlignment="1">
      <alignment horizontal="right"/>
    </xf>
    <xf numFmtId="1" fontId="24" fillId="0" borderId="7" xfId="0" applyNumberFormat="1" applyFont="1" applyBorder="1"/>
    <xf numFmtId="1" fontId="24" fillId="0" borderId="0" xfId="0" applyNumberFormat="1" applyFont="1" applyAlignment="1">
      <alignment horizontal="right"/>
    </xf>
    <xf numFmtId="0" fontId="25" fillId="0" borderId="1" xfId="0" applyFont="1" applyBorder="1"/>
    <xf numFmtId="1" fontId="25" fillId="0" borderId="7" xfId="0" applyNumberFormat="1" applyFont="1" applyBorder="1"/>
    <xf numFmtId="1" fontId="25" fillId="0" borderId="0" xfId="0" applyNumberFormat="1" applyFont="1"/>
    <xf numFmtId="0" fontId="25" fillId="0" borderId="0" xfId="0" applyFont="1"/>
    <xf numFmtId="9" fontId="25" fillId="0" borderId="0" xfId="0" applyNumberFormat="1" applyFont="1"/>
    <xf numFmtId="164" fontId="25" fillId="0" borderId="0" xfId="0" applyNumberFormat="1" applyFont="1" applyAlignment="1">
      <alignment horizontal="right"/>
    </xf>
    <xf numFmtId="10" fontId="25" fillId="0" borderId="0" xfId="0" applyNumberFormat="1" applyFont="1"/>
    <xf numFmtId="2" fontId="25" fillId="0" borderId="0" xfId="0" applyNumberFormat="1" applyFont="1"/>
    <xf numFmtId="4" fontId="25" fillId="0" borderId="0" xfId="0" applyNumberFormat="1" applyFont="1"/>
    <xf numFmtId="0" fontId="26" fillId="4" borderId="1" xfId="0" applyFont="1" applyFill="1" applyBorder="1"/>
    <xf numFmtId="1" fontId="26" fillId="4" borderId="1" xfId="0" applyNumberFormat="1" applyFont="1" applyFill="1" applyBorder="1"/>
    <xf numFmtId="9" fontId="26" fillId="4" borderId="1" xfId="0" applyNumberFormat="1" applyFont="1" applyFill="1" applyBorder="1"/>
    <xf numFmtId="2" fontId="26" fillId="4" borderId="1" xfId="0" applyNumberFormat="1" applyFont="1" applyFill="1" applyBorder="1"/>
    <xf numFmtId="10" fontId="26" fillId="4" borderId="1" xfId="0" applyNumberFormat="1" applyFont="1" applyFill="1" applyBorder="1"/>
    <xf numFmtId="4" fontId="26" fillId="4" borderId="1" xfId="0" applyNumberFormat="1" applyFont="1" applyFill="1" applyBorder="1"/>
    <xf numFmtId="10" fontId="24" fillId="0" borderId="0" xfId="0" applyNumberFormat="1" applyFont="1"/>
    <xf numFmtId="0" fontId="21" fillId="9" borderId="0" xfId="0" applyFont="1" applyFill="1"/>
    <xf numFmtId="0" fontId="21" fillId="0" borderId="1" xfId="0" applyFont="1" applyBorder="1"/>
    <xf numFmtId="0" fontId="24" fillId="0" borderId="0" xfId="0" applyFont="1"/>
    <xf numFmtId="9" fontId="24" fillId="0" borderId="0" xfId="0" applyNumberFormat="1" applyFont="1"/>
    <xf numFmtId="164" fontId="24" fillId="0" borderId="0" xfId="0" applyNumberFormat="1" applyFont="1"/>
    <xf numFmtId="0" fontId="27" fillId="0" borderId="0" xfId="0" applyFont="1" applyAlignment="1">
      <alignment horizontal="center" vertical="center"/>
    </xf>
    <xf numFmtId="0" fontId="24" fillId="0" borderId="5" xfId="0" applyFont="1" applyBorder="1"/>
    <xf numFmtId="9" fontId="24" fillId="0" borderId="5" xfId="0" applyNumberFormat="1" applyFont="1" applyBorder="1"/>
    <xf numFmtId="0" fontId="28" fillId="4" borderId="0" xfId="0" applyFont="1" applyFill="1"/>
    <xf numFmtId="9" fontId="28" fillId="4" borderId="1" xfId="0" applyNumberFormat="1" applyFont="1" applyFill="1" applyBorder="1"/>
    <xf numFmtId="164" fontId="28" fillId="4" borderId="1" xfId="0" applyNumberFormat="1" applyFont="1" applyFill="1" applyBorder="1"/>
    <xf numFmtId="2" fontId="24" fillId="0" borderId="0" xfId="0" applyNumberFormat="1" applyFont="1"/>
    <xf numFmtId="164" fontId="24" fillId="0" borderId="5" xfId="0" applyNumberFormat="1" applyFont="1" applyBorder="1"/>
    <xf numFmtId="164" fontId="26" fillId="4" borderId="1" xfId="0" applyNumberFormat="1" applyFont="1" applyFill="1" applyBorder="1"/>
    <xf numFmtId="166" fontId="24" fillId="0" borderId="0" xfId="0" applyNumberFormat="1" applyFont="1"/>
    <xf numFmtId="1" fontId="24" fillId="0" borderId="0" xfId="0" applyNumberFormat="1" applyFont="1"/>
    <xf numFmtId="4" fontId="2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Industry Market Cap - 82246 Cr.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'Restaurants    '!$C$31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0FFD-4C69-BAE2-395E21D18182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0FFD-4C69-BAE2-395E21D18182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0FFD-4C69-BAE2-395E21D18182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0FFD-4C69-BAE2-395E21D18182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0FFD-4C69-BAE2-395E21D18182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0FFD-4C69-BAE2-395E21D18182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0FFD-4C69-BAE2-395E21D18182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0FFD-4C69-BAE2-395E21D18182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0FFD-4C69-BAE2-395E21D1818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'Restaurants    '!$B$32:$B$40</c:f>
              <c:strCache>
                <c:ptCount val="9"/>
                <c:pt idx="0">
                  <c:v>JUBLFOOD</c:v>
                </c:pt>
                <c:pt idx="1">
                  <c:v>DEVYANI</c:v>
                </c:pt>
                <c:pt idx="2">
                  <c:v>WESTLIFE</c:v>
                </c:pt>
                <c:pt idx="3">
                  <c:v>SAPPHIRE*</c:v>
                </c:pt>
                <c:pt idx="4">
                  <c:v>RBA</c:v>
                </c:pt>
                <c:pt idx="5">
                  <c:v>BARBEQUE</c:v>
                </c:pt>
                <c:pt idx="6">
                  <c:v>SPECIALITY</c:v>
                </c:pt>
                <c:pt idx="7">
                  <c:v>COFFEEDAY*</c:v>
                </c:pt>
                <c:pt idx="8">
                  <c:v>VIDLI</c:v>
                </c:pt>
              </c:strCache>
            </c:strRef>
          </c:cat>
          <c:val>
            <c:numRef>
              <c:f>'Restaurants    '!$C$32:$C$40</c:f>
              <c:numCache>
                <c:formatCode>0</c:formatCode>
                <c:ptCount val="9"/>
                <c:pt idx="0">
                  <c:v>34397.145494199998</c:v>
                </c:pt>
                <c:pt idx="1">
                  <c:v>21335.4915</c:v>
                </c:pt>
                <c:pt idx="2">
                  <c:v>12731.1873897</c:v>
                </c:pt>
                <c:pt idx="3">
                  <c:v>9542.1367334999995</c:v>
                </c:pt>
                <c:pt idx="4">
                  <c:v>5604.4576100000004</c:v>
                </c:pt>
                <c:pt idx="5">
                  <c:v>2168.4998850000002</c:v>
                </c:pt>
                <c:pt idx="6">
                  <c:v>835.46510409999996</c:v>
                </c:pt>
                <c:pt idx="7">
                  <c:v>1146.4596893999999</c:v>
                </c:pt>
                <c:pt idx="8">
                  <c:v>74.627225899999999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FFD-4C69-BAE2-395E21D18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INDUSTRY SALES  Rs.17283 Cr.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'Restaurants    '!$G$31</c:f>
              <c:strCache>
                <c:ptCount val="1"/>
                <c:pt idx="0">
                  <c:v>FY_24_SALES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CC5F-45CF-837C-3BF606D6555A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CC5F-45CF-837C-3BF606D6555A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CC5F-45CF-837C-3BF606D6555A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CC5F-45CF-837C-3BF606D6555A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CC5F-45CF-837C-3BF606D6555A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CC5F-45CF-837C-3BF606D6555A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CC5F-45CF-837C-3BF606D6555A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CC5F-45CF-837C-3BF606D6555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'Restaurants    '!$F$32:$F$39</c:f>
              <c:strCache>
                <c:ptCount val="8"/>
                <c:pt idx="0">
                  <c:v>JUBLFOOD</c:v>
                </c:pt>
                <c:pt idx="1">
                  <c:v>DEVYANI</c:v>
                </c:pt>
                <c:pt idx="2">
                  <c:v>WESTLIFE</c:v>
                </c:pt>
                <c:pt idx="3">
                  <c:v>SAPPHIRE*</c:v>
                </c:pt>
                <c:pt idx="4">
                  <c:v>RBA</c:v>
                </c:pt>
                <c:pt idx="5">
                  <c:v>BARBEQUE</c:v>
                </c:pt>
                <c:pt idx="6">
                  <c:v>SPECIALITY</c:v>
                </c:pt>
                <c:pt idx="7">
                  <c:v>COFFEEDAY*</c:v>
                </c:pt>
              </c:strCache>
            </c:strRef>
          </c:cat>
          <c:val>
            <c:numRef>
              <c:f>'Restaurants    '!$G$32:$G$39</c:f>
              <c:numCache>
                <c:formatCode>General</c:formatCode>
                <c:ptCount val="8"/>
                <c:pt idx="0">
                  <c:v>5654</c:v>
                </c:pt>
                <c:pt idx="1">
                  <c:v>3356</c:v>
                </c:pt>
                <c:pt idx="2">
                  <c:v>2392</c:v>
                </c:pt>
                <c:pt idx="3">
                  <c:v>2594</c:v>
                </c:pt>
                <c:pt idx="4">
                  <c:v>1760</c:v>
                </c:pt>
                <c:pt idx="5">
                  <c:v>1255</c:v>
                </c:pt>
                <c:pt idx="6">
                  <c:v>405</c:v>
                </c:pt>
                <c:pt idx="7">
                  <c:v>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5F-45CF-837C-3BF606D65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Profit_23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'Restaurants    '!$K$31</c:f>
              <c:strCache>
                <c:ptCount val="1"/>
                <c:pt idx="0">
                  <c:v>FY_24_PROFITS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008-4C9F-BE30-4E7F216EC5D1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008-4C9F-BE30-4E7F216EC5D1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008-4C9F-BE30-4E7F216EC5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'Restaurants    '!$J$32:$J$39</c:f>
              <c:strCache>
                <c:ptCount val="8"/>
                <c:pt idx="0">
                  <c:v>JUBLFOOD</c:v>
                </c:pt>
                <c:pt idx="1">
                  <c:v>DEVYANI</c:v>
                </c:pt>
                <c:pt idx="2">
                  <c:v>WESTLIFE</c:v>
                </c:pt>
                <c:pt idx="3">
                  <c:v>SAPPHIRE*</c:v>
                </c:pt>
                <c:pt idx="4">
                  <c:v>RBA</c:v>
                </c:pt>
                <c:pt idx="5">
                  <c:v>BARBEQUE</c:v>
                </c:pt>
                <c:pt idx="6">
                  <c:v>SPECIALITY</c:v>
                </c:pt>
                <c:pt idx="7">
                  <c:v>COFFEEDAY*</c:v>
                </c:pt>
              </c:strCache>
            </c:strRef>
          </c:cat>
          <c:val>
            <c:numRef>
              <c:f>'Restaurants    '!$K$32:$K$39</c:f>
              <c:numCache>
                <c:formatCode>General</c:formatCode>
                <c:ptCount val="8"/>
                <c:pt idx="0">
                  <c:v>400</c:v>
                </c:pt>
                <c:pt idx="1">
                  <c:v>-10</c:v>
                </c:pt>
                <c:pt idx="2">
                  <c:v>69</c:v>
                </c:pt>
                <c:pt idx="3">
                  <c:v>52</c:v>
                </c:pt>
                <c:pt idx="4">
                  <c:v>-69</c:v>
                </c:pt>
                <c:pt idx="5">
                  <c:v>-11.2</c:v>
                </c:pt>
                <c:pt idx="6">
                  <c:v>30</c:v>
                </c:pt>
                <c:pt idx="7">
                  <c:v>171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C008-4C9F-BE30-4E7F216EC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101073"/>
        <c:axId val="1544446247"/>
      </c:barChart>
      <c:catAx>
        <c:axId val="15421010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4446247"/>
        <c:crosses val="autoZero"/>
        <c:auto val="1"/>
        <c:lblAlgn val="ctr"/>
        <c:lblOffset val="100"/>
        <c:noMultiLvlLbl val="1"/>
      </c:catAx>
      <c:valAx>
        <c:axId val="15444462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Profit_23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210107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SALES_5Y_GR: 12.3%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'Restaurants    '!$O$31</c:f>
              <c:strCache>
                <c:ptCount val="1"/>
                <c:pt idx="0">
                  <c:v>CY_SALES 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1D1-4FB6-B6B4-A0F2745E7E72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1D1-4FB6-B6B4-A0F2745E7E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'Restaurants    '!$N$32:$N$41</c:f>
              <c:strCache>
                <c:ptCount val="10"/>
                <c:pt idx="0">
                  <c:v>JUBLFOOD</c:v>
                </c:pt>
                <c:pt idx="1">
                  <c:v>DEVYANI</c:v>
                </c:pt>
                <c:pt idx="2">
                  <c:v>WESTLIFE</c:v>
                </c:pt>
                <c:pt idx="3">
                  <c:v>SAPPHIRE*</c:v>
                </c:pt>
                <c:pt idx="4">
                  <c:v>RBA</c:v>
                </c:pt>
                <c:pt idx="5">
                  <c:v>BARBEQUE</c:v>
                </c:pt>
                <c:pt idx="6">
                  <c:v>SPECIALITY</c:v>
                </c:pt>
                <c:pt idx="7">
                  <c:v>COFFEEDAY*</c:v>
                </c:pt>
                <c:pt idx="8">
                  <c:v>VIDLI</c:v>
                </c:pt>
                <c:pt idx="9">
                  <c:v>PECOS</c:v>
                </c:pt>
              </c:strCache>
            </c:strRef>
          </c:cat>
          <c:val>
            <c:numRef>
              <c:f>'Restaurants    '!$O$32:$O$41</c:f>
              <c:numCache>
                <c:formatCode>0%</c:formatCode>
                <c:ptCount val="10"/>
                <c:pt idx="0">
                  <c:v>9.6161302830554574E-2</c:v>
                </c:pt>
                <c:pt idx="1">
                  <c:v>0.11978645311978653</c:v>
                </c:pt>
                <c:pt idx="2">
                  <c:v>5.0043898156277411E-2</c:v>
                </c:pt>
                <c:pt idx="3">
                  <c:v>0.14525386313465782</c:v>
                </c:pt>
                <c:pt idx="4">
                  <c:v>-0.14313534566699126</c:v>
                </c:pt>
                <c:pt idx="5">
                  <c:v>1.7842660178426506E-2</c:v>
                </c:pt>
                <c:pt idx="6">
                  <c:v>8.0000000000000071E-2</c:v>
                </c:pt>
                <c:pt idx="7">
                  <c:v>9.7508125677139734E-2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01D1-4FB6-B6B4-A0F2745E7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503055"/>
        <c:axId val="243000458"/>
      </c:barChart>
      <c:catAx>
        <c:axId val="18125030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43000458"/>
        <c:crosses val="autoZero"/>
        <c:auto val="1"/>
        <c:lblAlgn val="ctr"/>
        <c:lblOffset val="100"/>
        <c:noMultiLvlLbl val="1"/>
      </c:catAx>
      <c:valAx>
        <c:axId val="2430004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250305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IN" b="1" i="0">
                <a:solidFill>
                  <a:srgbClr val="757575"/>
                </a:solidFill>
                <a:latin typeface="+mn-lt"/>
              </a:rPr>
              <a:t> INDUSTRY MARGIN 4.38%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'Restaurants    '!$C$61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9CD-4FAB-A732-D0B4059374EE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9CD-4FAB-A732-D0B4059374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'Restaurants    '!$B$62:$B$71</c:f>
              <c:strCache>
                <c:ptCount val="10"/>
                <c:pt idx="0">
                  <c:v>JUBLFOOD</c:v>
                </c:pt>
                <c:pt idx="1">
                  <c:v>DEVYANI</c:v>
                </c:pt>
                <c:pt idx="2">
                  <c:v>WESTLIFE</c:v>
                </c:pt>
                <c:pt idx="3">
                  <c:v>SAPPHIRE*</c:v>
                </c:pt>
                <c:pt idx="4">
                  <c:v>RBA</c:v>
                </c:pt>
                <c:pt idx="5">
                  <c:v>BARBEQUE</c:v>
                </c:pt>
                <c:pt idx="6">
                  <c:v>SPECIALITY</c:v>
                </c:pt>
                <c:pt idx="7">
                  <c:v>COFFEEDAY*</c:v>
                </c:pt>
                <c:pt idx="8">
                  <c:v>VIDLI</c:v>
                </c:pt>
                <c:pt idx="9">
                  <c:v>PECOS</c:v>
                </c:pt>
              </c:strCache>
            </c:strRef>
          </c:cat>
          <c:val>
            <c:numRef>
              <c:f>'Restaurants    '!$C$62:$C$71</c:f>
              <c:numCache>
                <c:formatCode>0.00%</c:formatCode>
                <c:ptCount val="10"/>
                <c:pt idx="0">
                  <c:v>7.0746374248319768E-2</c:v>
                </c:pt>
                <c:pt idx="1">
                  <c:v>-2.9797377830750892E-3</c:v>
                </c:pt>
                <c:pt idx="2">
                  <c:v>2.8846153846153848E-2</c:v>
                </c:pt>
                <c:pt idx="3">
                  <c:v>2.0046260601387818E-2</c:v>
                </c:pt>
                <c:pt idx="4">
                  <c:v>-3.9204545454545457E-2</c:v>
                </c:pt>
                <c:pt idx="5">
                  <c:v>-8.9243027888446201E-3</c:v>
                </c:pt>
                <c:pt idx="6">
                  <c:v>7.407407407407407E-2</c:v>
                </c:pt>
                <c:pt idx="7">
                  <c:v>0.1688055281342547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09CD-4FAB-A732-D0B405937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562454"/>
        <c:axId val="1460893215"/>
      </c:barChart>
      <c:catAx>
        <c:axId val="5725624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60893215"/>
        <c:crosses val="autoZero"/>
        <c:auto val="1"/>
        <c:lblAlgn val="ctr"/>
        <c:lblOffset val="100"/>
        <c:noMultiLvlLbl val="1"/>
      </c:catAx>
      <c:valAx>
        <c:axId val="14608932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MARGIN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7256245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IN" b="1" i="0">
                <a:solidFill>
                  <a:srgbClr val="757575"/>
                </a:solidFill>
                <a:latin typeface="+mn-lt"/>
              </a:rPr>
              <a:t> INDUSTRY - CUR. RATIO 0.89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'Restaurants    '!$G$61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'Restaurants    '!$F$62:$F$71</c:f>
              <c:strCache>
                <c:ptCount val="8"/>
                <c:pt idx="0">
                  <c:v>JUBLFOOD</c:v>
                </c:pt>
                <c:pt idx="1">
                  <c:v>DEVYANI</c:v>
                </c:pt>
                <c:pt idx="2">
                  <c:v>WESTLIFE</c:v>
                </c:pt>
                <c:pt idx="3">
                  <c:v>SAPPHIRE*</c:v>
                </c:pt>
                <c:pt idx="4">
                  <c:v>RBA</c:v>
                </c:pt>
                <c:pt idx="5">
                  <c:v>BARBEQUE</c:v>
                </c:pt>
                <c:pt idx="6">
                  <c:v>SPECIALITY</c:v>
                </c:pt>
                <c:pt idx="7">
                  <c:v>COFFEEDAY*</c:v>
                </c:pt>
              </c:strCache>
            </c:strRef>
          </c:cat>
          <c:val>
            <c:numRef>
              <c:f>'Restaurants    '!$G$62:$G$71</c:f>
              <c:numCache>
                <c:formatCode>0.00</c:formatCode>
                <c:ptCount val="10"/>
                <c:pt idx="0">
                  <c:v>0.50783410138248852</c:v>
                </c:pt>
                <c:pt idx="1">
                  <c:v>0.49319727891156462</c:v>
                </c:pt>
                <c:pt idx="2">
                  <c:v>0.14624840764331212</c:v>
                </c:pt>
                <c:pt idx="3">
                  <c:v>0.79049295774647887</c:v>
                </c:pt>
                <c:pt idx="4">
                  <c:v>0.44698205546492659</c:v>
                </c:pt>
                <c:pt idx="5">
                  <c:v>0.48319327731092437</c:v>
                </c:pt>
                <c:pt idx="6">
                  <c:v>2.329896907216495</c:v>
                </c:pt>
                <c:pt idx="7">
                  <c:v>1.9656762295081966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F4E-4248-8C9E-3298CE0B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615543"/>
        <c:axId val="1471204365"/>
      </c:barChart>
      <c:catAx>
        <c:axId val="329615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71204365"/>
        <c:crosses val="autoZero"/>
        <c:auto val="1"/>
        <c:lblAlgn val="ctr"/>
        <c:lblOffset val="100"/>
        <c:noMultiLvlLbl val="1"/>
      </c:catAx>
      <c:valAx>
        <c:axId val="14712043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2961554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IN" b="1" i="0">
                <a:solidFill>
                  <a:srgbClr val="757575"/>
                </a:solidFill>
                <a:latin typeface="+mn-lt"/>
              </a:rPr>
              <a:t> INDUSTRY TRADE.DAYS : 4.54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'Restaurants    '!$N$61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'Restaurants    '!$M$62:$M$69</c:f>
              <c:strCache>
                <c:ptCount val="8"/>
                <c:pt idx="0">
                  <c:v>JUBLFOOD</c:v>
                </c:pt>
                <c:pt idx="1">
                  <c:v>DEVYANI</c:v>
                </c:pt>
                <c:pt idx="2">
                  <c:v>WESTLIFE</c:v>
                </c:pt>
                <c:pt idx="3">
                  <c:v>SAPPHIRE*</c:v>
                </c:pt>
                <c:pt idx="4">
                  <c:v>RBA</c:v>
                </c:pt>
                <c:pt idx="5">
                  <c:v>BARBEQUE</c:v>
                </c:pt>
                <c:pt idx="6">
                  <c:v>SPECIALITY</c:v>
                </c:pt>
                <c:pt idx="7">
                  <c:v>COFFEEDAY*</c:v>
                </c:pt>
              </c:strCache>
            </c:strRef>
          </c:cat>
          <c:val>
            <c:numRef>
              <c:f>'Restaurants    '!$N$62:$N$69</c:f>
              <c:numCache>
                <c:formatCode>0.00</c:formatCode>
                <c:ptCount val="8"/>
                <c:pt idx="0">
                  <c:v>2.4767351686700274</c:v>
                </c:pt>
                <c:pt idx="1">
                  <c:v>4.6279612946279611</c:v>
                </c:pt>
                <c:pt idx="2">
                  <c:v>2.5636523266022828</c:v>
                </c:pt>
                <c:pt idx="3">
                  <c:v>4.6732891832229582</c:v>
                </c:pt>
                <c:pt idx="4">
                  <c:v>4.0871470301850046</c:v>
                </c:pt>
                <c:pt idx="5">
                  <c:v>0.59205190592051904</c:v>
                </c:pt>
                <c:pt idx="6">
                  <c:v>8.76</c:v>
                </c:pt>
                <c:pt idx="7">
                  <c:v>24.91332611050921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971-4E2B-9B31-3A52C6CE1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905740"/>
        <c:axId val="890514467"/>
      </c:barChart>
      <c:catAx>
        <c:axId val="11439057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90514467"/>
        <c:crosses val="autoZero"/>
        <c:auto val="1"/>
        <c:lblAlgn val="ctr"/>
        <c:lblOffset val="100"/>
        <c:noMultiLvlLbl val="1"/>
      </c:catAx>
      <c:valAx>
        <c:axId val="8905144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4390574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IN" b="1" i="0">
                <a:solidFill>
                  <a:srgbClr val="757575"/>
                </a:solidFill>
                <a:latin typeface="+mn-lt"/>
              </a:rPr>
              <a:t> INDUSTRY - DEBT2EQUITY  : 0.22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'Restaurants    '!$C$92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22C-4736-926E-9C910DB2BFEF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22C-4736-926E-9C910DB2BF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'Restaurants    '!$B$93:$B$102</c:f>
              <c:strCache>
                <c:ptCount val="10"/>
                <c:pt idx="0">
                  <c:v>JUBLFOOD</c:v>
                </c:pt>
                <c:pt idx="1">
                  <c:v>DEVYANI</c:v>
                </c:pt>
                <c:pt idx="2">
                  <c:v>WESTLIFE</c:v>
                </c:pt>
                <c:pt idx="3">
                  <c:v>SAPPHIRE*</c:v>
                </c:pt>
                <c:pt idx="4">
                  <c:v>RBA</c:v>
                </c:pt>
                <c:pt idx="5">
                  <c:v>BARBEQUE</c:v>
                </c:pt>
                <c:pt idx="6">
                  <c:v>SPECIALITY</c:v>
                </c:pt>
                <c:pt idx="7">
                  <c:v>COFFEEDAY*</c:v>
                </c:pt>
                <c:pt idx="8">
                  <c:v>VIDLI</c:v>
                </c:pt>
                <c:pt idx="9">
                  <c:v>PECOS</c:v>
                </c:pt>
              </c:strCache>
            </c:strRef>
          </c:cat>
          <c:val>
            <c:numRef>
              <c:f>'Restaurants    '!$C$93:$C$102</c:f>
              <c:numCache>
                <c:formatCode>0.00</c:formatCode>
                <c:ptCount val="10"/>
                <c:pt idx="0">
                  <c:v>8.8643986583612847E-2</c:v>
                </c:pt>
                <c:pt idx="1">
                  <c:v>7.8201368523949169E-2</c:v>
                </c:pt>
                <c:pt idx="2">
                  <c:v>0.43421052631578949</c:v>
                </c:pt>
                <c:pt idx="3">
                  <c:v>2.5133282559025132E-2</c:v>
                </c:pt>
                <c:pt idx="4">
                  <c:v>0.17426273458445041</c:v>
                </c:pt>
                <c:pt idx="5">
                  <c:v>0.1076923076923077</c:v>
                </c:pt>
                <c:pt idx="6">
                  <c:v>0</c:v>
                </c:pt>
                <c:pt idx="7">
                  <c:v>0.42245021122510562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922C-4736-926E-9C910DB2B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88972"/>
        <c:axId val="721580514"/>
      </c:barChart>
      <c:catAx>
        <c:axId val="6920889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1580514"/>
        <c:crosses val="autoZero"/>
        <c:auto val="1"/>
        <c:lblAlgn val="ctr"/>
        <c:lblOffset val="100"/>
        <c:noMultiLvlLbl val="1"/>
      </c:catAx>
      <c:valAx>
        <c:axId val="7215805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920889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IN" b="1" i="0">
                <a:solidFill>
                  <a:srgbClr val="757575"/>
                </a:solidFill>
                <a:latin typeface="+mn-lt"/>
              </a:rPr>
              <a:t> INDUSTRY DEBTRATIO  : 0.58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'Restaurants    '!$I$92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'Restaurants    '!$H$93:$H$100</c:f>
              <c:strCache>
                <c:ptCount val="8"/>
                <c:pt idx="0">
                  <c:v>JUBLFOOD</c:v>
                </c:pt>
                <c:pt idx="1">
                  <c:v>DEVYANI</c:v>
                </c:pt>
                <c:pt idx="2">
                  <c:v>WESTLIFE</c:v>
                </c:pt>
                <c:pt idx="3">
                  <c:v>SAPPHIRE*</c:v>
                </c:pt>
                <c:pt idx="4">
                  <c:v>RBA</c:v>
                </c:pt>
                <c:pt idx="5">
                  <c:v>BARBEQUE</c:v>
                </c:pt>
                <c:pt idx="6">
                  <c:v>SPECIALITY</c:v>
                </c:pt>
                <c:pt idx="7">
                  <c:v>COFFEEDAY*</c:v>
                </c:pt>
              </c:strCache>
            </c:strRef>
          </c:cat>
          <c:val>
            <c:numRef>
              <c:f>'Restaurants    '!$I$93:$I$100</c:f>
              <c:numCache>
                <c:formatCode>0.00</c:formatCode>
                <c:ptCount val="8"/>
                <c:pt idx="0">
                  <c:v>0.62269606071557648</c:v>
                </c:pt>
                <c:pt idx="1">
                  <c:v>0.67316293929712456</c:v>
                </c:pt>
                <c:pt idx="2">
                  <c:v>0.74174311926605507</c:v>
                </c:pt>
                <c:pt idx="3">
                  <c:v>0.52358490566037741</c:v>
                </c:pt>
                <c:pt idx="4">
                  <c:v>0.69510204081632654</c:v>
                </c:pt>
                <c:pt idx="5">
                  <c:v>0.69442262372348784</c:v>
                </c:pt>
                <c:pt idx="6">
                  <c:v>0.38178294573643412</c:v>
                </c:pt>
                <c:pt idx="7">
                  <c:v>0.40441969098095581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053-4DB6-B361-539B442B0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45250"/>
        <c:axId val="78972893"/>
      </c:barChart>
      <c:catAx>
        <c:axId val="1803452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8972893"/>
        <c:crosses val="autoZero"/>
        <c:auto val="1"/>
        <c:lblAlgn val="ctr"/>
        <c:lblOffset val="100"/>
        <c:noMultiLvlLbl val="1"/>
      </c:catAx>
      <c:valAx>
        <c:axId val="789728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034525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IN" b="1" i="0">
                <a:solidFill>
                  <a:srgbClr val="757575"/>
                </a:solidFill>
                <a:latin typeface="+mn-lt"/>
              </a:rPr>
              <a:t>  INDUSTRY ICR  :  1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'Restaurants    '!$N$92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74F-4D27-A8D2-D4E7F4E6CC3F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74F-4D27-A8D2-D4E7F4E6CC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'Restaurants    '!$M$93:$M$100</c:f>
              <c:strCache>
                <c:ptCount val="8"/>
                <c:pt idx="0">
                  <c:v>JUBLFOOD</c:v>
                </c:pt>
                <c:pt idx="1">
                  <c:v>DEVYANI</c:v>
                </c:pt>
                <c:pt idx="2">
                  <c:v>WESTLIFE</c:v>
                </c:pt>
                <c:pt idx="3">
                  <c:v>SAPPHIRE*</c:v>
                </c:pt>
                <c:pt idx="4">
                  <c:v>RBA</c:v>
                </c:pt>
                <c:pt idx="5">
                  <c:v>BARBEQUE</c:v>
                </c:pt>
                <c:pt idx="6">
                  <c:v>SPECIALITY</c:v>
                </c:pt>
                <c:pt idx="7">
                  <c:v>COFFEEDAY*</c:v>
                </c:pt>
              </c:strCache>
            </c:strRef>
          </c:cat>
          <c:val>
            <c:numRef>
              <c:f>'Restaurants    '!$N$93:$N$100</c:f>
              <c:numCache>
                <c:formatCode>0.0</c:formatCode>
                <c:ptCount val="8"/>
                <c:pt idx="0">
                  <c:v>3.3134328358208953</c:v>
                </c:pt>
                <c:pt idx="1">
                  <c:v>2.5472972972972974</c:v>
                </c:pt>
                <c:pt idx="2">
                  <c:v>2.3870967741935485</c:v>
                </c:pt>
                <c:pt idx="3">
                  <c:v>1.8850574712643677</c:v>
                </c:pt>
                <c:pt idx="4">
                  <c:v>-1.6476190476190475</c:v>
                </c:pt>
                <c:pt idx="5">
                  <c:v>1.1805555555555556</c:v>
                </c:pt>
                <c:pt idx="6">
                  <c:v>3.2142857142857144</c:v>
                </c:pt>
                <c:pt idx="7">
                  <c:v>-4.6896551724137927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74F-4D27-A8D2-D4E7F4E6C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509261"/>
        <c:axId val="2064159286"/>
      </c:barChart>
      <c:catAx>
        <c:axId val="9175092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64159286"/>
        <c:crosses val="autoZero"/>
        <c:auto val="1"/>
        <c:lblAlgn val="ctr"/>
        <c:lblOffset val="100"/>
        <c:noMultiLvlLbl val="1"/>
      </c:catAx>
      <c:valAx>
        <c:axId val="20641592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1750926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CY_SALES GR and CY_PRPFIT_GR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'Restaurants    '!$V$31</c:f>
              <c:strCache>
                <c:ptCount val="1"/>
                <c:pt idx="0">
                  <c:v>CY_SALES 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'Restaurants    '!$S$32:$S$39</c:f>
              <c:strCache>
                <c:ptCount val="8"/>
                <c:pt idx="0">
                  <c:v>JUBLFOOD</c:v>
                </c:pt>
                <c:pt idx="1">
                  <c:v>DEVYANI</c:v>
                </c:pt>
                <c:pt idx="2">
                  <c:v>WESTLIFE</c:v>
                </c:pt>
                <c:pt idx="3">
                  <c:v>SAPPHIRE*</c:v>
                </c:pt>
                <c:pt idx="4">
                  <c:v>RBA</c:v>
                </c:pt>
                <c:pt idx="5">
                  <c:v>BARBEQUE</c:v>
                </c:pt>
                <c:pt idx="6">
                  <c:v>SPECIALITY</c:v>
                </c:pt>
                <c:pt idx="7">
                  <c:v>COFFEEDAY*</c:v>
                </c:pt>
              </c:strCache>
            </c:strRef>
          </c:cat>
          <c:val>
            <c:numRef>
              <c:f>'Restaurants    '!$V$32:$V$39</c:f>
              <c:numCache>
                <c:formatCode>0%</c:formatCode>
                <c:ptCount val="8"/>
                <c:pt idx="0">
                  <c:v>0.44900000000000001</c:v>
                </c:pt>
                <c:pt idx="1">
                  <c:v>0.44159999999999999</c:v>
                </c:pt>
                <c:pt idx="2">
                  <c:v>2E-3</c:v>
                </c:pt>
                <c:pt idx="3">
                  <c:v>9.8000000000000004E-2</c:v>
                </c:pt>
                <c:pt idx="4">
                  <c:v>6.0699999999999997E-2</c:v>
                </c:pt>
                <c:pt idx="5">
                  <c:v>-5.555555555555558E-2</c:v>
                </c:pt>
                <c:pt idx="6">
                  <c:v>2.1052631578947434E-2</c:v>
                </c:pt>
                <c:pt idx="7">
                  <c:v>5.2631578947368363E-2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721-432E-B949-AF82FB766531}"/>
            </c:ext>
          </c:extLst>
        </c:ser>
        <c:ser>
          <c:idx val="1"/>
          <c:order val="1"/>
          <c:tx>
            <c:strRef>
              <c:f>'Restaurants    '!$W$31</c:f>
              <c:strCache>
                <c:ptCount val="1"/>
                <c:pt idx="0">
                  <c:v>CY_PROFIT_GR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'Restaurants    '!$S$32:$S$39</c:f>
              <c:strCache>
                <c:ptCount val="8"/>
                <c:pt idx="0">
                  <c:v>JUBLFOOD</c:v>
                </c:pt>
                <c:pt idx="1">
                  <c:v>DEVYANI</c:v>
                </c:pt>
                <c:pt idx="2">
                  <c:v>WESTLIFE</c:v>
                </c:pt>
                <c:pt idx="3">
                  <c:v>SAPPHIRE*</c:v>
                </c:pt>
                <c:pt idx="4">
                  <c:v>RBA</c:v>
                </c:pt>
                <c:pt idx="5">
                  <c:v>BARBEQUE</c:v>
                </c:pt>
                <c:pt idx="6">
                  <c:v>SPECIALITY</c:v>
                </c:pt>
                <c:pt idx="7">
                  <c:v>COFFEEDAY*</c:v>
                </c:pt>
              </c:strCache>
            </c:strRef>
          </c:cat>
          <c:val>
            <c:numRef>
              <c:f>'Restaurants    '!$W$32:$W$39</c:f>
              <c:numCache>
                <c:formatCode>General</c:formatCode>
                <c:ptCount val="8"/>
                <c:pt idx="0" formatCode="0.0%">
                  <c:v>1</c:v>
                </c:pt>
                <c:pt idx="1">
                  <c:v>0</c:v>
                </c:pt>
                <c:pt idx="2" formatCode="0.0%">
                  <c:v>-0.9</c:v>
                </c:pt>
                <c:pt idx="3" formatCode="0.0%">
                  <c:v>-0.73</c:v>
                </c:pt>
                <c:pt idx="4" formatCode="0.0%">
                  <c:v>-0.04</c:v>
                </c:pt>
                <c:pt idx="5">
                  <c:v>0</c:v>
                </c:pt>
                <c:pt idx="6" formatCode="0.0%">
                  <c:v>0.16666666666666674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721-432E-B949-AF82FB766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687762"/>
        <c:axId val="764567702"/>
      </c:barChart>
      <c:catAx>
        <c:axId val="18986877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64567702"/>
        <c:crosses val="autoZero"/>
        <c:auto val="1"/>
        <c:lblAlgn val="ctr"/>
        <c:lblOffset val="100"/>
        <c:noMultiLvlLbl val="1"/>
      </c:catAx>
      <c:valAx>
        <c:axId val="7645677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9868776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IN" b="1" i="0">
                <a:solidFill>
                  <a:srgbClr val="757575"/>
                </a:solidFill>
                <a:latin typeface="+mn-lt"/>
              </a:rPr>
              <a:t> Industry ROE 7.81% &amp;  ROA 3.23%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'Restaurants    '!$C$126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'Restaurants    '!$B$127:$B$138</c:f>
              <c:strCache>
                <c:ptCount val="12"/>
                <c:pt idx="0">
                  <c:v>JUBLFOOD</c:v>
                </c:pt>
                <c:pt idx="1">
                  <c:v>DEVYANI</c:v>
                </c:pt>
                <c:pt idx="2">
                  <c:v>WESTLIFE</c:v>
                </c:pt>
                <c:pt idx="3">
                  <c:v>SAPPHIRE*</c:v>
                </c:pt>
                <c:pt idx="4">
                  <c:v>RBA</c:v>
                </c:pt>
                <c:pt idx="5">
                  <c:v>BARBEQUE</c:v>
                </c:pt>
                <c:pt idx="6">
                  <c:v>SPECIALITY</c:v>
                </c:pt>
                <c:pt idx="7">
                  <c:v>COFFEEDAY*</c:v>
                </c:pt>
                <c:pt idx="8">
                  <c:v>VIDLI</c:v>
                </c:pt>
                <c:pt idx="9">
                  <c:v>PECOS</c:v>
                </c:pt>
                <c:pt idx="11">
                  <c:v>INDUSTRY</c:v>
                </c:pt>
              </c:strCache>
            </c:strRef>
          </c:cat>
          <c:val>
            <c:numRef>
              <c:f>'Restaurants    '!$C$127:$C$138</c:f>
              <c:numCache>
                <c:formatCode>0.00%</c:formatCode>
                <c:ptCount val="12"/>
                <c:pt idx="0">
                  <c:v>0.16914230953521803</c:v>
                </c:pt>
                <c:pt idx="1">
                  <c:v>0.25610948191593352</c:v>
                </c:pt>
                <c:pt idx="2">
                  <c:v>0.21052631578947367</c:v>
                </c:pt>
                <c:pt idx="3">
                  <c:v>0.17745620715917745</c:v>
                </c:pt>
                <c:pt idx="4">
                  <c:v>-0.32439678284182305</c:v>
                </c:pt>
                <c:pt idx="5">
                  <c:v>4.8717948717948718E-2</c:v>
                </c:pt>
                <c:pt idx="6">
                  <c:v>0.34275618374558303</c:v>
                </c:pt>
                <c:pt idx="7">
                  <c:v>-2.3234761617380809E-2</c:v>
                </c:pt>
                <c:pt idx="11">
                  <c:v>7.8137902559867883E-2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4FD-4997-B5BE-00A6556B87C6}"/>
            </c:ext>
          </c:extLst>
        </c:ser>
        <c:ser>
          <c:idx val="1"/>
          <c:order val="1"/>
          <c:tx>
            <c:strRef>
              <c:f>'Restaurants    '!$D$126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'Restaurants    '!$B$127:$B$138</c:f>
              <c:strCache>
                <c:ptCount val="12"/>
                <c:pt idx="0">
                  <c:v>JUBLFOOD</c:v>
                </c:pt>
                <c:pt idx="1">
                  <c:v>DEVYANI</c:v>
                </c:pt>
                <c:pt idx="2">
                  <c:v>WESTLIFE</c:v>
                </c:pt>
                <c:pt idx="3">
                  <c:v>SAPPHIRE*</c:v>
                </c:pt>
                <c:pt idx="4">
                  <c:v>RBA</c:v>
                </c:pt>
                <c:pt idx="5">
                  <c:v>BARBEQUE</c:v>
                </c:pt>
                <c:pt idx="6">
                  <c:v>SPECIALITY</c:v>
                </c:pt>
                <c:pt idx="7">
                  <c:v>COFFEEDAY*</c:v>
                </c:pt>
                <c:pt idx="8">
                  <c:v>VIDLI</c:v>
                </c:pt>
                <c:pt idx="9">
                  <c:v>PECOS</c:v>
                </c:pt>
                <c:pt idx="11">
                  <c:v>INDUSTRY</c:v>
                </c:pt>
              </c:strCache>
            </c:strRef>
          </c:cat>
          <c:val>
            <c:numRef>
              <c:f>'Restaurants    '!$D$127:$D$138</c:f>
              <c:numCache>
                <c:formatCode>0.00%</c:formatCode>
                <c:ptCount val="12"/>
                <c:pt idx="0">
                  <c:v>6.3787495482471993E-2</c:v>
                </c:pt>
                <c:pt idx="1">
                  <c:v>8.370607028753993E-2</c:v>
                </c:pt>
                <c:pt idx="2">
                  <c:v>5.1376146788990829E-2</c:v>
                </c:pt>
                <c:pt idx="3">
                  <c:v>8.454281567489115E-2</c:v>
                </c:pt>
                <c:pt idx="4">
                  <c:v>-9.8775510204081637E-2</c:v>
                </c:pt>
                <c:pt idx="5">
                  <c:v>1.4925373134328358E-2</c:v>
                </c:pt>
                <c:pt idx="6">
                  <c:v>0.18798449612403101</c:v>
                </c:pt>
                <c:pt idx="7">
                  <c:v>-1.383399209486166E-2</c:v>
                </c:pt>
                <c:pt idx="11">
                  <c:v>3.2343516342661825E-2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4FD-4997-B5BE-00A6556B8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607408"/>
        <c:axId val="467150688"/>
      </c:barChart>
      <c:catAx>
        <c:axId val="23560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67150688"/>
        <c:crosses val="autoZero"/>
        <c:auto val="1"/>
        <c:lblAlgn val="ctr"/>
        <c:lblOffset val="100"/>
        <c:noMultiLvlLbl val="1"/>
      </c:catAx>
      <c:valAx>
        <c:axId val="4671506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56074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en-IN" b="1" i="0">
                <a:solidFill>
                  <a:srgbClr val="757575"/>
                </a:solidFill>
                <a:latin typeface="+mn-lt"/>
              </a:rPr>
              <a:t> Industry ROPE 0.68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'Restaurants    '!$G$126</c:f>
              <c:strCache>
                <c:ptCount val="1"/>
                <c:pt idx="0">
                  <c:v>ROPE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00F-4FE1-BD1F-8303A00E6689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00F-4FE1-BD1F-8303A00E66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'Restaurants    '!$F$127:$F$136</c:f>
              <c:strCache>
                <c:ptCount val="10"/>
                <c:pt idx="0">
                  <c:v>JUBLFOOD</c:v>
                </c:pt>
                <c:pt idx="1">
                  <c:v>DEVYANI</c:v>
                </c:pt>
                <c:pt idx="2">
                  <c:v>WESTLIFE</c:v>
                </c:pt>
                <c:pt idx="3">
                  <c:v>SAPPHIRE*</c:v>
                </c:pt>
                <c:pt idx="4">
                  <c:v>RBA</c:v>
                </c:pt>
                <c:pt idx="5">
                  <c:v>BARBEQUE</c:v>
                </c:pt>
                <c:pt idx="6">
                  <c:v>SPECIALITY</c:v>
                </c:pt>
                <c:pt idx="7">
                  <c:v>COFFEEDAY*</c:v>
                </c:pt>
                <c:pt idx="8">
                  <c:v>VIDLI</c:v>
                </c:pt>
                <c:pt idx="9">
                  <c:v>PECOS</c:v>
                </c:pt>
              </c:strCache>
            </c:strRef>
          </c:cat>
          <c:val>
            <c:numRef>
              <c:f>'Restaurants    '!$G$127:$G$136</c:f>
              <c:numCache>
                <c:formatCode>#,##0.00</c:formatCode>
                <c:ptCount val="10"/>
                <c:pt idx="0">
                  <c:v>2.6946564885496183</c:v>
                </c:pt>
                <c:pt idx="1">
                  <c:v>2.165289256198347</c:v>
                </c:pt>
                <c:pt idx="2">
                  <c:v>3.6129032258064515</c:v>
                </c:pt>
                <c:pt idx="3">
                  <c:v>3.640625</c:v>
                </c:pt>
                <c:pt idx="4">
                  <c:v>-0.48987854251012147</c:v>
                </c:pt>
                <c:pt idx="5">
                  <c:v>0.95</c:v>
                </c:pt>
                <c:pt idx="6">
                  <c:v>2.0638297872340425</c:v>
                </c:pt>
                <c:pt idx="7">
                  <c:v>-0.36492890995260663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00F-4FE1-BD1F-8303A00E6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988748"/>
        <c:axId val="1620876586"/>
      </c:barChart>
      <c:catAx>
        <c:axId val="15769887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20876586"/>
        <c:crosses val="autoZero"/>
        <c:auto val="1"/>
        <c:lblAlgn val="ctr"/>
        <c:lblOffset val="100"/>
        <c:noMultiLvlLbl val="1"/>
      </c:catAx>
      <c:valAx>
        <c:axId val="16208765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ROPE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769887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3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49</xdr:row>
      <xdr:rowOff>-123825</xdr:rowOff>
    </xdr:from>
    <xdr:ext cx="6619875" cy="6619875"/>
    <xdr:pic>
      <xdr:nvPicPr>
        <xdr:cNvPr id="2" name="image11.png" title="Image">
          <a:extLst>
            <a:ext uri="{FF2B5EF4-FFF2-40B4-BE49-F238E27FC236}">
              <a16:creationId xmlns:a16="http://schemas.microsoft.com/office/drawing/2014/main" id="{598CE7E4-C8E3-4F4C-9E3E-3879CB7433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9378315"/>
          <a:ext cx="6619875" cy="6619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104775</xdr:rowOff>
    </xdr:from>
    <xdr:ext cx="4448175" cy="27527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AF816E60-4A51-4E7F-A17F-FAF09D4FC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847725</xdr:colOff>
      <xdr:row>44</xdr:row>
      <xdr:rowOff>104775</xdr:rowOff>
    </xdr:from>
    <xdr:ext cx="4448175" cy="275272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795C425C-10DD-4745-8CEA-3B575DFED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495300</xdr:colOff>
      <xdr:row>44</xdr:row>
      <xdr:rowOff>104775</xdr:rowOff>
    </xdr:from>
    <xdr:ext cx="4505325" cy="275272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2EF96762-8A33-4AD6-B219-0EC087A91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14</xdr:col>
      <xdr:colOff>200025</xdr:colOff>
      <xdr:row>44</xdr:row>
      <xdr:rowOff>104775</xdr:rowOff>
    </xdr:from>
    <xdr:ext cx="4448175" cy="275272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6FC1E028-47B5-44CD-994D-FBD7600DF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0</xdr:colOff>
      <xdr:row>73</xdr:row>
      <xdr:rowOff>66675</xdr:rowOff>
    </xdr:from>
    <xdr:ext cx="4924425" cy="305752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3CAECACA-FC97-4481-976F-063E33B5F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5</xdr:col>
      <xdr:colOff>123825</xdr:colOff>
      <xdr:row>73</xdr:row>
      <xdr:rowOff>76200</xdr:rowOff>
    </xdr:from>
    <xdr:ext cx="5991225" cy="305752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644F2C55-BCE4-47CA-B1CD-1A3683D49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11</xdr:col>
      <xdr:colOff>266700</xdr:colOff>
      <xdr:row>73</xdr:row>
      <xdr:rowOff>66675</xdr:rowOff>
    </xdr:from>
    <xdr:ext cx="4743450" cy="290512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F8C06293-88BC-49B3-B2BC-EF1A1F749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0</xdr:col>
      <xdr:colOff>85725</xdr:colOff>
      <xdr:row>105</xdr:row>
      <xdr:rowOff>133350</xdr:rowOff>
    </xdr:from>
    <xdr:ext cx="5715000" cy="332422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E295680F-8BAD-43D6-8D86-DCF117617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6</xdr:col>
      <xdr:colOff>76200</xdr:colOff>
      <xdr:row>105</xdr:row>
      <xdr:rowOff>171450</xdr:rowOff>
    </xdr:from>
    <xdr:ext cx="5715000" cy="328612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F92DD959-0A44-4B88-8133-5158A852C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12</xdr:col>
      <xdr:colOff>66675</xdr:colOff>
      <xdr:row>105</xdr:row>
      <xdr:rowOff>171450</xdr:rowOff>
    </xdr:from>
    <xdr:ext cx="5715000" cy="353377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2B82FB0E-A7A3-42C4-8769-3BD5BF260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18</xdr:col>
      <xdr:colOff>809625</xdr:colOff>
      <xdr:row>44</xdr:row>
      <xdr:rowOff>104775</xdr:rowOff>
    </xdr:from>
    <xdr:ext cx="4448175" cy="275272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400475B8-2F77-47AD-A7B6-EB52634AA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</xdr:col>
      <xdr:colOff>19050</xdr:colOff>
      <xdr:row>140</xdr:row>
      <xdr:rowOff>47625</xdr:rowOff>
    </xdr:from>
    <xdr:ext cx="5172075" cy="3200400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D803CD9D-CC93-4DFB-9FF0-B5F9BDAD5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6</xdr:col>
      <xdr:colOff>704850</xdr:colOff>
      <xdr:row>140</xdr:row>
      <xdr:rowOff>47625</xdr:rowOff>
    </xdr:from>
    <xdr:ext cx="5715000" cy="3200400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854CD5E4-D0BB-4F0E-9ED9-A262E39A2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5</xdr:col>
      <xdr:colOff>28575</xdr:colOff>
      <xdr:row>19</xdr:row>
      <xdr:rowOff>28575</xdr:rowOff>
    </xdr:from>
    <xdr:ext cx="6143625" cy="1752600"/>
    <xdr:pic>
      <xdr:nvPicPr>
        <xdr:cNvPr id="15" name="image1.png" title="Image">
          <a:extLst>
            <a:ext uri="{FF2B5EF4-FFF2-40B4-BE49-F238E27FC236}">
              <a16:creationId xmlns:a16="http://schemas.microsoft.com/office/drawing/2014/main" id="{2EBB3718-1120-4833-A915-636684CF8C7A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829175" y="3792855"/>
          <a:ext cx="6143625" cy="1752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13</xdr:row>
      <xdr:rowOff>66675</xdr:rowOff>
    </xdr:from>
    <xdr:ext cx="4791075" cy="2905125"/>
    <xdr:pic>
      <xdr:nvPicPr>
        <xdr:cNvPr id="16" name="image2.png" title="Image">
          <a:extLst>
            <a:ext uri="{FF2B5EF4-FFF2-40B4-BE49-F238E27FC236}">
              <a16:creationId xmlns:a16="http://schemas.microsoft.com/office/drawing/2014/main" id="{02C769BB-35CF-4794-9E9D-BF0677AA0A01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5725" y="2642235"/>
          <a:ext cx="4791075" cy="29051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Restaurants%20(9).xlsx" TargetMode="External"/><Relationship Id="rId1" Type="http://schemas.openxmlformats.org/officeDocument/2006/relationships/externalLinkPath" Target="/Users/profi/Downloads/Restaurants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taurants    "/>
      <sheetName val="Sheet1"/>
      <sheetName val="Restaurants"/>
      <sheetName val="COFFEEDAY"/>
      <sheetName val="Jublfood"/>
      <sheetName val="JUBILANTFOOD FAIRVALUE"/>
      <sheetName val="Speciality"/>
      <sheetName val="Sheet3"/>
      <sheetName val="DashBoard"/>
    </sheetNames>
    <sheetDataSet>
      <sheetData sheetId="0">
        <row r="31">
          <cell r="C31" t="str">
            <v>market cap</v>
          </cell>
          <cell r="G31" t="str">
            <v>FY_24_SALES</v>
          </cell>
          <cell r="K31" t="str">
            <v>FY_24_PROFITS</v>
          </cell>
          <cell r="O31" t="str">
            <v>CY_SALES GR</v>
          </cell>
          <cell r="V31" t="str">
            <v>CY_SALES GR</v>
          </cell>
          <cell r="W31" t="str">
            <v>CY_PROFIT_GR</v>
          </cell>
        </row>
        <row r="32">
          <cell r="B32" t="str">
            <v>JUBLFOOD</v>
          </cell>
          <cell r="C32">
            <v>34397.145494199998</v>
          </cell>
          <cell r="F32" t="str">
            <v>JUBLFOOD</v>
          </cell>
          <cell r="G32">
            <v>5654</v>
          </cell>
          <cell r="J32" t="str">
            <v>JUBLFOOD</v>
          </cell>
          <cell r="K32">
            <v>400</v>
          </cell>
          <cell r="N32" t="str">
            <v>JUBLFOOD</v>
          </cell>
          <cell r="O32">
            <v>9.6161302830554574E-2</v>
          </cell>
          <cell r="S32" t="str">
            <v>JUBLFOOD</v>
          </cell>
          <cell r="V32">
            <v>0.44900000000000001</v>
          </cell>
          <cell r="W32">
            <v>1</v>
          </cell>
        </row>
        <row r="33">
          <cell r="B33" t="str">
            <v>DEVYANI</v>
          </cell>
          <cell r="C33">
            <v>21335.4915</v>
          </cell>
          <cell r="F33" t="str">
            <v>DEVYANI</v>
          </cell>
          <cell r="G33">
            <v>3356</v>
          </cell>
          <cell r="J33" t="str">
            <v>DEVYANI</v>
          </cell>
          <cell r="K33">
            <v>-10</v>
          </cell>
          <cell r="N33" t="str">
            <v>DEVYANI</v>
          </cell>
          <cell r="O33">
            <v>0.11978645311978653</v>
          </cell>
          <cell r="S33" t="str">
            <v>DEVYANI</v>
          </cell>
          <cell r="V33">
            <v>0.44159999999999999</v>
          </cell>
          <cell r="W33" t="str">
            <v>NA (LOSS TO PROFIT)</v>
          </cell>
        </row>
        <row r="34">
          <cell r="B34" t="str">
            <v>WESTLIFE</v>
          </cell>
          <cell r="C34">
            <v>12731.1873897</v>
          </cell>
          <cell r="F34" t="str">
            <v>WESTLIFE</v>
          </cell>
          <cell r="G34">
            <v>2392</v>
          </cell>
          <cell r="J34" t="str">
            <v>WESTLIFE</v>
          </cell>
          <cell r="K34">
            <v>69</v>
          </cell>
          <cell r="N34" t="str">
            <v>WESTLIFE</v>
          </cell>
          <cell r="O34">
            <v>5.0043898156277411E-2</v>
          </cell>
          <cell r="S34" t="str">
            <v>WESTLIFE</v>
          </cell>
          <cell r="V34">
            <v>2E-3</v>
          </cell>
          <cell r="W34">
            <v>-0.9</v>
          </cell>
        </row>
        <row r="35">
          <cell r="B35" t="str">
            <v>SAPPHIRE*</v>
          </cell>
          <cell r="C35">
            <v>9542.1367334999995</v>
          </cell>
          <cell r="F35" t="str">
            <v>SAPPHIRE*</v>
          </cell>
          <cell r="G35">
            <v>2594</v>
          </cell>
          <cell r="J35" t="str">
            <v>SAPPHIRE*</v>
          </cell>
          <cell r="K35">
            <v>52</v>
          </cell>
          <cell r="N35" t="str">
            <v>SAPPHIRE*</v>
          </cell>
          <cell r="O35">
            <v>0.14525386313465782</v>
          </cell>
          <cell r="S35" t="str">
            <v>SAPPHIRE*</v>
          </cell>
          <cell r="V35">
            <v>9.8000000000000004E-2</v>
          </cell>
          <cell r="W35">
            <v>-0.73</v>
          </cell>
        </row>
        <row r="36">
          <cell r="B36" t="str">
            <v>RBA</v>
          </cell>
          <cell r="C36">
            <v>5604.4576100000004</v>
          </cell>
          <cell r="F36" t="str">
            <v>RBA</v>
          </cell>
          <cell r="G36">
            <v>1760</v>
          </cell>
          <cell r="J36" t="str">
            <v>RBA</v>
          </cell>
          <cell r="K36">
            <v>-69</v>
          </cell>
          <cell r="N36" t="str">
            <v>RBA</v>
          </cell>
          <cell r="O36">
            <v>-0.14313534566699126</v>
          </cell>
          <cell r="S36" t="str">
            <v>RBA</v>
          </cell>
          <cell r="V36">
            <v>6.0699999999999997E-2</v>
          </cell>
          <cell r="W36">
            <v>-0.04</v>
          </cell>
        </row>
        <row r="37">
          <cell r="B37" t="str">
            <v>BARBEQUE</v>
          </cell>
          <cell r="C37">
            <v>2168.4998850000002</v>
          </cell>
          <cell r="F37" t="str">
            <v>BARBEQUE</v>
          </cell>
          <cell r="G37">
            <v>1255</v>
          </cell>
          <cell r="J37" t="str">
            <v>BARBEQUE</v>
          </cell>
          <cell r="K37">
            <v>-11.2</v>
          </cell>
          <cell r="N37" t="str">
            <v>BARBEQUE</v>
          </cell>
          <cell r="O37">
            <v>1.7842660178426506E-2</v>
          </cell>
          <cell r="S37" t="str">
            <v>BARBEQUE</v>
          </cell>
          <cell r="V37">
            <v>-5.555555555555558E-2</v>
          </cell>
          <cell r="W37" t="str">
            <v>NA (LOSS TO LOSS)</v>
          </cell>
        </row>
        <row r="38">
          <cell r="B38" t="str">
            <v>SPECIALITY</v>
          </cell>
          <cell r="C38">
            <v>835.46510409999996</v>
          </cell>
          <cell r="F38" t="str">
            <v>SPECIALITY</v>
          </cell>
          <cell r="G38">
            <v>405</v>
          </cell>
          <cell r="J38" t="str">
            <v>SPECIALITY</v>
          </cell>
          <cell r="K38">
            <v>30</v>
          </cell>
          <cell r="N38" t="str">
            <v>SPECIALITY</v>
          </cell>
          <cell r="O38">
            <v>8.0000000000000071E-2</v>
          </cell>
          <cell r="S38" t="str">
            <v>SPECIALITY</v>
          </cell>
          <cell r="V38">
            <v>2.1052631578947434E-2</v>
          </cell>
          <cell r="W38">
            <v>0.16666666666666674</v>
          </cell>
        </row>
        <row r="39">
          <cell r="B39" t="str">
            <v>COFFEEDAY*</v>
          </cell>
          <cell r="C39">
            <v>1146.4596893999999</v>
          </cell>
          <cell r="F39" t="str">
            <v>COFFEEDAY*</v>
          </cell>
          <cell r="G39">
            <v>1013</v>
          </cell>
          <cell r="J39" t="str">
            <v>COFFEEDAY*</v>
          </cell>
          <cell r="K39">
            <v>171</v>
          </cell>
          <cell r="N39" t="str">
            <v>COFFEEDAY*</v>
          </cell>
          <cell r="O39">
            <v>9.7508125677139734E-2</v>
          </cell>
          <cell r="S39" t="str">
            <v>COFFEEDAY*</v>
          </cell>
          <cell r="V39">
            <v>5.2631578947368363E-2</v>
          </cell>
          <cell r="W39" t="str">
            <v>NA (PROFIT TO LOSS)</v>
          </cell>
        </row>
        <row r="40">
          <cell r="B40" t="str">
            <v>VIDLI</v>
          </cell>
          <cell r="C40">
            <v>74.627225899999999</v>
          </cell>
          <cell r="N40" t="str">
            <v>VIDLI</v>
          </cell>
        </row>
        <row r="41">
          <cell r="N41" t="str">
            <v>PECOS</v>
          </cell>
        </row>
        <row r="61">
          <cell r="C61" t="str">
            <v>MARGIN</v>
          </cell>
          <cell r="G61" t="str">
            <v>CUR. RATIO</v>
          </cell>
          <cell r="N61" t="str">
            <v>TR.DAYS</v>
          </cell>
        </row>
        <row r="62">
          <cell r="B62" t="str">
            <v>JUBLFOOD</v>
          </cell>
          <cell r="C62">
            <v>7.0746374248319768E-2</v>
          </cell>
          <cell r="F62" t="str">
            <v>JUBLFOOD</v>
          </cell>
          <cell r="G62">
            <v>0.50783410138248852</v>
          </cell>
          <cell r="M62" t="str">
            <v>JUBLFOOD</v>
          </cell>
          <cell r="N62">
            <v>2.4767351686700274</v>
          </cell>
        </row>
        <row r="63">
          <cell r="B63" t="str">
            <v>DEVYANI</v>
          </cell>
          <cell r="C63">
            <v>-2.9797377830750892E-3</v>
          </cell>
          <cell r="F63" t="str">
            <v>DEVYANI</v>
          </cell>
          <cell r="G63">
            <v>0.49319727891156462</v>
          </cell>
          <cell r="M63" t="str">
            <v>DEVYANI</v>
          </cell>
          <cell r="N63">
            <v>4.6279612946279611</v>
          </cell>
        </row>
        <row r="64">
          <cell r="B64" t="str">
            <v>WESTLIFE</v>
          </cell>
          <cell r="C64">
            <v>2.8846153846153848E-2</v>
          </cell>
          <cell r="F64" t="str">
            <v>WESTLIFE</v>
          </cell>
          <cell r="G64">
            <v>0.14624840764331212</v>
          </cell>
          <cell r="M64" t="str">
            <v>WESTLIFE</v>
          </cell>
          <cell r="N64">
            <v>2.5636523266022828</v>
          </cell>
        </row>
        <row r="65">
          <cell r="B65" t="str">
            <v>SAPPHIRE*</v>
          </cell>
          <cell r="C65">
            <v>2.0046260601387818E-2</v>
          </cell>
          <cell r="F65" t="str">
            <v>SAPPHIRE*</v>
          </cell>
          <cell r="G65">
            <v>0.79049295774647887</v>
          </cell>
          <cell r="M65" t="str">
            <v>SAPPHIRE*</v>
          </cell>
          <cell r="N65">
            <v>4.6732891832229582</v>
          </cell>
        </row>
        <row r="66">
          <cell r="B66" t="str">
            <v>RBA</v>
          </cell>
          <cell r="C66">
            <v>-3.9204545454545457E-2</v>
          </cell>
          <cell r="F66" t="str">
            <v>RBA</v>
          </cell>
          <cell r="G66">
            <v>0.44698205546492659</v>
          </cell>
          <cell r="M66" t="str">
            <v>RBA</v>
          </cell>
          <cell r="N66">
            <v>4.0871470301850046</v>
          </cell>
        </row>
        <row r="67">
          <cell r="B67" t="str">
            <v>BARBEQUE</v>
          </cell>
          <cell r="C67">
            <v>-8.9243027888446201E-3</v>
          </cell>
          <cell r="F67" t="str">
            <v>BARBEQUE</v>
          </cell>
          <cell r="G67">
            <v>0.48319327731092437</v>
          </cell>
          <cell r="M67" t="str">
            <v>BARBEQUE</v>
          </cell>
          <cell r="N67">
            <v>0.59205190592051904</v>
          </cell>
        </row>
        <row r="68">
          <cell r="B68" t="str">
            <v>SPECIALITY</v>
          </cell>
          <cell r="C68">
            <v>7.407407407407407E-2</v>
          </cell>
          <cell r="F68" t="str">
            <v>SPECIALITY</v>
          </cell>
          <cell r="G68">
            <v>2.329896907216495</v>
          </cell>
          <cell r="M68" t="str">
            <v>SPECIALITY</v>
          </cell>
          <cell r="N68">
            <v>8.76</v>
          </cell>
        </row>
        <row r="69">
          <cell r="B69" t="str">
            <v>COFFEEDAY*</v>
          </cell>
          <cell r="C69">
            <v>0.1688055281342547</v>
          </cell>
          <cell r="F69" t="str">
            <v>COFFEEDAY*</v>
          </cell>
          <cell r="G69">
            <v>1.9656762295081966</v>
          </cell>
          <cell r="M69" t="str">
            <v>COFFEEDAY*</v>
          </cell>
          <cell r="N69">
            <v>24.91332611050921</v>
          </cell>
        </row>
        <row r="70">
          <cell r="B70" t="str">
            <v>VIDLI</v>
          </cell>
        </row>
        <row r="71">
          <cell r="B71" t="str">
            <v>PECOS</v>
          </cell>
        </row>
        <row r="92">
          <cell r="C92" t="str">
            <v>DEBT2EQUITY</v>
          </cell>
          <cell r="I92" t="str">
            <v>DEBTRATIO</v>
          </cell>
          <cell r="N92" t="str">
            <v>ICR</v>
          </cell>
        </row>
        <row r="93">
          <cell r="B93" t="str">
            <v>JUBLFOOD</v>
          </cell>
          <cell r="C93">
            <v>8.8643986583612847E-2</v>
          </cell>
          <cell r="H93" t="str">
            <v>JUBLFOOD</v>
          </cell>
          <cell r="I93">
            <v>0.62269606071557648</v>
          </cell>
          <cell r="M93" t="str">
            <v>JUBLFOOD</v>
          </cell>
          <cell r="N93">
            <v>3.3134328358208953</v>
          </cell>
        </row>
        <row r="94">
          <cell r="B94" t="str">
            <v>DEVYANI</v>
          </cell>
          <cell r="C94">
            <v>7.8201368523949169E-2</v>
          </cell>
          <cell r="H94" t="str">
            <v>DEVYANI</v>
          </cell>
          <cell r="I94">
            <v>0.67316293929712456</v>
          </cell>
          <cell r="M94" t="str">
            <v>DEVYANI</v>
          </cell>
          <cell r="N94">
            <v>2.5472972972972974</v>
          </cell>
        </row>
        <row r="95">
          <cell r="B95" t="str">
            <v>WESTLIFE</v>
          </cell>
          <cell r="C95">
            <v>0.43421052631578949</v>
          </cell>
          <cell r="H95" t="str">
            <v>WESTLIFE</v>
          </cell>
          <cell r="I95">
            <v>0.74174311926605507</v>
          </cell>
          <cell r="M95" t="str">
            <v>WESTLIFE</v>
          </cell>
          <cell r="N95">
            <v>2.3870967741935485</v>
          </cell>
        </row>
        <row r="96">
          <cell r="B96" t="str">
            <v>SAPPHIRE*</v>
          </cell>
          <cell r="C96">
            <v>2.5133282559025132E-2</v>
          </cell>
          <cell r="H96" t="str">
            <v>SAPPHIRE*</v>
          </cell>
          <cell r="I96">
            <v>0.52358490566037741</v>
          </cell>
          <cell r="M96" t="str">
            <v>SAPPHIRE*</v>
          </cell>
          <cell r="N96">
            <v>1.8850574712643677</v>
          </cell>
        </row>
        <row r="97">
          <cell r="B97" t="str">
            <v>RBA</v>
          </cell>
          <cell r="C97">
            <v>0.17426273458445041</v>
          </cell>
          <cell r="H97" t="str">
            <v>RBA</v>
          </cell>
          <cell r="I97">
            <v>0.69510204081632654</v>
          </cell>
          <cell r="M97" t="str">
            <v>RBA</v>
          </cell>
          <cell r="N97">
            <v>-1.6476190476190475</v>
          </cell>
        </row>
        <row r="98">
          <cell r="B98" t="str">
            <v>BARBEQUE</v>
          </cell>
          <cell r="C98">
            <v>0.1076923076923077</v>
          </cell>
          <cell r="H98" t="str">
            <v>BARBEQUE</v>
          </cell>
          <cell r="I98">
            <v>0.69442262372348784</v>
          </cell>
          <cell r="M98" t="str">
            <v>BARBEQUE</v>
          </cell>
          <cell r="N98">
            <v>1.1805555555555556</v>
          </cell>
        </row>
        <row r="99">
          <cell r="B99" t="str">
            <v>SPECIALITY</v>
          </cell>
          <cell r="C99">
            <v>0</v>
          </cell>
          <cell r="H99" t="str">
            <v>SPECIALITY</v>
          </cell>
          <cell r="I99">
            <v>0.38178294573643412</v>
          </cell>
          <cell r="M99" t="str">
            <v>SPECIALITY</v>
          </cell>
          <cell r="N99">
            <v>3.2142857142857144</v>
          </cell>
        </row>
        <row r="100">
          <cell r="B100" t="str">
            <v>COFFEEDAY*</v>
          </cell>
          <cell r="C100">
            <v>0.42245021122510562</v>
          </cell>
          <cell r="H100" t="str">
            <v>COFFEEDAY*</v>
          </cell>
          <cell r="I100">
            <v>0.40441969098095581</v>
          </cell>
          <cell r="M100" t="str">
            <v>COFFEEDAY*</v>
          </cell>
          <cell r="N100">
            <v>-4.6896551724137927</v>
          </cell>
        </row>
        <row r="101">
          <cell r="B101" t="str">
            <v>VIDLI</v>
          </cell>
        </row>
        <row r="102">
          <cell r="B102" t="str">
            <v>PECOS</v>
          </cell>
        </row>
        <row r="126">
          <cell r="C126" t="str">
            <v>ROE</v>
          </cell>
          <cell r="D126" t="str">
            <v>ROA</v>
          </cell>
          <cell r="G126" t="str">
            <v>ROPE</v>
          </cell>
        </row>
        <row r="127">
          <cell r="B127" t="str">
            <v>JUBLFOOD</v>
          </cell>
          <cell r="C127">
            <v>0.16914230953521803</v>
          </cell>
          <cell r="D127">
            <v>6.3787495482471993E-2</v>
          </cell>
          <cell r="F127" t="str">
            <v>JUBLFOOD</v>
          </cell>
          <cell r="G127">
            <v>2.6946564885496183</v>
          </cell>
        </row>
        <row r="128">
          <cell r="B128" t="str">
            <v>DEVYANI</v>
          </cell>
          <cell r="C128">
            <v>0.25610948191593352</v>
          </cell>
          <cell r="D128">
            <v>8.370607028753993E-2</v>
          </cell>
          <cell r="F128" t="str">
            <v>DEVYANI</v>
          </cell>
          <cell r="G128">
            <v>2.165289256198347</v>
          </cell>
        </row>
        <row r="129">
          <cell r="B129" t="str">
            <v>WESTLIFE</v>
          </cell>
          <cell r="C129">
            <v>0.21052631578947367</v>
          </cell>
          <cell r="D129">
            <v>5.1376146788990829E-2</v>
          </cell>
          <cell r="F129" t="str">
            <v>WESTLIFE</v>
          </cell>
          <cell r="G129">
            <v>3.6129032258064515</v>
          </cell>
        </row>
        <row r="130">
          <cell r="B130" t="str">
            <v>SAPPHIRE*</v>
          </cell>
          <cell r="C130">
            <v>0.17745620715917745</v>
          </cell>
          <cell r="D130">
            <v>8.454281567489115E-2</v>
          </cell>
          <cell r="F130" t="str">
            <v>SAPPHIRE*</v>
          </cell>
          <cell r="G130">
            <v>3.640625</v>
          </cell>
        </row>
        <row r="131">
          <cell r="B131" t="str">
            <v>RBA</v>
          </cell>
          <cell r="C131">
            <v>-0.32439678284182305</v>
          </cell>
          <cell r="D131">
            <v>-9.8775510204081637E-2</v>
          </cell>
          <cell r="F131" t="str">
            <v>RBA</v>
          </cell>
          <cell r="G131">
            <v>-0.48987854251012147</v>
          </cell>
        </row>
        <row r="132">
          <cell r="B132" t="str">
            <v>BARBEQUE</v>
          </cell>
          <cell r="C132">
            <v>4.8717948717948718E-2</v>
          </cell>
          <cell r="D132">
            <v>1.4925373134328358E-2</v>
          </cell>
          <cell r="F132" t="str">
            <v>BARBEQUE</v>
          </cell>
          <cell r="G132">
            <v>0.95</v>
          </cell>
        </row>
        <row r="133">
          <cell r="B133" t="str">
            <v>SPECIALITY</v>
          </cell>
          <cell r="C133">
            <v>0.34275618374558303</v>
          </cell>
          <cell r="D133">
            <v>0.18798449612403101</v>
          </cell>
          <cell r="F133" t="str">
            <v>SPECIALITY</v>
          </cell>
          <cell r="G133">
            <v>2.0638297872340425</v>
          </cell>
        </row>
        <row r="134">
          <cell r="B134" t="str">
            <v>COFFEEDAY*</v>
          </cell>
          <cell r="C134">
            <v>-2.3234761617380809E-2</v>
          </cell>
          <cell r="D134">
            <v>-1.383399209486166E-2</v>
          </cell>
          <cell r="F134" t="str">
            <v>COFFEEDAY*</v>
          </cell>
          <cell r="G134">
            <v>-0.36492890995260663</v>
          </cell>
        </row>
        <row r="135">
          <cell r="B135" t="str">
            <v>VIDLI</v>
          </cell>
          <cell r="F135" t="str">
            <v>VIDLI</v>
          </cell>
        </row>
        <row r="136">
          <cell r="B136" t="str">
            <v>PECOS</v>
          </cell>
          <cell r="F136" t="str">
            <v>PECOS</v>
          </cell>
        </row>
        <row r="138">
          <cell r="B138" t="str">
            <v>INDUSTRY</v>
          </cell>
          <cell r="C138">
            <v>7.8137902559867883E-2</v>
          </cell>
          <cell r="D138">
            <v>3.2343516342661825E-2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7468B-E22D-477B-9AD8-36C8DF6D2FCC}">
  <sheetPr>
    <outlinePr summaryBelow="0" summaryRight="0"/>
  </sheetPr>
  <dimension ref="B1:AF112"/>
  <sheetViews>
    <sheetView showGridLines="0" tabSelected="1" workbookViewId="0"/>
  </sheetViews>
  <sheetFormatPr defaultColWidth="14" defaultRowHeight="15" customHeight="1" x14ac:dyDescent="0.3"/>
  <cols>
    <col min="1" max="1" width="5.109375" customWidth="1"/>
    <col min="2" max="2" width="17.44140625" customWidth="1"/>
    <col min="3" max="3" width="11.21875" customWidth="1"/>
    <col min="4" max="4" width="12.21875" customWidth="1"/>
    <col min="5" max="5" width="15.5546875" customWidth="1"/>
    <col min="6" max="6" width="15.21875" customWidth="1"/>
    <col min="7" max="7" width="12.6640625" customWidth="1"/>
    <col min="8" max="8" width="7.44140625" customWidth="1"/>
    <col min="9" max="9" width="9.5546875" customWidth="1"/>
    <col min="10" max="10" width="10.21875" customWidth="1"/>
    <col min="11" max="12" width="11.33203125" customWidth="1"/>
    <col min="13" max="13" width="10.44140625" customWidth="1"/>
    <col min="14" max="14" width="13.44140625" customWidth="1"/>
    <col min="15" max="15" width="11.88671875" customWidth="1"/>
    <col min="16" max="16" width="8.44140625" customWidth="1"/>
    <col min="17" max="17" width="13.44140625" customWidth="1"/>
    <col min="18" max="18" width="14.6640625" customWidth="1"/>
    <col min="19" max="19" width="12.44140625" customWidth="1"/>
    <col min="20" max="20" width="12.6640625" customWidth="1"/>
    <col min="21" max="21" width="9.44140625" customWidth="1"/>
    <col min="22" max="22" width="16.5546875" customWidth="1"/>
    <col min="23" max="23" width="13.44140625" customWidth="1"/>
    <col min="24" max="24" width="15.21875" customWidth="1"/>
    <col min="25" max="25" width="12.44140625" customWidth="1"/>
    <col min="26" max="26" width="11.109375" customWidth="1"/>
    <col min="27" max="27" width="9" customWidth="1"/>
    <col min="28" max="28" width="15.5546875" customWidth="1"/>
    <col min="29" max="29" width="12.33203125" customWidth="1"/>
    <col min="30" max="30" width="15" customWidth="1"/>
  </cols>
  <sheetData>
    <row r="1" spans="2:24" ht="28.8" x14ac:dyDescent="0.3">
      <c r="B1" s="1" t="s">
        <v>0</v>
      </c>
      <c r="F1" s="1" t="s">
        <v>1</v>
      </c>
      <c r="K1" s="1" t="s">
        <v>2</v>
      </c>
      <c r="T1" s="1" t="s">
        <v>3</v>
      </c>
    </row>
    <row r="2" spans="2:24" ht="28.8" x14ac:dyDescent="0.3">
      <c r="B2" s="2" t="s">
        <v>4</v>
      </c>
      <c r="C2" s="2" t="s">
        <v>5</v>
      </c>
      <c r="D2" s="2" t="s">
        <v>6</v>
      </c>
      <c r="E2" s="1" t="s">
        <v>7</v>
      </c>
      <c r="F2" s="2" t="s">
        <v>8</v>
      </c>
      <c r="G2" s="1" t="s">
        <v>9</v>
      </c>
      <c r="H2" s="1" t="s">
        <v>10</v>
      </c>
      <c r="I2" s="1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3" t="s">
        <v>16</v>
      </c>
      <c r="O2" s="1" t="s">
        <v>17</v>
      </c>
      <c r="P2" s="1" t="s">
        <v>18</v>
      </c>
      <c r="Q2" s="1" t="s">
        <v>19</v>
      </c>
      <c r="R2" s="1" t="s">
        <v>20</v>
      </c>
      <c r="S2" s="1" t="s">
        <v>21</v>
      </c>
      <c r="T2" s="1" t="s">
        <v>22</v>
      </c>
      <c r="U2" s="1" t="s">
        <v>23</v>
      </c>
      <c r="V2" s="1" t="s">
        <v>24</v>
      </c>
      <c r="W2" s="1" t="s">
        <v>25</v>
      </c>
      <c r="X2" s="1" t="s">
        <v>26</v>
      </c>
    </row>
    <row r="3" spans="2:24" ht="15" customHeight="1" x14ac:dyDescent="0.3">
      <c r="B3" s="4" t="s">
        <v>27</v>
      </c>
      <c r="C3" s="5">
        <f ca="1">IFERROR(__xludf.DUMMYFUNCTION("GOOGLEFINANCE(""nse:""&amp;B3,""price"")"),687)</f>
        <v>687</v>
      </c>
      <c r="D3" s="5">
        <f ca="1">IFERROR(__xludf.DUMMYFUNCTION("GOOGLEFINANCE(""nse:""&amp;B3,""MARKETCAP"")/10000000"),45173.5779203)</f>
        <v>45173.577920299998</v>
      </c>
      <c r="E3" s="6">
        <f>E27</f>
        <v>3057</v>
      </c>
      <c r="F3" s="7">
        <f>D27</f>
        <v>6253</v>
      </c>
      <c r="G3" s="8">
        <v>78492</v>
      </c>
      <c r="H3" s="7">
        <f>G27</f>
        <v>429</v>
      </c>
      <c r="I3" s="7">
        <v>6.06</v>
      </c>
      <c r="J3" s="9">
        <v>2</v>
      </c>
      <c r="K3" s="10">
        <v>132</v>
      </c>
      <c r="L3" s="9">
        <v>2038</v>
      </c>
      <c r="M3" s="10">
        <v>1497</v>
      </c>
      <c r="N3" s="10">
        <v>2700</v>
      </c>
      <c r="O3" s="10">
        <v>1156</v>
      </c>
      <c r="P3" s="6">
        <v>1916</v>
      </c>
      <c r="Q3" s="8">
        <v>8125</v>
      </c>
      <c r="R3" s="8">
        <v>5881</v>
      </c>
      <c r="S3" s="6">
        <v>265</v>
      </c>
      <c r="T3" s="8">
        <v>-841</v>
      </c>
      <c r="U3" s="11">
        <v>1009</v>
      </c>
      <c r="V3" s="12">
        <v>-1374</v>
      </c>
      <c r="W3" s="12">
        <v>377</v>
      </c>
      <c r="X3" s="12">
        <f t="shared" ref="X3:X4" si="0">SUM(U3:W3)</f>
        <v>12</v>
      </c>
    </row>
    <row r="4" spans="2:24" ht="15" customHeight="1" x14ac:dyDescent="0.3">
      <c r="B4" s="8" t="s">
        <v>28</v>
      </c>
      <c r="C4" s="6">
        <v>448</v>
      </c>
      <c r="D4" s="13">
        <f ca="1">C4*D3/C3</f>
        <v>29458.17017218981</v>
      </c>
      <c r="E4" s="6">
        <f>E3-E5</f>
        <v>2701</v>
      </c>
      <c r="F4" s="13">
        <f>D29</f>
        <v>5158</v>
      </c>
      <c r="G4" s="8">
        <v>78446</v>
      </c>
      <c r="H4" s="13">
        <f>G29</f>
        <v>353</v>
      </c>
      <c r="I4" s="8">
        <v>5.35</v>
      </c>
      <c r="J4" s="8">
        <v>2</v>
      </c>
      <c r="K4" s="6">
        <v>132</v>
      </c>
      <c r="L4" s="8">
        <v>1905</v>
      </c>
      <c r="M4" s="6">
        <v>182</v>
      </c>
      <c r="N4" s="6">
        <v>2163</v>
      </c>
      <c r="O4" s="6">
        <v>686</v>
      </c>
      <c r="P4" s="6">
        <v>1029</v>
      </c>
      <c r="Q4" s="8">
        <v>5382</v>
      </c>
      <c r="R4" s="8">
        <f>2315+P4</f>
        <v>3344</v>
      </c>
      <c r="S4" s="6">
        <v>29</v>
      </c>
      <c r="T4" s="8">
        <v>-793</v>
      </c>
      <c r="U4" s="14">
        <v>1026</v>
      </c>
      <c r="V4" s="15">
        <v>-594</v>
      </c>
      <c r="W4" s="15">
        <v>-426</v>
      </c>
      <c r="X4" s="15">
        <f t="shared" si="0"/>
        <v>6</v>
      </c>
    </row>
    <row r="5" spans="2:24" ht="14.4" x14ac:dyDescent="0.3">
      <c r="B5" s="16" t="s">
        <v>29</v>
      </c>
      <c r="C5" s="17">
        <f t="shared" ref="C5:D5" ca="1" si="1">(C3/C4)-1</f>
        <v>0.53348214285714279</v>
      </c>
      <c r="D5" s="17">
        <f t="shared" ca="1" si="1"/>
        <v>0.53348214285714279</v>
      </c>
      <c r="E5" s="18">
        <v>356</v>
      </c>
      <c r="F5" s="17">
        <f t="shared" ref="F5:X5" si="2">(F3/F4)-1</f>
        <v>0.21229158588600239</v>
      </c>
      <c r="G5" s="19">
        <f t="shared" si="2"/>
        <v>5.8639063814602821E-4</v>
      </c>
      <c r="H5" s="17">
        <f t="shared" si="2"/>
        <v>0.2152974504249292</v>
      </c>
      <c r="I5" s="17">
        <f t="shared" si="2"/>
        <v>0.13271028037383181</v>
      </c>
      <c r="J5" s="17">
        <f t="shared" si="2"/>
        <v>0</v>
      </c>
      <c r="K5" s="17">
        <f t="shared" si="2"/>
        <v>0</v>
      </c>
      <c r="L5" s="17">
        <f t="shared" si="2"/>
        <v>6.9816272965879334E-2</v>
      </c>
      <c r="M5" s="17">
        <f t="shared" si="2"/>
        <v>7.2252747252747245</v>
      </c>
      <c r="N5" s="17">
        <f t="shared" si="2"/>
        <v>0.24826629680998602</v>
      </c>
      <c r="O5" s="17">
        <f t="shared" si="2"/>
        <v>0.685131195335277</v>
      </c>
      <c r="P5" s="17">
        <f t="shared" si="2"/>
        <v>0.8620019436345967</v>
      </c>
      <c r="Q5" s="17">
        <f t="shared" si="2"/>
        <v>0.50966183574879231</v>
      </c>
      <c r="R5" s="17">
        <f t="shared" si="2"/>
        <v>0.75867224880382778</v>
      </c>
      <c r="S5" s="17">
        <f t="shared" si="2"/>
        <v>8.137931034482758</v>
      </c>
      <c r="T5" s="17">
        <f t="shared" si="2"/>
        <v>6.0529634300126034E-2</v>
      </c>
      <c r="U5" s="17">
        <f t="shared" si="2"/>
        <v>-1.6569200779727122E-2</v>
      </c>
      <c r="V5" s="17">
        <f t="shared" si="2"/>
        <v>1.3131313131313131</v>
      </c>
      <c r="W5" s="17">
        <f t="shared" si="2"/>
        <v>-1.8849765258215962</v>
      </c>
      <c r="X5" s="17">
        <f t="shared" si="2"/>
        <v>1</v>
      </c>
    </row>
    <row r="7" spans="2:24" ht="15" customHeight="1" x14ac:dyDescent="0.3">
      <c r="B7" s="2" t="s">
        <v>29</v>
      </c>
      <c r="C7" s="2" t="s">
        <v>30</v>
      </c>
      <c r="D7" s="20"/>
      <c r="E7" s="20"/>
      <c r="F7" s="2" t="s">
        <v>31</v>
      </c>
      <c r="G7" s="20"/>
      <c r="H7" s="20"/>
      <c r="I7" s="2" t="s">
        <v>32</v>
      </c>
      <c r="J7" s="20"/>
      <c r="K7" s="20"/>
      <c r="L7" s="2" t="s">
        <v>33</v>
      </c>
      <c r="M7" s="20"/>
      <c r="N7" s="20"/>
      <c r="O7" s="20"/>
      <c r="Q7" s="2" t="s">
        <v>34</v>
      </c>
      <c r="R7" s="21"/>
      <c r="S7" s="21"/>
    </row>
    <row r="8" spans="2:24" ht="14.4" x14ac:dyDescent="0.3">
      <c r="B8" s="22" t="s">
        <v>35</v>
      </c>
      <c r="C8" s="22" t="s">
        <v>36</v>
      </c>
      <c r="D8" s="23" t="s">
        <v>37</v>
      </c>
      <c r="E8" s="22" t="s">
        <v>38</v>
      </c>
      <c r="F8" s="22" t="s">
        <v>39</v>
      </c>
      <c r="G8" s="22" t="s">
        <v>40</v>
      </c>
      <c r="H8" s="22" t="s">
        <v>41</v>
      </c>
      <c r="I8" s="22" t="s">
        <v>42</v>
      </c>
      <c r="J8" s="22" t="s">
        <v>43</v>
      </c>
      <c r="K8" s="22" t="s">
        <v>44</v>
      </c>
      <c r="L8" s="22" t="s">
        <v>45</v>
      </c>
      <c r="M8" s="22" t="s">
        <v>46</v>
      </c>
      <c r="N8" s="22" t="s">
        <v>47</v>
      </c>
      <c r="O8" s="22" t="s">
        <v>48</v>
      </c>
      <c r="P8" s="22" t="s">
        <v>49</v>
      </c>
      <c r="Q8" s="2" t="s">
        <v>50</v>
      </c>
      <c r="R8" s="2" t="s">
        <v>51</v>
      </c>
      <c r="S8" s="2" t="s">
        <v>52</v>
      </c>
    </row>
    <row r="9" spans="2:24" ht="15" customHeight="1" x14ac:dyDescent="0.3">
      <c r="B9" s="24">
        <f>U22</f>
        <v>0.44902548725637192</v>
      </c>
      <c r="C9" s="24">
        <f>S27</f>
        <v>3.0005173305742368E-2</v>
      </c>
      <c r="D9" s="24">
        <f>O3/P3</f>
        <v>0.60334029227557406</v>
      </c>
      <c r="E9" s="25">
        <f>(S3/F3)*365</f>
        <v>15.468575083959697</v>
      </c>
      <c r="F9" s="24">
        <f>M3/(K3+L3)</f>
        <v>0.68986175115207371</v>
      </c>
      <c r="G9" s="24">
        <f>R3/Q3</f>
        <v>0.72381538461538464</v>
      </c>
      <c r="H9" s="26">
        <f>S28</f>
        <v>1.4850746268656716</v>
      </c>
      <c r="I9" s="24">
        <f>H3/(K3+L3)</f>
        <v>0.19769585253456221</v>
      </c>
      <c r="J9" s="27">
        <f>H3/K3</f>
        <v>3.25</v>
      </c>
      <c r="K9" s="24">
        <f>H3/Q3</f>
        <v>5.28E-2</v>
      </c>
      <c r="L9" s="27">
        <f ca="1">C3/I3</f>
        <v>113.36633663366338</v>
      </c>
      <c r="M9" s="28">
        <f ca="1">I3/C3</f>
        <v>8.8209606986899558E-3</v>
      </c>
      <c r="N9" s="26">
        <f>(L3+K3)/(K3/J3)</f>
        <v>32.878787878787875</v>
      </c>
      <c r="O9" s="27">
        <f ca="1">C3/N9</f>
        <v>20.894930875576041</v>
      </c>
      <c r="P9" s="27">
        <f ca="1">S12</f>
        <v>1.1336633663366336</v>
      </c>
      <c r="Q9" s="29">
        <f>U3/P3</f>
        <v>0.52661795407098122</v>
      </c>
      <c r="R9" s="30">
        <f>U3/M3</f>
        <v>0.67401469605878428</v>
      </c>
      <c r="S9" s="31">
        <f>U3+T3</f>
        <v>168</v>
      </c>
    </row>
    <row r="11" spans="2:24" ht="14.4" x14ac:dyDescent="0.3">
      <c r="B11" s="2" t="s">
        <v>53</v>
      </c>
      <c r="C11" s="2" t="s">
        <v>54</v>
      </c>
      <c r="D11" s="2" t="s">
        <v>55</v>
      </c>
      <c r="E11" s="2" t="s">
        <v>10</v>
      </c>
      <c r="F11" s="2" t="s">
        <v>56</v>
      </c>
      <c r="G11" s="2" t="s">
        <v>57</v>
      </c>
      <c r="I11" s="32" t="s">
        <v>58</v>
      </c>
      <c r="J11" s="33" t="s">
        <v>59</v>
      </c>
      <c r="K11" s="33" t="s">
        <v>60</v>
      </c>
      <c r="L11" s="33" t="s">
        <v>61</v>
      </c>
      <c r="M11" s="33" t="s">
        <v>62</v>
      </c>
      <c r="N11" s="33" t="s">
        <v>56</v>
      </c>
      <c r="O11" s="34"/>
      <c r="P11" s="35" t="s">
        <v>63</v>
      </c>
      <c r="Q11" s="35" t="s">
        <v>64</v>
      </c>
      <c r="R11" s="35" t="s">
        <v>65</v>
      </c>
      <c r="S11" s="35" t="s">
        <v>49</v>
      </c>
    </row>
    <row r="12" spans="2:24" ht="15" customHeight="1" x14ac:dyDescent="0.3">
      <c r="B12" s="36"/>
      <c r="C12" s="37" t="s">
        <v>66</v>
      </c>
      <c r="D12" s="38">
        <f t="shared" ref="D12:F12" si="3">FV(12%,5,0,-D13,0)</f>
        <v>26416.811388197479</v>
      </c>
      <c r="E12" s="38">
        <f t="shared" si="3"/>
        <v>1856.0549230182367</v>
      </c>
      <c r="F12" s="38">
        <f t="shared" si="3"/>
        <v>28.119232083726285</v>
      </c>
      <c r="G12" s="39">
        <f t="shared" ref="G12:G14" si="4">F12*50</f>
        <v>1405.9616041863142</v>
      </c>
      <c r="I12" s="4" t="s">
        <v>56</v>
      </c>
      <c r="J12" s="40">
        <v>0.44</v>
      </c>
      <c r="K12" s="40">
        <v>1.47</v>
      </c>
      <c r="L12" s="40">
        <v>1</v>
      </c>
      <c r="M12" s="40">
        <v>3.15</v>
      </c>
      <c r="N12" s="41">
        <f>SUM(J12:M12)</f>
        <v>6.0600000000000005</v>
      </c>
      <c r="O12" s="34"/>
      <c r="P12" s="6">
        <v>6.06</v>
      </c>
      <c r="Q12" s="42">
        <f>N12</f>
        <v>6.0600000000000005</v>
      </c>
      <c r="R12" s="43">
        <v>5.6</v>
      </c>
      <c r="S12" s="44">
        <f ca="1">Q14/100</f>
        <v>1.1336633663366336</v>
      </c>
    </row>
    <row r="13" spans="2:24" ht="15" customHeight="1" x14ac:dyDescent="0.3">
      <c r="B13" s="36"/>
      <c r="C13" s="37" t="s">
        <v>67</v>
      </c>
      <c r="D13" s="38">
        <f>FV(D17,6,0,-D14,0)</f>
        <v>14989.60822411618</v>
      </c>
      <c r="E13" s="38">
        <f t="shared" ref="E13:E14" si="5">D13*F17</f>
        <v>1053.1754090092647</v>
      </c>
      <c r="F13" s="38">
        <f>(E13*F14)/E14</f>
        <v>15.955607446490362</v>
      </c>
      <c r="G13" s="39">
        <f t="shared" si="4"/>
        <v>797.78037232451811</v>
      </c>
      <c r="P13" s="33" t="s">
        <v>68</v>
      </c>
      <c r="Q13" s="33" t="s">
        <v>69</v>
      </c>
      <c r="R13" s="33" t="s">
        <v>70</v>
      </c>
      <c r="S13" s="45"/>
    </row>
    <row r="14" spans="2:24" ht="15" customHeight="1" x14ac:dyDescent="0.3">
      <c r="B14" s="36"/>
      <c r="C14" s="37" t="s">
        <v>71</v>
      </c>
      <c r="D14" s="38">
        <f>FV(D18,1,0,-D28,0)</f>
        <v>7350.2</v>
      </c>
      <c r="E14" s="38">
        <f t="shared" si="5"/>
        <v>367.51</v>
      </c>
      <c r="F14" s="46">
        <f>FV(E18,1,0,-H28,0)</f>
        <v>5.5677764999999999</v>
      </c>
      <c r="G14" s="39">
        <f t="shared" si="4"/>
        <v>278.388825</v>
      </c>
      <c r="P14" s="13">
        <f>C4/P12</f>
        <v>73.927392739273927</v>
      </c>
      <c r="Q14" s="13">
        <f ca="1">C3/Q12</f>
        <v>113.36633663366335</v>
      </c>
      <c r="R14" s="13">
        <f ca="1">C3/R12</f>
        <v>122.67857142857143</v>
      </c>
      <c r="S14" s="45"/>
    </row>
    <row r="15" spans="2:24" ht="14.4" x14ac:dyDescent="0.3">
      <c r="E15" s="47"/>
      <c r="I15" s="48" t="s">
        <v>72</v>
      </c>
      <c r="J15" s="48" t="s">
        <v>73</v>
      </c>
      <c r="K15" s="48" t="s">
        <v>74</v>
      </c>
      <c r="L15" s="48" t="s">
        <v>75</v>
      </c>
      <c r="M15" s="48" t="s">
        <v>76</v>
      </c>
      <c r="N15" s="48" t="s">
        <v>77</v>
      </c>
    </row>
    <row r="16" spans="2:24" ht="15" customHeight="1" x14ac:dyDescent="0.3">
      <c r="B16" s="1" t="s">
        <v>78</v>
      </c>
      <c r="C16" s="2" t="s">
        <v>54</v>
      </c>
      <c r="D16" s="2" t="s">
        <v>55</v>
      </c>
      <c r="E16" s="1" t="s">
        <v>79</v>
      </c>
      <c r="F16" s="1" t="s">
        <v>80</v>
      </c>
      <c r="I16" s="4" t="s">
        <v>81</v>
      </c>
      <c r="J16" s="49">
        <v>5.7000000000000002E-2</v>
      </c>
      <c r="K16" s="49">
        <v>0.05</v>
      </c>
      <c r="L16" s="49">
        <v>9.6000000000000002E-2</v>
      </c>
      <c r="M16" s="49">
        <v>0.44900000000000001</v>
      </c>
      <c r="N16" s="50">
        <v>0.3</v>
      </c>
      <c r="O16" s="51"/>
      <c r="P16" s="51"/>
      <c r="Q16" s="52"/>
      <c r="R16" s="53"/>
      <c r="S16" s="54"/>
    </row>
    <row r="17" spans="2:32" ht="15" customHeight="1" x14ac:dyDescent="0.3">
      <c r="B17" s="36"/>
      <c r="C17" s="37" t="s">
        <v>82</v>
      </c>
      <c r="D17" s="55">
        <f>MEDIAN(D22:D24)</f>
        <v>0.12611269457674834</v>
      </c>
      <c r="E17" s="50">
        <v>0.13</v>
      </c>
      <c r="F17" s="49">
        <f>AVERAGE(I21:I24)</f>
        <v>7.0260369268014156E-2</v>
      </c>
      <c r="I17" s="4" t="s">
        <v>80</v>
      </c>
      <c r="J17" s="49">
        <v>4.7E-2</v>
      </c>
      <c r="K17" s="49">
        <v>4.7E-2</v>
      </c>
      <c r="L17" s="49">
        <v>7.0999999999999994E-2</v>
      </c>
      <c r="M17" s="49">
        <v>0.03</v>
      </c>
      <c r="N17" s="49">
        <v>0.05</v>
      </c>
      <c r="O17" s="51"/>
      <c r="P17" s="51"/>
      <c r="Q17" s="53"/>
      <c r="R17" s="53"/>
    </row>
    <row r="18" spans="2:32" ht="15" customHeight="1" x14ac:dyDescent="0.3">
      <c r="C18" s="37" t="s">
        <v>71</v>
      </c>
      <c r="D18" s="55">
        <v>0.3</v>
      </c>
      <c r="E18" s="55">
        <f>(E14/G28)-1</f>
        <v>-8.1224999999999992E-2</v>
      </c>
      <c r="F18" s="56">
        <v>0.05</v>
      </c>
      <c r="I18" s="4" t="s">
        <v>79</v>
      </c>
      <c r="J18" s="50">
        <v>-0.48</v>
      </c>
      <c r="K18" s="50">
        <v>-0.41</v>
      </c>
      <c r="L18" s="50">
        <v>0.13</v>
      </c>
      <c r="M18" s="50">
        <v>1</v>
      </c>
      <c r="N18" s="50">
        <v>-0.26</v>
      </c>
      <c r="O18" s="51"/>
      <c r="P18" s="51"/>
      <c r="Q18" s="52"/>
      <c r="R18" s="53"/>
      <c r="U18" s="54"/>
    </row>
    <row r="19" spans="2:32" ht="14.4" x14ac:dyDescent="0.3">
      <c r="O19" s="57">
        <f>AVERAGE(N22:O23)</f>
        <v>88.590545915513403</v>
      </c>
      <c r="T19" s="51" t="s">
        <v>83</v>
      </c>
      <c r="U19" s="54">
        <v>0.03</v>
      </c>
      <c r="Y19" s="51" t="s">
        <v>83</v>
      </c>
      <c r="Z19" s="54">
        <v>1E-3</v>
      </c>
      <c r="AD19" s="51" t="s">
        <v>83</v>
      </c>
      <c r="AE19" s="54">
        <v>1E-3</v>
      </c>
    </row>
    <row r="20" spans="2:32" ht="28.8" x14ac:dyDescent="0.3">
      <c r="B20" s="51"/>
      <c r="C20" s="2" t="s">
        <v>54</v>
      </c>
      <c r="D20" s="3" t="s">
        <v>55</v>
      </c>
      <c r="E20" s="58" t="s">
        <v>7</v>
      </c>
      <c r="F20" s="32" t="s">
        <v>84</v>
      </c>
      <c r="G20" s="32" t="s">
        <v>85</v>
      </c>
      <c r="H20" s="32" t="s">
        <v>56</v>
      </c>
      <c r="I20" s="32" t="s">
        <v>86</v>
      </c>
      <c r="J20" s="32" t="s">
        <v>13</v>
      </c>
      <c r="K20" s="32" t="s">
        <v>87</v>
      </c>
      <c r="L20" s="3" t="s">
        <v>88</v>
      </c>
      <c r="M20" s="3" t="s">
        <v>89</v>
      </c>
      <c r="N20" s="3" t="s">
        <v>90</v>
      </c>
      <c r="O20" s="3" t="s">
        <v>91</v>
      </c>
      <c r="P20" s="58" t="s">
        <v>92</v>
      </c>
      <c r="R20" s="59" t="s">
        <v>93</v>
      </c>
      <c r="S20" s="59" t="s">
        <v>76</v>
      </c>
      <c r="T20" s="59" t="s">
        <v>94</v>
      </c>
      <c r="U20" s="60" t="s">
        <v>95</v>
      </c>
      <c r="W20" s="59" t="s">
        <v>93</v>
      </c>
      <c r="X20" s="59" t="s">
        <v>96</v>
      </c>
      <c r="Y20" s="59" t="s">
        <v>97</v>
      </c>
      <c r="Z20" s="60" t="s">
        <v>95</v>
      </c>
      <c r="AB20" s="59" t="s">
        <v>93</v>
      </c>
      <c r="AC20" s="59" t="s">
        <v>75</v>
      </c>
      <c r="AD20" s="59" t="s">
        <v>98</v>
      </c>
      <c r="AE20" s="60" t="s">
        <v>95</v>
      </c>
    </row>
    <row r="21" spans="2:32" ht="15" customHeight="1" x14ac:dyDescent="0.3">
      <c r="B21" s="51"/>
      <c r="C21" s="61" t="s">
        <v>99</v>
      </c>
      <c r="D21" s="62">
        <f t="shared" ref="D21:H21" si="6">(D28/D29)-1</f>
        <v>9.6161302830554574E-2</v>
      </c>
      <c r="E21" s="62">
        <f t="shared" si="6"/>
        <v>0.64702643171806162</v>
      </c>
      <c r="F21" s="62">
        <f t="shared" si="6"/>
        <v>0.14915832090347325</v>
      </c>
      <c r="G21" s="62">
        <f t="shared" si="6"/>
        <v>0.13314447592067991</v>
      </c>
      <c r="H21" s="62">
        <f t="shared" si="6"/>
        <v>0.13271028037383181</v>
      </c>
      <c r="I21" s="63">
        <f>I28</f>
        <v>7.0746374248319768E-2</v>
      </c>
      <c r="J21" s="62">
        <f t="shared" ref="J21:M21" si="7">(J28/J29)-1</f>
        <v>0</v>
      </c>
      <c r="K21" s="62">
        <f t="shared" si="7"/>
        <v>6.9816272965879334E-2</v>
      </c>
      <c r="L21" s="62">
        <f t="shared" si="7"/>
        <v>-0.10122699386503065</v>
      </c>
      <c r="M21" s="62">
        <f t="shared" si="7"/>
        <v>2.1844660194174859E-2</v>
      </c>
      <c r="N21" s="64">
        <f t="shared" ref="N21:P21" si="8">N28</f>
        <v>96.699669966996709</v>
      </c>
      <c r="O21" s="64">
        <f t="shared" si="8"/>
        <v>69.471947194719476</v>
      </c>
      <c r="P21" s="65">
        <f t="shared" si="8"/>
        <v>15.313824884792629</v>
      </c>
      <c r="R21" s="4" t="s">
        <v>7</v>
      </c>
      <c r="S21" s="9">
        <v>3057</v>
      </c>
      <c r="T21" s="9">
        <v>2833</v>
      </c>
      <c r="U21" s="66">
        <f>S21-T21</f>
        <v>224</v>
      </c>
      <c r="W21" s="4" t="s">
        <v>7</v>
      </c>
      <c r="X21" s="9">
        <v>2991</v>
      </c>
      <c r="Y21" s="9">
        <v>2635</v>
      </c>
      <c r="Z21" s="66">
        <f>X21-Y21</f>
        <v>356</v>
      </c>
      <c r="AB21" s="4" t="s">
        <v>7</v>
      </c>
      <c r="AC21" s="9">
        <v>2991</v>
      </c>
      <c r="AD21" s="9">
        <v>2635</v>
      </c>
      <c r="AE21" s="66">
        <f>AC21-AD21</f>
        <v>356</v>
      </c>
    </row>
    <row r="22" spans="2:32" ht="15" customHeight="1" x14ac:dyDescent="0.3">
      <c r="B22" s="51"/>
      <c r="C22" s="67" t="s">
        <v>100</v>
      </c>
      <c r="D22" s="68">
        <f t="shared" ref="D22:G22" si="9">(D28/D33)^(1/5)-1</f>
        <v>9.5829767498784468E-2</v>
      </c>
      <c r="E22" s="68">
        <f t="shared" si="9"/>
        <v>0.19507282241218005</v>
      </c>
      <c r="F22" s="68">
        <f t="shared" si="9"/>
        <v>0.11559698101432359</v>
      </c>
      <c r="G22" s="68">
        <f t="shared" si="9"/>
        <v>4.3689931404943039E-2</v>
      </c>
      <c r="H22" s="68">
        <f>((5*H28)/H33)^(1/5)-1</f>
        <v>4.5725847843137046E-2</v>
      </c>
      <c r="I22" s="69">
        <f>MEDIAN(I28:I33)</f>
        <v>7.0274363006071316E-2</v>
      </c>
      <c r="J22" s="68">
        <f t="shared" ref="J22:K22" si="10">(J28/J33)^(1/5)-1</f>
        <v>0</v>
      </c>
      <c r="K22" s="68">
        <f t="shared" si="10"/>
        <v>0.1132317517686996</v>
      </c>
      <c r="L22" s="68">
        <f t="shared" ref="L22:M22" si="11">((5*L28)/L33)^(1/5)-1</f>
        <v>8.0401823402755923E-3</v>
      </c>
      <c r="M22" s="68">
        <f t="shared" si="11"/>
        <v>0.16473767216212432</v>
      </c>
      <c r="N22" s="64">
        <f t="shared" ref="N22:P22" si="12">MEDIAN(N28:N33)</f>
        <v>119.02372512641702</v>
      </c>
      <c r="O22" s="64">
        <f t="shared" si="12"/>
        <v>70.775859637245773</v>
      </c>
      <c r="P22" s="65">
        <f t="shared" si="12"/>
        <v>18.440292340501152</v>
      </c>
      <c r="R22" s="4" t="s">
        <v>55</v>
      </c>
      <c r="S22" s="9">
        <v>1933</v>
      </c>
      <c r="T22" s="9">
        <v>1334</v>
      </c>
      <c r="U22" s="56">
        <f t="shared" ref="U22:U24" si="13">(S22/T22)-1</f>
        <v>0.44902548725637192</v>
      </c>
      <c r="V22" s="53"/>
      <c r="W22" s="4" t="s">
        <v>55</v>
      </c>
      <c r="X22" s="9">
        <v>1573</v>
      </c>
      <c r="Y22" s="9">
        <v>1270</v>
      </c>
      <c r="Z22" s="56">
        <f t="shared" ref="Z22:Z24" si="14">(X22/Y22)-1</f>
        <v>0.23858267716535431</v>
      </c>
      <c r="AB22" s="4" t="s">
        <v>55</v>
      </c>
      <c r="AC22" s="9">
        <v>5654</v>
      </c>
      <c r="AD22" s="9">
        <v>5158</v>
      </c>
      <c r="AE22" s="56">
        <f t="shared" ref="AE22:AE24" si="15">(AC22/AD22)-1</f>
        <v>9.6161302830554574E-2</v>
      </c>
    </row>
    <row r="23" spans="2:32" ht="15" customHeight="1" x14ac:dyDescent="0.3">
      <c r="B23" s="51"/>
      <c r="C23" s="67" t="s">
        <v>101</v>
      </c>
      <c r="D23" s="68">
        <f t="shared" ref="D23:G23" si="16">(D28/D38)^(1/10)-1</f>
        <v>0.12611269457674834</v>
      </c>
      <c r="E23" s="68">
        <f t="shared" si="16"/>
        <v>0.14804750013775614</v>
      </c>
      <c r="F23" s="68">
        <f t="shared" si="16"/>
        <v>0.13896515186135971</v>
      </c>
      <c r="G23" s="68">
        <f t="shared" si="16"/>
        <v>0.12245501489702826</v>
      </c>
      <c r="H23" s="68">
        <f>((10*H28)/H38)^(1/10)-1</f>
        <v>0.12151268228083523</v>
      </c>
      <c r="I23" s="69">
        <f>MEDIAN(I28:I38)</f>
        <v>6.9746376811594207E-2</v>
      </c>
      <c r="J23" s="68">
        <f t="shared" ref="J23:K23" si="17">(J28/J38)^(1/10)-1</f>
        <v>7.1773462536293131E-2</v>
      </c>
      <c r="K23" s="68">
        <f t="shared" si="17"/>
        <v>0.15437322262536246</v>
      </c>
      <c r="L23" s="68">
        <f t="shared" ref="L23:M23" si="18">((10*L28)/L38)^(1/10)-1</f>
        <v>0.15475082601150913</v>
      </c>
      <c r="M23" s="68">
        <f t="shared" si="18"/>
        <v>0.16325093949505631</v>
      </c>
      <c r="N23" s="70">
        <f t="shared" ref="N23:O23" si="19">MEDIAN(N28:N38)</f>
        <v>113.76146788990825</v>
      </c>
      <c r="O23" s="70">
        <f t="shared" si="19"/>
        <v>50.801131008482564</v>
      </c>
      <c r="P23" s="71">
        <f>MEDIAN(P30:P42)</f>
        <v>14.331623931623932</v>
      </c>
      <c r="R23" s="4" t="s">
        <v>102</v>
      </c>
      <c r="S23" s="9">
        <v>134</v>
      </c>
      <c r="T23" s="9">
        <v>54</v>
      </c>
      <c r="U23" s="55">
        <f t="shared" si="13"/>
        <v>1.4814814814814814</v>
      </c>
      <c r="W23" s="4" t="s">
        <v>102</v>
      </c>
      <c r="X23" s="9">
        <v>114</v>
      </c>
      <c r="Y23" s="9">
        <v>52</v>
      </c>
      <c r="Z23" s="55">
        <f t="shared" si="14"/>
        <v>1.1923076923076925</v>
      </c>
      <c r="AB23" s="4" t="s">
        <v>102</v>
      </c>
      <c r="AC23" s="9">
        <v>288</v>
      </c>
      <c r="AD23" s="9">
        <v>201</v>
      </c>
      <c r="AE23" s="55">
        <f t="shared" si="15"/>
        <v>0.43283582089552231</v>
      </c>
    </row>
    <row r="24" spans="2:32" ht="15" customHeight="1" x14ac:dyDescent="0.3">
      <c r="B24" s="51"/>
      <c r="C24" s="67" t="s">
        <v>103</v>
      </c>
      <c r="D24" s="68">
        <f t="shared" ref="D24:G24" si="20">(D28/D43)^(1/15)-1</f>
        <v>0.22154639289601019</v>
      </c>
      <c r="E24" s="68">
        <f t="shared" si="20"/>
        <v>0.18282353718114908</v>
      </c>
      <c r="F24" s="68">
        <f t="shared" si="20"/>
        <v>0.22005062446026313</v>
      </c>
      <c r="G24" s="68">
        <f t="shared" si="20"/>
        <v>0.30957626955851403</v>
      </c>
      <c r="H24" s="68"/>
      <c r="I24" s="69">
        <f>MEDIAN(I28:I43)</f>
        <v>7.0274363006071316E-2</v>
      </c>
      <c r="J24" s="68">
        <f>(J28/J43)^(1/15)-1</f>
        <v>5.3969828527838049E-2</v>
      </c>
      <c r="K24" s="68"/>
      <c r="L24" s="68"/>
      <c r="M24" s="72"/>
      <c r="N24" s="73"/>
      <c r="O24" s="73"/>
      <c r="R24" s="4" t="s">
        <v>104</v>
      </c>
      <c r="S24" s="9">
        <v>1868</v>
      </c>
      <c r="T24" s="9">
        <v>1249</v>
      </c>
      <c r="U24" s="55">
        <f t="shared" si="13"/>
        <v>0.49559647718174538</v>
      </c>
      <c r="W24" s="4" t="s">
        <v>104</v>
      </c>
      <c r="X24" s="9">
        <v>1545</v>
      </c>
      <c r="Y24" s="9">
        <v>1205</v>
      </c>
      <c r="Z24" s="55">
        <f t="shared" si="14"/>
        <v>0.28215767634854783</v>
      </c>
      <c r="AB24" s="4" t="s">
        <v>104</v>
      </c>
      <c r="AC24" s="9">
        <v>5396</v>
      </c>
      <c r="AD24" s="9">
        <v>4693</v>
      </c>
      <c r="AE24" s="55">
        <f t="shared" si="15"/>
        <v>0.1497975708502024</v>
      </c>
    </row>
    <row r="25" spans="2:32" ht="15" customHeight="1" x14ac:dyDescent="0.3">
      <c r="M25" s="51">
        <f t="shared" ref="M25:N25" si="21">L30*2</f>
        <v>9180</v>
      </c>
      <c r="N25" s="51">
        <f t="shared" si="21"/>
        <v>4870</v>
      </c>
      <c r="R25" s="4" t="s">
        <v>10</v>
      </c>
      <c r="S25" s="9">
        <v>58</v>
      </c>
      <c r="T25" s="9">
        <v>29</v>
      </c>
      <c r="U25" s="55">
        <f t="shared" ref="U25:U26" si="22">(S25/T25)^(1/1)-1</f>
        <v>1</v>
      </c>
      <c r="V25" s="53"/>
      <c r="W25" s="4" t="s">
        <v>10</v>
      </c>
      <c r="X25" s="9">
        <v>208</v>
      </c>
      <c r="Y25" s="9">
        <v>29</v>
      </c>
      <c r="Z25" s="55">
        <f t="shared" ref="Z25:Z26" si="23">(X25/Y25)^(1/1)-1</f>
        <v>6.1724137931034484</v>
      </c>
      <c r="AB25" s="4" t="s">
        <v>10</v>
      </c>
      <c r="AC25" s="9">
        <f>400</f>
        <v>400</v>
      </c>
      <c r="AD25" s="9">
        <v>353</v>
      </c>
      <c r="AE25" s="55">
        <f t="shared" ref="AE25:AE26" si="24">(AC25/AD25)^(1/1)-1</f>
        <v>0.13314447592067991</v>
      </c>
    </row>
    <row r="26" spans="2:32" ht="15" customHeight="1" x14ac:dyDescent="0.3">
      <c r="B26" s="51"/>
      <c r="C26" s="74" t="s">
        <v>54</v>
      </c>
      <c r="D26" s="75" t="s">
        <v>55</v>
      </c>
      <c r="E26" s="76" t="s">
        <v>7</v>
      </c>
      <c r="F26" s="77" t="s">
        <v>84</v>
      </c>
      <c r="G26" s="77" t="s">
        <v>85</v>
      </c>
      <c r="H26" s="77" t="s">
        <v>56</v>
      </c>
      <c r="I26" s="77" t="s">
        <v>86</v>
      </c>
      <c r="J26" s="77" t="s">
        <v>13</v>
      </c>
      <c r="K26" s="77" t="s">
        <v>87</v>
      </c>
      <c r="L26" s="75" t="s">
        <v>88</v>
      </c>
      <c r="M26" s="75" t="s">
        <v>89</v>
      </c>
      <c r="N26" s="75" t="s">
        <v>90</v>
      </c>
      <c r="O26" s="75" t="s">
        <v>91</v>
      </c>
      <c r="P26" s="76" t="s">
        <v>48</v>
      </c>
      <c r="R26" s="4" t="s">
        <v>56</v>
      </c>
      <c r="S26" s="9">
        <v>0.89</v>
      </c>
      <c r="T26" s="9">
        <v>0.44</v>
      </c>
      <c r="U26" s="55">
        <f t="shared" si="22"/>
        <v>1.0227272727272729</v>
      </c>
      <c r="W26" s="4" t="s">
        <v>56</v>
      </c>
      <c r="X26" s="9">
        <v>3.15</v>
      </c>
      <c r="Y26" s="9">
        <v>0.43</v>
      </c>
      <c r="Z26" s="55">
        <f t="shared" si="23"/>
        <v>6.3255813953488369</v>
      </c>
      <c r="AB26" s="4" t="s">
        <v>56</v>
      </c>
      <c r="AC26" s="9">
        <v>6.06</v>
      </c>
      <c r="AD26" s="9">
        <v>5.35</v>
      </c>
      <c r="AE26" s="55">
        <f t="shared" si="24"/>
        <v>0.13271028037383181</v>
      </c>
    </row>
    <row r="27" spans="2:32" ht="15.6" x14ac:dyDescent="0.3">
      <c r="C27" s="78" t="s">
        <v>105</v>
      </c>
      <c r="D27" s="79">
        <f>D28+S22-T22</f>
        <v>6253</v>
      </c>
      <c r="E27" s="80">
        <f>S21</f>
        <v>3057</v>
      </c>
      <c r="F27" s="81">
        <f>-5393-1933+1334</f>
        <v>-5992</v>
      </c>
      <c r="G27" s="82">
        <f>G28+S25-T25</f>
        <v>429</v>
      </c>
      <c r="H27" s="81">
        <v>6.1</v>
      </c>
      <c r="I27" s="83">
        <f t="shared" ref="I27:I47" si="25">G27/D27</f>
        <v>6.8607068607068611E-2</v>
      </c>
      <c r="J27" s="80">
        <v>132</v>
      </c>
      <c r="K27" s="80">
        <v>2038</v>
      </c>
      <c r="L27" s="80">
        <v>694</v>
      </c>
      <c r="M27" s="80">
        <v>430</v>
      </c>
      <c r="N27" s="84">
        <f t="shared" ref="N27:N42" si="26">L27/H27</f>
        <v>113.7704918032787</v>
      </c>
      <c r="O27" s="84">
        <f t="shared" ref="O27:O42" si="27">M27/H27</f>
        <v>70.491803278688522</v>
      </c>
      <c r="P27" s="85">
        <f t="shared" ref="P27:P29" si="28">AVERAGE(L27:M27)/((K27+J27)/(J27/2))</f>
        <v>17.093087557603688</v>
      </c>
      <c r="R27" s="4" t="s">
        <v>106</v>
      </c>
      <c r="S27" s="56">
        <f t="shared" ref="S27:T27" si="29">S25/S22</f>
        <v>3.0005173305742368E-2</v>
      </c>
      <c r="T27" s="56">
        <f t="shared" si="29"/>
        <v>2.1739130434782608E-2</v>
      </c>
      <c r="U27" s="56">
        <f t="shared" ref="U27:U28" si="30">S27-T27</f>
        <v>8.2660428709597604E-3</v>
      </c>
      <c r="V27" s="53"/>
      <c r="W27" s="4" t="s">
        <v>106</v>
      </c>
      <c r="X27" s="56">
        <f t="shared" ref="X27:Y27" si="31">X25/X22</f>
        <v>0.13223140495867769</v>
      </c>
      <c r="Y27" s="56">
        <f t="shared" si="31"/>
        <v>2.2834645669291338E-2</v>
      </c>
      <c r="Z27" s="55">
        <f t="shared" ref="Z27:Z28" si="32">X27-Y27</f>
        <v>0.10939675928938636</v>
      </c>
      <c r="AB27" s="4" t="s">
        <v>106</v>
      </c>
      <c r="AC27" s="56">
        <f t="shared" ref="AC27:AD27" si="33">AC25/AC22</f>
        <v>7.0746374248319768E-2</v>
      </c>
      <c r="AD27" s="56">
        <f t="shared" si="33"/>
        <v>6.8437378829003484E-2</v>
      </c>
      <c r="AE27" s="56">
        <f t="shared" ref="AE27:AE28" si="34">AC27-AD27</f>
        <v>2.3089954193162843E-3</v>
      </c>
    </row>
    <row r="28" spans="2:32" ht="15.6" x14ac:dyDescent="0.3">
      <c r="C28" s="78" t="s">
        <v>107</v>
      </c>
      <c r="D28" s="79">
        <v>5654</v>
      </c>
      <c r="E28" s="80">
        <v>2991</v>
      </c>
      <c r="F28" s="81">
        <v>-5393</v>
      </c>
      <c r="G28" s="82">
        <v>400</v>
      </c>
      <c r="H28" s="81">
        <v>6.06</v>
      </c>
      <c r="I28" s="83">
        <f t="shared" si="25"/>
        <v>7.0746374248319768E-2</v>
      </c>
      <c r="J28" s="80">
        <v>132</v>
      </c>
      <c r="K28" s="80">
        <v>2038</v>
      </c>
      <c r="L28" s="80">
        <v>586</v>
      </c>
      <c r="M28" s="80">
        <v>421</v>
      </c>
      <c r="N28" s="84">
        <f t="shared" si="26"/>
        <v>96.699669966996709</v>
      </c>
      <c r="O28" s="84">
        <f t="shared" si="27"/>
        <v>69.471947194719476</v>
      </c>
      <c r="P28" s="85">
        <f t="shared" si="28"/>
        <v>15.313824884792629</v>
      </c>
      <c r="R28" s="4" t="s">
        <v>108</v>
      </c>
      <c r="S28" s="86">
        <f t="shared" ref="S28:T28" si="35">(S22-S24+S23)/S23</f>
        <v>1.4850746268656716</v>
      </c>
      <c r="T28" s="86">
        <f t="shared" si="35"/>
        <v>2.574074074074074</v>
      </c>
      <c r="U28" s="41">
        <f t="shared" si="30"/>
        <v>-1.0889994472084024</v>
      </c>
      <c r="W28" s="4" t="s">
        <v>108</v>
      </c>
      <c r="X28" s="86">
        <f t="shared" ref="X28:Y28" si="36">(X22-X24+X23)/X23</f>
        <v>1.2456140350877194</v>
      </c>
      <c r="Y28" s="86">
        <f t="shared" si="36"/>
        <v>2.25</v>
      </c>
      <c r="Z28" s="41">
        <f t="shared" si="32"/>
        <v>-1.0043859649122806</v>
      </c>
      <c r="AB28" s="4" t="s">
        <v>108</v>
      </c>
      <c r="AC28" s="86">
        <f t="shared" ref="AC28:AD28" si="37">(AC22-AC24+AC23)/AC23</f>
        <v>1.8958333333333333</v>
      </c>
      <c r="AD28" s="86">
        <f t="shared" si="37"/>
        <v>3.3134328358208953</v>
      </c>
      <c r="AE28" s="41">
        <f t="shared" si="34"/>
        <v>-1.4175995024875621</v>
      </c>
    </row>
    <row r="29" spans="2:32" ht="15.6" x14ac:dyDescent="0.3">
      <c r="B29" s="87" t="s">
        <v>109</v>
      </c>
      <c r="C29" s="78" t="s">
        <v>110</v>
      </c>
      <c r="D29" s="79">
        <v>5158</v>
      </c>
      <c r="E29" s="80">
        <v>1816</v>
      </c>
      <c r="F29" s="81">
        <v>-4693</v>
      </c>
      <c r="G29" s="82">
        <v>353</v>
      </c>
      <c r="H29" s="81">
        <v>5.35</v>
      </c>
      <c r="I29" s="83">
        <f t="shared" si="25"/>
        <v>6.8437378829003484E-2</v>
      </c>
      <c r="J29" s="80">
        <v>132</v>
      </c>
      <c r="K29" s="80">
        <v>1905</v>
      </c>
      <c r="L29" s="80">
        <v>652</v>
      </c>
      <c r="M29" s="80">
        <v>412</v>
      </c>
      <c r="N29" s="84">
        <f t="shared" si="26"/>
        <v>121.86915887850468</v>
      </c>
      <c r="O29" s="84">
        <f t="shared" si="27"/>
        <v>77.00934579439253</v>
      </c>
      <c r="P29" s="85">
        <f t="shared" si="28"/>
        <v>17.237113402061855</v>
      </c>
    </row>
    <row r="30" spans="2:32" ht="15.6" x14ac:dyDescent="0.3">
      <c r="C30" s="78" t="s">
        <v>111</v>
      </c>
      <c r="D30" s="79">
        <v>4396</v>
      </c>
      <c r="E30" s="80">
        <v>1567</v>
      </c>
      <c r="F30" s="81">
        <v>-3857</v>
      </c>
      <c r="G30" s="82">
        <v>418</v>
      </c>
      <c r="H30" s="81">
        <f>6.37*5</f>
        <v>31.85</v>
      </c>
      <c r="I30" s="83">
        <f t="shared" si="25"/>
        <v>9.5086442220200185E-2</v>
      </c>
      <c r="J30" s="80">
        <v>132</v>
      </c>
      <c r="K30" s="80">
        <v>1813</v>
      </c>
      <c r="L30" s="80">
        <f>918*5</f>
        <v>4590</v>
      </c>
      <c r="M30" s="80">
        <f>487*5</f>
        <v>2435</v>
      </c>
      <c r="N30" s="84">
        <f t="shared" si="26"/>
        <v>144.11302982731553</v>
      </c>
      <c r="O30" s="84">
        <f t="shared" si="27"/>
        <v>76.452119309262159</v>
      </c>
      <c r="P30" s="85">
        <f t="shared" ref="P30:P42" si="38">AVERAGE(L30:M30)/((K30+J30)/(J30/10))</f>
        <v>23.838046272493575</v>
      </c>
      <c r="AD30" s="34"/>
    </row>
    <row r="31" spans="2:32" ht="15.6" x14ac:dyDescent="0.3">
      <c r="C31" s="78" t="s">
        <v>112</v>
      </c>
      <c r="D31" s="88">
        <v>3312</v>
      </c>
      <c r="E31" s="80">
        <v>1360</v>
      </c>
      <c r="F31" s="81">
        <v>-3079</v>
      </c>
      <c r="G31" s="88">
        <v>231</v>
      </c>
      <c r="H31" s="81">
        <v>17.55</v>
      </c>
      <c r="I31" s="83">
        <f t="shared" si="25"/>
        <v>6.9746376811594207E-2</v>
      </c>
      <c r="J31" s="80">
        <v>132</v>
      </c>
      <c r="K31" s="80">
        <v>1295</v>
      </c>
      <c r="L31" s="80">
        <v>3216</v>
      </c>
      <c r="M31" s="80">
        <v>1265</v>
      </c>
      <c r="N31" s="84">
        <f t="shared" si="26"/>
        <v>183.24786324786325</v>
      </c>
      <c r="O31" s="84">
        <f t="shared" si="27"/>
        <v>72.07977207977207</v>
      </c>
      <c r="P31" s="85">
        <f t="shared" si="38"/>
        <v>20.725017519271198</v>
      </c>
      <c r="R31" s="59" t="s">
        <v>113</v>
      </c>
      <c r="S31" s="59" t="s">
        <v>76</v>
      </c>
      <c r="T31" s="59" t="s">
        <v>94</v>
      </c>
      <c r="U31" s="59" t="s">
        <v>114</v>
      </c>
      <c r="V31" s="60" t="s">
        <v>95</v>
      </c>
      <c r="X31" s="59" t="s">
        <v>7</v>
      </c>
      <c r="Y31" s="59" t="s">
        <v>76</v>
      </c>
      <c r="Z31" s="59" t="s">
        <v>94</v>
      </c>
      <c r="AA31" s="59" t="s">
        <v>114</v>
      </c>
      <c r="AB31" s="60" t="s">
        <v>95</v>
      </c>
      <c r="AC31" s="34"/>
      <c r="AD31" s="59" t="s">
        <v>7</v>
      </c>
      <c r="AE31" s="59" t="s">
        <v>76</v>
      </c>
      <c r="AF31" s="59" t="s">
        <v>114</v>
      </c>
    </row>
    <row r="32" spans="2:32" ht="15.6" x14ac:dyDescent="0.3">
      <c r="B32" s="51"/>
      <c r="C32" s="78" t="s">
        <v>115</v>
      </c>
      <c r="D32" s="79">
        <v>3997</v>
      </c>
      <c r="E32" s="79">
        <v>1335</v>
      </c>
      <c r="F32" s="79">
        <v>-3569</v>
      </c>
      <c r="G32" s="82">
        <v>279</v>
      </c>
      <c r="H32" s="79">
        <v>21.22</v>
      </c>
      <c r="I32" s="83">
        <f t="shared" si="25"/>
        <v>6.9802351763822865E-2</v>
      </c>
      <c r="J32" s="79">
        <v>132</v>
      </c>
      <c r="K32" s="79">
        <v>990</v>
      </c>
      <c r="L32" s="89">
        <v>1974</v>
      </c>
      <c r="M32" s="89">
        <v>1078</v>
      </c>
      <c r="N32" s="84">
        <f t="shared" si="26"/>
        <v>93.025447690857689</v>
      </c>
      <c r="O32" s="84">
        <f t="shared" si="27"/>
        <v>50.801131008482564</v>
      </c>
      <c r="P32" s="85">
        <f t="shared" si="38"/>
        <v>17.952941176470588</v>
      </c>
      <c r="R32" s="4" t="s">
        <v>116</v>
      </c>
      <c r="S32" s="9">
        <v>692</v>
      </c>
      <c r="T32" s="9">
        <v>482</v>
      </c>
      <c r="U32" s="55">
        <f t="shared" ref="U32:U38" si="39">S32/$S$40</f>
        <v>0.37044967880085655</v>
      </c>
      <c r="V32" s="55">
        <f t="shared" ref="V32:V38" si="40">(S32/T32)^(1/1)-1</f>
        <v>0.43568464730290457</v>
      </c>
      <c r="X32" s="8" t="s">
        <v>117</v>
      </c>
      <c r="Y32" s="9">
        <v>2833</v>
      </c>
      <c r="Z32" s="86">
        <f t="shared" ref="Z32:Z36" si="41">Y32-AB32</f>
        <v>2599</v>
      </c>
      <c r="AA32" s="55">
        <f t="shared" ref="AA32:AA36" si="42">Y32/$Y$38</f>
        <v>0.92672554792280015</v>
      </c>
      <c r="AB32" s="66">
        <v>234</v>
      </c>
      <c r="AC32" s="52"/>
      <c r="AD32" s="8" t="s">
        <v>118</v>
      </c>
      <c r="AE32" s="9">
        <v>2148</v>
      </c>
      <c r="AF32" s="55">
        <f t="shared" ref="AF32:AF36" si="43">AE32/$AE$36</f>
        <v>0.70426229508196725</v>
      </c>
    </row>
    <row r="33" spans="2:32" ht="15.6" x14ac:dyDescent="0.3">
      <c r="B33" s="90" t="s">
        <v>119</v>
      </c>
      <c r="C33" s="78" t="s">
        <v>120</v>
      </c>
      <c r="D33" s="79">
        <v>3578</v>
      </c>
      <c r="E33" s="79">
        <v>1227</v>
      </c>
      <c r="F33" s="79">
        <v>-3121</v>
      </c>
      <c r="G33" s="82">
        <v>323</v>
      </c>
      <c r="H33" s="79">
        <v>24.23</v>
      </c>
      <c r="I33" s="83">
        <f t="shared" si="25"/>
        <v>9.0273896031302397E-2</v>
      </c>
      <c r="J33" s="79">
        <v>132</v>
      </c>
      <c r="K33" s="79">
        <v>1192</v>
      </c>
      <c r="L33" s="91">
        <v>2815</v>
      </c>
      <c r="M33" s="91">
        <v>982</v>
      </c>
      <c r="N33" s="84">
        <f t="shared" si="26"/>
        <v>116.17829137432935</v>
      </c>
      <c r="O33" s="84">
        <f t="shared" si="27"/>
        <v>40.528270738753612</v>
      </c>
      <c r="P33" s="85">
        <f t="shared" si="38"/>
        <v>18.927643504531719</v>
      </c>
      <c r="R33" s="4" t="s">
        <v>121</v>
      </c>
      <c r="S33" s="86">
        <v>401</v>
      </c>
      <c r="T33" s="86">
        <v>300</v>
      </c>
      <c r="U33" s="55">
        <f t="shared" si="39"/>
        <v>0.21466809421841543</v>
      </c>
      <c r="V33" s="55">
        <f t="shared" si="40"/>
        <v>0.33666666666666667</v>
      </c>
      <c r="X33" s="8" t="s">
        <v>122</v>
      </c>
      <c r="Y33" s="86">
        <v>50</v>
      </c>
      <c r="Z33" s="86">
        <f t="shared" si="41"/>
        <v>17</v>
      </c>
      <c r="AA33" s="55">
        <f t="shared" si="42"/>
        <v>1.6355904481517827E-2</v>
      </c>
      <c r="AB33" s="66">
        <v>33</v>
      </c>
      <c r="AC33" s="52"/>
      <c r="AD33" s="8" t="s">
        <v>123</v>
      </c>
      <c r="AE33" s="86">
        <v>80</v>
      </c>
      <c r="AF33" s="55">
        <f t="shared" si="43"/>
        <v>2.6229508196721311E-2</v>
      </c>
    </row>
    <row r="34" spans="2:32" ht="15.6" x14ac:dyDescent="0.3">
      <c r="B34" s="51"/>
      <c r="C34" s="78" t="s">
        <v>124</v>
      </c>
      <c r="D34" s="79">
        <v>3003</v>
      </c>
      <c r="E34" s="79">
        <v>1134</v>
      </c>
      <c r="F34" s="79">
        <v>-2534</v>
      </c>
      <c r="G34" s="82">
        <v>206</v>
      </c>
      <c r="H34" s="79">
        <v>31.29</v>
      </c>
      <c r="I34" s="83">
        <f t="shared" si="25"/>
        <v>6.8598068598068593E-2</v>
      </c>
      <c r="J34" s="79">
        <v>66</v>
      </c>
      <c r="K34" s="79">
        <v>998</v>
      </c>
      <c r="L34" s="91">
        <v>2396</v>
      </c>
      <c r="M34" s="91">
        <v>818</v>
      </c>
      <c r="N34" s="84">
        <f t="shared" si="26"/>
        <v>76.573985298817519</v>
      </c>
      <c r="O34" s="84">
        <f t="shared" si="27"/>
        <v>26.142537551933525</v>
      </c>
      <c r="P34" s="85">
        <f t="shared" si="38"/>
        <v>9.9682330827067673</v>
      </c>
      <c r="R34" s="4" t="s">
        <v>125</v>
      </c>
      <c r="S34" s="66">
        <v>329</v>
      </c>
      <c r="T34" s="66">
        <v>253</v>
      </c>
      <c r="U34" s="55">
        <f t="shared" si="39"/>
        <v>0.17612419700214133</v>
      </c>
      <c r="V34" s="55">
        <f t="shared" si="40"/>
        <v>0.30039525691699609</v>
      </c>
      <c r="X34" s="8" t="s">
        <v>126</v>
      </c>
      <c r="Y34" s="66">
        <v>36</v>
      </c>
      <c r="Z34" s="86">
        <f t="shared" si="41"/>
        <v>21</v>
      </c>
      <c r="AA34" s="55">
        <f t="shared" si="42"/>
        <v>1.1776251226692836E-2</v>
      </c>
      <c r="AB34" s="66">
        <v>15</v>
      </c>
      <c r="AC34" s="52"/>
      <c r="AD34" s="8" t="s">
        <v>127</v>
      </c>
      <c r="AE34" s="66">
        <v>812</v>
      </c>
      <c r="AF34" s="55">
        <f t="shared" si="43"/>
        <v>0.26622950819672131</v>
      </c>
    </row>
    <row r="35" spans="2:32" ht="15.6" x14ac:dyDescent="0.3">
      <c r="B35" s="51"/>
      <c r="C35" s="78" t="s">
        <v>128</v>
      </c>
      <c r="D35" s="79">
        <v>2561</v>
      </c>
      <c r="E35" s="79">
        <v>1117</v>
      </c>
      <c r="F35" s="79">
        <v>-2311</v>
      </c>
      <c r="G35" s="82">
        <v>67</v>
      </c>
      <c r="H35" s="79">
        <v>10.199999999999999</v>
      </c>
      <c r="I35" s="83">
        <f t="shared" si="25"/>
        <v>2.616165560327997E-2</v>
      </c>
      <c r="J35" s="79">
        <v>66</v>
      </c>
      <c r="K35" s="79">
        <v>786</v>
      </c>
      <c r="L35" s="91">
        <v>1348</v>
      </c>
      <c r="M35" s="91">
        <v>761</v>
      </c>
      <c r="N35" s="84">
        <f t="shared" si="26"/>
        <v>132.15686274509804</v>
      </c>
      <c r="O35" s="84">
        <f t="shared" si="27"/>
        <v>74.607843137254903</v>
      </c>
      <c r="P35" s="85">
        <f t="shared" si="38"/>
        <v>8.1686619718309856</v>
      </c>
      <c r="R35" s="4" t="s">
        <v>129</v>
      </c>
      <c r="S35" s="9">
        <v>184</v>
      </c>
      <c r="T35" s="9">
        <v>136</v>
      </c>
      <c r="U35" s="55">
        <f t="shared" si="39"/>
        <v>9.8501070663811557E-2</v>
      </c>
      <c r="V35" s="55">
        <f t="shared" si="40"/>
        <v>0.35294117647058831</v>
      </c>
      <c r="X35" s="8" t="s">
        <v>130</v>
      </c>
      <c r="Y35" s="8">
        <v>33</v>
      </c>
      <c r="Z35" s="86">
        <f t="shared" si="41"/>
        <v>15</v>
      </c>
      <c r="AA35" s="55">
        <f t="shared" si="42"/>
        <v>1.0794896957801767E-2</v>
      </c>
      <c r="AB35" s="66">
        <v>18</v>
      </c>
      <c r="AC35" s="52"/>
      <c r="AD35" s="8" t="s">
        <v>131</v>
      </c>
      <c r="AE35" s="8">
        <v>10</v>
      </c>
      <c r="AF35" s="55">
        <f t="shared" si="43"/>
        <v>3.2786885245901639E-3</v>
      </c>
    </row>
    <row r="36" spans="2:32" ht="15.6" x14ac:dyDescent="0.3">
      <c r="B36" s="51"/>
      <c r="C36" s="78" t="s">
        <v>132</v>
      </c>
      <c r="D36" s="79">
        <v>2416</v>
      </c>
      <c r="E36" s="79">
        <f>1026+71</f>
        <v>1097</v>
      </c>
      <c r="F36" s="79">
        <v>-2125</v>
      </c>
      <c r="G36" s="82">
        <v>115</v>
      </c>
      <c r="H36" s="79">
        <v>17.440000000000001</v>
      </c>
      <c r="I36" s="83">
        <f t="shared" si="25"/>
        <v>4.7599337748344371E-2</v>
      </c>
      <c r="J36" s="79">
        <v>66</v>
      </c>
      <c r="K36" s="79">
        <v>702</v>
      </c>
      <c r="L36" s="91">
        <v>1984</v>
      </c>
      <c r="M36" s="91">
        <v>879</v>
      </c>
      <c r="N36" s="84">
        <f t="shared" si="26"/>
        <v>113.76146788990825</v>
      </c>
      <c r="O36" s="84">
        <f t="shared" si="27"/>
        <v>50.401376146788984</v>
      </c>
      <c r="P36" s="85">
        <f t="shared" si="38"/>
        <v>12.301953124999999</v>
      </c>
      <c r="R36" s="4" t="s">
        <v>133</v>
      </c>
      <c r="S36" s="9">
        <v>134</v>
      </c>
      <c r="T36" s="9">
        <v>54</v>
      </c>
      <c r="U36" s="55">
        <f t="shared" si="39"/>
        <v>7.1734475374732334E-2</v>
      </c>
      <c r="V36" s="55">
        <f t="shared" si="40"/>
        <v>1.4814814814814814</v>
      </c>
      <c r="X36" s="8" t="s">
        <v>134</v>
      </c>
      <c r="Y36" s="8">
        <v>105</v>
      </c>
      <c r="Z36" s="86">
        <f t="shared" si="41"/>
        <v>51</v>
      </c>
      <c r="AA36" s="55">
        <f t="shared" si="42"/>
        <v>3.4347399411187439E-2</v>
      </c>
      <c r="AB36" s="66">
        <v>54</v>
      </c>
      <c r="AD36" s="92" t="s">
        <v>135</v>
      </c>
      <c r="AE36" s="92">
        <f>SUM(AE32:AE35)</f>
        <v>3050</v>
      </c>
      <c r="AF36" s="92">
        <f t="shared" si="43"/>
        <v>1</v>
      </c>
    </row>
    <row r="37" spans="2:32" ht="15.6" x14ac:dyDescent="0.3">
      <c r="B37" s="51"/>
      <c r="C37" s="78" t="s">
        <v>136</v>
      </c>
      <c r="D37" s="79">
        <v>2082</v>
      </c>
      <c r="E37" s="79">
        <f>876+54</f>
        <v>930</v>
      </c>
      <c r="F37" s="79">
        <v>-1811</v>
      </c>
      <c r="G37" s="82">
        <v>123</v>
      </c>
      <c r="H37" s="79">
        <v>18.82</v>
      </c>
      <c r="I37" s="83">
        <f t="shared" si="25"/>
        <v>5.9077809798270896E-2</v>
      </c>
      <c r="J37" s="79">
        <v>66</v>
      </c>
      <c r="K37" s="79">
        <v>606</v>
      </c>
      <c r="L37" s="91">
        <v>1719</v>
      </c>
      <c r="M37" s="91">
        <v>939</v>
      </c>
      <c r="N37" s="84">
        <f t="shared" si="26"/>
        <v>91.339001062699253</v>
      </c>
      <c r="O37" s="84">
        <f t="shared" si="27"/>
        <v>49.893730074388948</v>
      </c>
      <c r="P37" s="85">
        <f t="shared" si="38"/>
        <v>13.05267857142857</v>
      </c>
      <c r="R37" s="4" t="s">
        <v>137</v>
      </c>
      <c r="S37" s="9">
        <v>117</v>
      </c>
      <c r="T37" s="9">
        <v>22</v>
      </c>
      <c r="U37" s="55">
        <f t="shared" si="39"/>
        <v>6.2633832976445397E-2</v>
      </c>
      <c r="V37" s="55">
        <f t="shared" si="40"/>
        <v>4.3181818181818183</v>
      </c>
      <c r="AC37" s="52"/>
    </row>
    <row r="38" spans="2:32" ht="15.6" x14ac:dyDescent="0.3">
      <c r="B38" s="51"/>
      <c r="C38" s="78" t="s">
        <v>138</v>
      </c>
      <c r="D38" s="79">
        <v>1724</v>
      </c>
      <c r="E38" s="79">
        <f>726+26</f>
        <v>752</v>
      </c>
      <c r="F38" s="79">
        <v>-1468</v>
      </c>
      <c r="G38" s="93">
        <v>126</v>
      </c>
      <c r="H38" s="79">
        <v>19.25</v>
      </c>
      <c r="I38" s="83">
        <f t="shared" si="25"/>
        <v>7.3085846867749424E-2</v>
      </c>
      <c r="J38" s="94">
        <v>66</v>
      </c>
      <c r="K38" s="94">
        <v>485</v>
      </c>
      <c r="L38" s="91">
        <v>1390</v>
      </c>
      <c r="M38" s="91">
        <v>928</v>
      </c>
      <c r="N38" s="84">
        <f t="shared" si="26"/>
        <v>72.20779220779221</v>
      </c>
      <c r="O38" s="84">
        <f t="shared" si="27"/>
        <v>48.20779220779221</v>
      </c>
      <c r="P38" s="85">
        <f t="shared" si="38"/>
        <v>13.882758620689655</v>
      </c>
      <c r="R38" s="4" t="s">
        <v>139</v>
      </c>
      <c r="S38" s="9">
        <v>11</v>
      </c>
      <c r="T38" s="9">
        <v>0.5</v>
      </c>
      <c r="U38" s="55">
        <f t="shared" si="39"/>
        <v>5.8886509635974306E-3</v>
      </c>
      <c r="V38" s="55">
        <f t="shared" si="40"/>
        <v>21</v>
      </c>
      <c r="X38" s="95" t="s">
        <v>26</v>
      </c>
      <c r="Y38" s="95">
        <f t="shared" ref="Y38:Z38" si="44">SUM(Y32:Y36)</f>
        <v>3057</v>
      </c>
      <c r="Z38" s="96">
        <f t="shared" si="44"/>
        <v>2703</v>
      </c>
      <c r="AA38" s="97">
        <f>Y38/$Y$38</f>
        <v>1</v>
      </c>
      <c r="AB38" s="66">
        <f>Y38-Z38</f>
        <v>354</v>
      </c>
      <c r="AD38" s="34"/>
    </row>
    <row r="39" spans="2:32" ht="15.6" x14ac:dyDescent="0.3">
      <c r="B39" s="51"/>
      <c r="C39" s="78" t="s">
        <v>140</v>
      </c>
      <c r="D39" s="79">
        <v>1408</v>
      </c>
      <c r="E39" s="79">
        <v>586</v>
      </c>
      <c r="F39" s="79">
        <v>-1163</v>
      </c>
      <c r="G39" s="98">
        <v>135</v>
      </c>
      <c r="H39" s="79">
        <v>20.73</v>
      </c>
      <c r="I39" s="83">
        <f t="shared" si="25"/>
        <v>9.5880681818181823E-2</v>
      </c>
      <c r="J39" s="99">
        <v>65</v>
      </c>
      <c r="K39" s="99">
        <v>364</v>
      </c>
      <c r="L39" s="84">
        <v>1397</v>
      </c>
      <c r="M39" s="91">
        <v>1020</v>
      </c>
      <c r="N39" s="84">
        <f t="shared" si="26"/>
        <v>67.390255668113838</v>
      </c>
      <c r="O39" s="84">
        <f t="shared" si="27"/>
        <v>49.204052098408106</v>
      </c>
      <c r="P39" s="85">
        <f t="shared" si="38"/>
        <v>18.310606060606062</v>
      </c>
      <c r="AB39" s="34"/>
      <c r="AC39" s="34"/>
      <c r="AD39" s="52"/>
    </row>
    <row r="40" spans="2:32" ht="15.6" x14ac:dyDescent="0.3">
      <c r="B40" s="51"/>
      <c r="C40" s="78" t="s">
        <v>141</v>
      </c>
      <c r="D40" s="79">
        <v>1018</v>
      </c>
      <c r="E40" s="79">
        <v>465</v>
      </c>
      <c r="F40" s="79">
        <v>-831</v>
      </c>
      <c r="G40" s="98">
        <v>106</v>
      </c>
      <c r="H40" s="79">
        <f>(G40*H39)/G39</f>
        <v>16.276888888888891</v>
      </c>
      <c r="I40" s="83">
        <f t="shared" si="25"/>
        <v>0.10412573673870335</v>
      </c>
      <c r="J40" s="99">
        <v>65</v>
      </c>
      <c r="K40" s="99">
        <v>231</v>
      </c>
      <c r="L40" s="84">
        <v>1189</v>
      </c>
      <c r="M40" s="91">
        <v>543</v>
      </c>
      <c r="N40" s="84">
        <f t="shared" si="26"/>
        <v>73.048357589492937</v>
      </c>
      <c r="O40" s="84">
        <f t="shared" si="27"/>
        <v>33.360183491248662</v>
      </c>
      <c r="P40" s="85">
        <f t="shared" si="38"/>
        <v>19.016891891891891</v>
      </c>
      <c r="R40" s="100" t="s">
        <v>26</v>
      </c>
      <c r="S40" s="100">
        <f t="shared" ref="S40:T40" si="45">SUM(S32:S38)</f>
        <v>1868</v>
      </c>
      <c r="T40" s="100">
        <f t="shared" si="45"/>
        <v>1247.5</v>
      </c>
      <c r="U40" s="101">
        <f>S40/$S$40</f>
        <v>1</v>
      </c>
      <c r="V40" s="101">
        <f>(S40/T40)^(1/1)-1</f>
        <v>0.49739478957915839</v>
      </c>
      <c r="AB40" s="52"/>
      <c r="AC40" s="52"/>
      <c r="AD40" s="52"/>
      <c r="AE40" s="52"/>
      <c r="AF40" s="52"/>
    </row>
    <row r="41" spans="2:32" ht="15.6" x14ac:dyDescent="0.3">
      <c r="B41" s="51"/>
      <c r="C41" s="78" t="s">
        <v>142</v>
      </c>
      <c r="D41" s="79">
        <v>678</v>
      </c>
      <c r="E41" s="79">
        <v>378</v>
      </c>
      <c r="F41" s="79">
        <v>-558</v>
      </c>
      <c r="G41" s="98">
        <v>72</v>
      </c>
      <c r="H41" s="79">
        <v>11.2</v>
      </c>
      <c r="I41" s="83">
        <f t="shared" si="25"/>
        <v>0.10619469026548672</v>
      </c>
      <c r="J41" s="99">
        <v>65</v>
      </c>
      <c r="K41" s="99">
        <v>200</v>
      </c>
      <c r="L41" s="91">
        <v>671</v>
      </c>
      <c r="M41" s="91">
        <v>252</v>
      </c>
      <c r="N41" s="84">
        <f t="shared" si="26"/>
        <v>59.910714285714292</v>
      </c>
      <c r="O41" s="84">
        <f t="shared" si="27"/>
        <v>22.5</v>
      </c>
      <c r="P41" s="85">
        <f t="shared" si="38"/>
        <v>11.319811320754718</v>
      </c>
      <c r="AC41" s="52"/>
      <c r="AD41" s="52"/>
      <c r="AE41" s="52"/>
      <c r="AF41" s="52"/>
    </row>
    <row r="42" spans="2:32" ht="15.6" x14ac:dyDescent="0.3">
      <c r="B42" s="90" t="s">
        <v>143</v>
      </c>
      <c r="C42" s="78" t="s">
        <v>144</v>
      </c>
      <c r="D42" s="79">
        <v>424</v>
      </c>
      <c r="E42" s="79">
        <v>306</v>
      </c>
      <c r="F42" s="79">
        <v>-382</v>
      </c>
      <c r="G42" s="98">
        <v>33</v>
      </c>
      <c r="H42" s="79">
        <v>5.54</v>
      </c>
      <c r="I42" s="83">
        <f t="shared" si="25"/>
        <v>7.783018867924528E-2</v>
      </c>
      <c r="J42" s="99">
        <v>64</v>
      </c>
      <c r="K42" s="99">
        <v>53</v>
      </c>
      <c r="L42" s="91">
        <v>362</v>
      </c>
      <c r="M42" s="91">
        <v>162</v>
      </c>
      <c r="N42" s="84">
        <f t="shared" si="26"/>
        <v>65.342960288808669</v>
      </c>
      <c r="O42" s="84">
        <f t="shared" si="27"/>
        <v>29.241877256317689</v>
      </c>
      <c r="P42" s="85">
        <f t="shared" si="38"/>
        <v>14.331623931623932</v>
      </c>
      <c r="AB42" s="52"/>
      <c r="AC42" s="52"/>
      <c r="AD42" s="52"/>
      <c r="AE42" s="52"/>
      <c r="AF42" s="52"/>
    </row>
    <row r="43" spans="2:32" ht="15.6" x14ac:dyDescent="0.3">
      <c r="B43" s="52"/>
      <c r="C43" s="78" t="s">
        <v>145</v>
      </c>
      <c r="D43" s="79">
        <v>281</v>
      </c>
      <c r="E43" s="79">
        <v>241</v>
      </c>
      <c r="F43" s="79">
        <v>-273</v>
      </c>
      <c r="G43" s="102">
        <v>7</v>
      </c>
      <c r="H43" s="91"/>
      <c r="I43" s="83">
        <f t="shared" si="25"/>
        <v>2.491103202846975E-2</v>
      </c>
      <c r="J43" s="99">
        <v>60</v>
      </c>
      <c r="K43" s="91"/>
      <c r="L43" s="91"/>
      <c r="M43" s="91"/>
      <c r="N43" s="91"/>
      <c r="O43" s="91"/>
      <c r="P43" s="103"/>
      <c r="AA43" s="52"/>
      <c r="AB43" s="52"/>
      <c r="AC43" s="52"/>
      <c r="AD43" s="52"/>
      <c r="AE43" s="52"/>
      <c r="AF43" s="52"/>
    </row>
    <row r="44" spans="2:32" ht="15.6" x14ac:dyDescent="0.3">
      <c r="B44" s="51"/>
      <c r="C44" s="78" t="s">
        <v>146</v>
      </c>
      <c r="D44" s="99">
        <v>211</v>
      </c>
      <c r="E44" s="99">
        <v>181</v>
      </c>
      <c r="F44" s="79">
        <v>-203</v>
      </c>
      <c r="G44" s="98">
        <v>8</v>
      </c>
      <c r="H44" s="99"/>
      <c r="I44" s="83">
        <f t="shared" si="25"/>
        <v>3.7914691943127965E-2</v>
      </c>
      <c r="J44" s="99">
        <v>60</v>
      </c>
      <c r="K44" s="99"/>
      <c r="L44" s="99"/>
      <c r="M44" s="91"/>
      <c r="N44" s="91"/>
      <c r="O44" s="91"/>
      <c r="P44" s="103"/>
      <c r="AA44" s="52"/>
      <c r="AB44" s="52"/>
      <c r="AC44" s="52"/>
    </row>
    <row r="45" spans="2:32" ht="15.6" x14ac:dyDescent="0.3">
      <c r="B45" s="51"/>
      <c r="C45" s="78" t="s">
        <v>147</v>
      </c>
      <c r="D45" s="99">
        <v>139</v>
      </c>
      <c r="E45" s="99">
        <v>130</v>
      </c>
      <c r="F45" s="79">
        <v>-133</v>
      </c>
      <c r="G45" s="82">
        <v>6</v>
      </c>
      <c r="H45" s="99"/>
      <c r="I45" s="83">
        <f t="shared" si="25"/>
        <v>4.3165467625899283E-2</v>
      </c>
      <c r="J45" s="99"/>
      <c r="K45" s="99"/>
      <c r="L45" s="99"/>
      <c r="M45" s="91"/>
      <c r="N45" s="91"/>
      <c r="O45" s="91"/>
      <c r="P45" s="103"/>
    </row>
    <row r="46" spans="2:32" ht="15.6" x14ac:dyDescent="0.3">
      <c r="B46" s="51"/>
      <c r="C46" s="78" t="s">
        <v>148</v>
      </c>
      <c r="D46" s="99">
        <v>97</v>
      </c>
      <c r="E46" s="99"/>
      <c r="F46" s="79">
        <v>-95</v>
      </c>
      <c r="G46" s="82">
        <v>2</v>
      </c>
      <c r="H46" s="104"/>
      <c r="I46" s="83">
        <f t="shared" si="25"/>
        <v>2.0618556701030927E-2</v>
      </c>
      <c r="J46" s="104"/>
      <c r="K46" s="104"/>
      <c r="L46" s="104"/>
      <c r="M46" s="91"/>
      <c r="N46" s="91"/>
      <c r="O46" s="91"/>
      <c r="P46" s="103"/>
    </row>
    <row r="47" spans="2:32" ht="15.6" x14ac:dyDescent="0.3">
      <c r="B47" s="51"/>
      <c r="C47" s="78" t="s">
        <v>149</v>
      </c>
      <c r="D47" s="99">
        <v>74</v>
      </c>
      <c r="E47" s="99"/>
      <c r="F47" s="79">
        <v>-74</v>
      </c>
      <c r="G47" s="82">
        <v>-0.6</v>
      </c>
      <c r="H47" s="99"/>
      <c r="I47" s="83">
        <f t="shared" si="25"/>
        <v>-8.1081081081081086E-3</v>
      </c>
      <c r="J47" s="99"/>
      <c r="K47" s="99"/>
      <c r="L47" s="99"/>
      <c r="M47" s="91"/>
      <c r="N47" s="91"/>
      <c r="O47" s="91"/>
      <c r="P47" s="103"/>
    </row>
    <row r="48" spans="2:32" ht="15.6" x14ac:dyDescent="0.3">
      <c r="B48" s="51"/>
      <c r="C48" s="105" t="s">
        <v>150</v>
      </c>
      <c r="D48" s="99"/>
      <c r="E48" s="99">
        <v>1</v>
      </c>
      <c r="F48" s="104"/>
      <c r="G48" s="106"/>
      <c r="H48" s="104"/>
      <c r="I48" s="104"/>
      <c r="J48" s="104"/>
      <c r="K48" s="104"/>
      <c r="L48" s="104"/>
      <c r="M48" s="91"/>
      <c r="N48" s="91"/>
      <c r="O48" s="91"/>
      <c r="P48" s="103"/>
    </row>
    <row r="80" spans="2:2" ht="14.4" x14ac:dyDescent="0.3">
      <c r="B80" s="107"/>
    </row>
    <row r="82" spans="2:4" ht="14.4" x14ac:dyDescent="0.3">
      <c r="B82" s="107"/>
    </row>
    <row r="84" spans="2:4" ht="14.4" x14ac:dyDescent="0.3">
      <c r="B84" s="107"/>
      <c r="D84" s="107"/>
    </row>
    <row r="101" spans="4:4" ht="14.4" x14ac:dyDescent="0.3">
      <c r="D101" s="57"/>
    </row>
    <row r="102" spans="4:4" ht="14.4" x14ac:dyDescent="0.3">
      <c r="D102" s="57"/>
    </row>
    <row r="103" spans="4:4" ht="14.4" x14ac:dyDescent="0.3">
      <c r="D103" s="57"/>
    </row>
    <row r="104" spans="4:4" ht="14.4" x14ac:dyDescent="0.3">
      <c r="D104" s="57"/>
    </row>
    <row r="105" spans="4:4" ht="14.4" x14ac:dyDescent="0.3">
      <c r="D105" s="57"/>
    </row>
    <row r="106" spans="4:4" ht="14.4" x14ac:dyDescent="0.3">
      <c r="D106" s="57"/>
    </row>
    <row r="107" spans="4:4" ht="14.4" x14ac:dyDescent="0.3">
      <c r="D107" s="57"/>
    </row>
    <row r="108" spans="4:4" ht="14.4" x14ac:dyDescent="0.3">
      <c r="D108" s="57"/>
    </row>
    <row r="109" spans="4:4" ht="14.4" x14ac:dyDescent="0.3">
      <c r="D109" s="57"/>
    </row>
    <row r="110" spans="4:4" ht="14.4" x14ac:dyDescent="0.3">
      <c r="D110" s="57"/>
    </row>
    <row r="111" spans="4:4" ht="14.4" x14ac:dyDescent="0.3">
      <c r="D111" s="57"/>
    </row>
    <row r="112" spans="4:4" ht="14.4" x14ac:dyDescent="0.3">
      <c r="D112" s="57"/>
    </row>
  </sheetData>
  <mergeCells count="1">
    <mergeCell ref="S12:S14"/>
  </mergeCells>
  <conditionalFormatting sqref="D27:D47">
    <cfRule type="colorScale" priority="4">
      <colorScale>
        <cfvo type="min"/>
        <cfvo type="max"/>
        <color rgb="FFFFFFFF"/>
        <color rgb="FF57BB8A"/>
      </colorScale>
    </cfRule>
  </conditionalFormatting>
  <conditionalFormatting sqref="D17:E18">
    <cfRule type="colorScale" priority="3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1:F24 G22:H24 L22:L24 J23:K24 M23">
    <cfRule type="colorScale" priority="14">
      <colorScale>
        <cfvo type="min"/>
        <cfvo type="max"/>
        <color rgb="FFFFFFFF"/>
        <color rgb="FF57BB8A"/>
      </colorScale>
    </cfRule>
  </conditionalFormatting>
  <conditionalFormatting sqref="E21:E24 F22:H22 L22">
    <cfRule type="colorScale" priority="15">
      <colorScale>
        <cfvo type="min"/>
        <cfvo type="max"/>
        <color rgb="FFFFFFFF"/>
        <color rgb="FF57BB8A"/>
      </colorScale>
    </cfRule>
  </conditionalFormatting>
  <conditionalFormatting sqref="E27:E48">
    <cfRule type="colorScale" priority="5">
      <colorScale>
        <cfvo type="min"/>
        <cfvo type="max"/>
        <color rgb="FFFFFFFF"/>
        <color rgb="FF57BB8A"/>
      </colorScale>
    </cfRule>
  </conditionalFormatting>
  <conditionalFormatting sqref="F17:F18">
    <cfRule type="colorScale" priority="3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1:F24">
    <cfRule type="colorScale" priority="16">
      <colorScale>
        <cfvo type="min"/>
        <cfvo type="max"/>
        <color rgb="FFFFFFFF"/>
        <color rgb="FFE67C73"/>
      </colorScale>
    </cfRule>
  </conditionalFormatting>
  <conditionalFormatting sqref="F27:F47">
    <cfRule type="colorScale" priority="6">
      <colorScale>
        <cfvo type="min"/>
        <cfvo type="max"/>
        <color rgb="FFE67C73"/>
        <color rgb="FFFFFFFF"/>
      </colorScale>
    </cfRule>
  </conditionalFormatting>
  <conditionalFormatting sqref="G27:G47">
    <cfRule type="colorScale" priority="7">
      <colorScale>
        <cfvo type="min"/>
        <cfvo type="max"/>
        <color rgb="FFFFFFFF"/>
        <color rgb="FF57BB8A"/>
      </colorScale>
    </cfRule>
  </conditionalFormatting>
  <conditionalFormatting sqref="G21:H24 L22:L24 M23 J24:K24">
    <cfRule type="colorScale" priority="17">
      <colorScale>
        <cfvo type="min"/>
        <cfvo type="max"/>
        <color rgb="FFFFFFFF"/>
        <color rgb="FF57BB8A"/>
      </colorScale>
    </cfRule>
  </conditionalFormatting>
  <conditionalFormatting sqref="I17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1:I24">
    <cfRule type="colorScale" priority="18">
      <colorScale>
        <cfvo type="min"/>
        <cfvo type="max"/>
        <color rgb="FFFFFFFF"/>
        <color rgb="FF57BB8A"/>
      </colorScale>
    </cfRule>
  </conditionalFormatting>
  <conditionalFormatting sqref="I27:I47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2:N12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7:J44">
    <cfRule type="colorScale" priority="9">
      <colorScale>
        <cfvo type="min"/>
        <cfvo type="max"/>
        <color rgb="FFFFFFFF"/>
        <color rgb="FF57BB8A"/>
      </colorScale>
    </cfRule>
  </conditionalFormatting>
  <conditionalFormatting sqref="J16:M16">
    <cfRule type="colorScale" priority="3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7:M17">
    <cfRule type="colorScale" priority="3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8:M18">
    <cfRule type="colorScale" priority="3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1:K23">
    <cfRule type="colorScale" priority="19">
      <colorScale>
        <cfvo type="min"/>
        <cfvo type="max"/>
        <color rgb="FFFFFFFF"/>
        <color rgb="FF57BB8A"/>
      </colorScale>
    </cfRule>
  </conditionalFormatting>
  <conditionalFormatting sqref="K27:K44">
    <cfRule type="colorScale" priority="10">
      <colorScale>
        <cfvo type="min"/>
        <cfvo type="max"/>
        <color rgb="FFFFFFFF"/>
        <color rgb="FF57BB8A"/>
      </colorScale>
    </cfRule>
  </conditionalFormatting>
  <conditionalFormatting sqref="L21:L23 M21:M22">
    <cfRule type="colorScale" priority="20">
      <colorScale>
        <cfvo type="min"/>
        <cfvo type="max"/>
        <color rgb="FFFFFFFF"/>
        <color rgb="FF57BB8A"/>
      </colorScale>
    </cfRule>
  </conditionalFormatting>
  <conditionalFormatting sqref="L27:L42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21:M23">
    <cfRule type="colorScale" priority="21">
      <colorScale>
        <cfvo type="min"/>
        <cfvo type="max"/>
        <color rgb="FFFFFFFF"/>
        <color rgb="FF57BB8A"/>
      </colorScale>
    </cfRule>
  </conditionalFormatting>
  <conditionalFormatting sqref="M27:M42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27:O42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21:P23">
    <cfRule type="colorScale" priority="2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O14:R14">
    <cfRule type="colorScale" priority="3">
      <colorScale>
        <cfvo type="min"/>
        <cfvo type="max"/>
        <color rgb="FFFFFFFF"/>
        <color rgb="FFE67C73"/>
      </colorScale>
    </cfRule>
  </conditionalFormatting>
  <conditionalFormatting sqref="O12:T12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26:P42">
    <cfRule type="colorScale" priority="2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U21:U28 Z21:Z28 AE21:AE28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31:U38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31:V38">
    <cfRule type="colorScale" priority="3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Z21:Z28 U27:U28 AE27:AE28">
    <cfRule type="colorScale" priority="2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B31:AB36 AB38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F32:AF35">
    <cfRule type="colorScale" priority="3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H21:AH24 AA31:AA36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CEE23-3240-4ABE-AE8C-5841C50C0FD8}">
  <sheetPr>
    <outlinePr summaryBelow="0" summaryRight="0"/>
  </sheetPr>
  <dimension ref="A1:AL1000"/>
  <sheetViews>
    <sheetView workbookViewId="0"/>
  </sheetViews>
  <sheetFormatPr defaultColWidth="14" defaultRowHeight="15" customHeight="1" x14ac:dyDescent="0.3"/>
  <cols>
    <col min="1" max="6" width="14" customWidth="1"/>
    <col min="20" max="23" width="16.33203125" customWidth="1"/>
    <col min="26" max="26" width="16.21875" customWidth="1"/>
  </cols>
  <sheetData>
    <row r="1" spans="1:38" ht="15.75" customHeight="1" x14ac:dyDescent="0.3">
      <c r="A1" s="108" t="s">
        <v>151</v>
      </c>
      <c r="B1" s="108" t="s">
        <v>152</v>
      </c>
      <c r="C1" s="108" t="s">
        <v>153</v>
      </c>
      <c r="D1" s="108" t="s">
        <v>154</v>
      </c>
      <c r="E1" s="108" t="s">
        <v>155</v>
      </c>
      <c r="F1" s="108" t="s">
        <v>156</v>
      </c>
      <c r="G1" s="108" t="s">
        <v>157</v>
      </c>
      <c r="H1" s="108" t="s">
        <v>158</v>
      </c>
      <c r="I1" s="108" t="s">
        <v>159</v>
      </c>
      <c r="J1" s="108" t="s">
        <v>160</v>
      </c>
      <c r="K1" s="108" t="s">
        <v>161</v>
      </c>
      <c r="L1" s="108" t="s">
        <v>162</v>
      </c>
      <c r="M1" s="108" t="s">
        <v>12</v>
      </c>
      <c r="N1" s="108" t="s">
        <v>163</v>
      </c>
      <c r="O1" s="108" t="s">
        <v>164</v>
      </c>
      <c r="P1" s="108" t="s">
        <v>165</v>
      </c>
      <c r="Q1" s="108" t="s">
        <v>166</v>
      </c>
      <c r="R1" s="108" t="s">
        <v>167</v>
      </c>
      <c r="S1" s="108" t="s">
        <v>168</v>
      </c>
      <c r="T1" s="108" t="s">
        <v>169</v>
      </c>
      <c r="U1" s="108" t="s">
        <v>133</v>
      </c>
      <c r="V1" s="108" t="s">
        <v>170</v>
      </c>
      <c r="W1" s="109" t="s">
        <v>171</v>
      </c>
      <c r="X1" s="109" t="s">
        <v>172</v>
      </c>
      <c r="Y1" s="109" t="s">
        <v>173</v>
      </c>
      <c r="Z1" s="109" t="s">
        <v>80</v>
      </c>
      <c r="AA1" s="109" t="s">
        <v>41</v>
      </c>
      <c r="AB1" s="109" t="s">
        <v>174</v>
      </c>
      <c r="AC1" s="109" t="s">
        <v>175</v>
      </c>
      <c r="AD1" s="109" t="s">
        <v>39</v>
      </c>
      <c r="AE1" s="109" t="s">
        <v>40</v>
      </c>
      <c r="AF1" s="109" t="s">
        <v>42</v>
      </c>
      <c r="AG1" s="109" t="s">
        <v>43</v>
      </c>
      <c r="AH1" s="109" t="s">
        <v>44</v>
      </c>
      <c r="AI1" s="109" t="s">
        <v>45</v>
      </c>
      <c r="AJ1" s="109" t="s">
        <v>46</v>
      </c>
      <c r="AK1" s="109" t="s">
        <v>47</v>
      </c>
      <c r="AL1" s="109" t="s">
        <v>48</v>
      </c>
    </row>
    <row r="2" spans="1:38" ht="15.75" customHeight="1" x14ac:dyDescent="0.3">
      <c r="A2" s="110">
        <v>533155</v>
      </c>
      <c r="B2" s="111" t="s">
        <v>27</v>
      </c>
      <c r="C2" s="112">
        <f ca="1">IFERROR(__xludf.DUMMYFUNCTION("GOOGLEFINANCE(""bom:""&amp;A2,""price"")"),686.95)</f>
        <v>686.95</v>
      </c>
      <c r="D2" s="112">
        <f ca="1">IFERROR(__xludf.DUMMYFUNCTION("GOOGLEFINANCE(""bom:""&amp;A2,""marketcap"")/10000000"),45173.5779203)</f>
        <v>45173.577920299998</v>
      </c>
      <c r="E2" s="113">
        <v>551</v>
      </c>
      <c r="F2" s="113">
        <v>1085</v>
      </c>
      <c r="G2" s="113">
        <v>5534</v>
      </c>
      <c r="H2" s="113">
        <v>3446</v>
      </c>
      <c r="I2" s="113">
        <v>131</v>
      </c>
      <c r="J2" s="113">
        <v>2087</v>
      </c>
      <c r="K2" s="113">
        <v>185</v>
      </c>
      <c r="L2" s="113">
        <v>35</v>
      </c>
      <c r="M2" s="113">
        <v>2</v>
      </c>
      <c r="N2" s="113">
        <v>4</v>
      </c>
      <c r="O2" s="114">
        <v>0.38</v>
      </c>
      <c r="P2" s="115">
        <v>3018</v>
      </c>
      <c r="Q2" s="116">
        <v>5158</v>
      </c>
      <c r="R2" s="116">
        <v>353</v>
      </c>
      <c r="S2" s="116">
        <v>5654</v>
      </c>
      <c r="T2" s="116">
        <v>400</v>
      </c>
      <c r="U2" s="113">
        <v>201</v>
      </c>
      <c r="V2" s="113">
        <v>4693</v>
      </c>
      <c r="W2" s="117">
        <f t="shared" ref="W2:X9" si="0">(S2/Q2)-1</f>
        <v>9.6161302830554574E-2</v>
      </c>
      <c r="X2" s="117">
        <f t="shared" si="0"/>
        <v>0.13314447592067991</v>
      </c>
      <c r="Y2" s="118">
        <f t="shared" ref="Y2:Y9" si="1">(S2/P2)^(1/6)-1</f>
        <v>0.11029766919725947</v>
      </c>
      <c r="Z2" s="118">
        <f t="shared" ref="Z2:Z9" si="2">T2/S2</f>
        <v>7.0746374248319768E-2</v>
      </c>
      <c r="AA2" s="112">
        <v>3</v>
      </c>
      <c r="AB2" s="119">
        <v>0.51</v>
      </c>
      <c r="AC2" s="119">
        <v>2.48</v>
      </c>
      <c r="AD2" s="119">
        <v>0.09</v>
      </c>
      <c r="AE2" s="119">
        <v>0.62</v>
      </c>
      <c r="AF2" s="118">
        <v>0.1691</v>
      </c>
      <c r="AG2" s="120">
        <v>2.69</v>
      </c>
      <c r="AH2" s="118">
        <v>6.3799999999999996E-2</v>
      </c>
      <c r="AI2" s="112">
        <v>111</v>
      </c>
      <c r="AJ2" s="118">
        <v>8.9999999999999993E-3</v>
      </c>
      <c r="AK2" s="112">
        <v>32</v>
      </c>
      <c r="AL2" s="112">
        <v>15</v>
      </c>
    </row>
    <row r="3" spans="1:38" ht="15.75" customHeight="1" x14ac:dyDescent="0.3">
      <c r="A3" s="110">
        <v>543330</v>
      </c>
      <c r="B3" s="111" t="s">
        <v>176</v>
      </c>
      <c r="C3" s="112">
        <f ca="1">IFERROR(__xludf.DUMMYFUNCTION("GOOGLEFINANCE(""bom:""&amp;A3,""price"")"),192.3)</f>
        <v>192.3</v>
      </c>
      <c r="D3" s="112">
        <f ca="1">IFERROR(__xludf.DUMMYFUNCTION("GOOGLEFINANCE(""bom:""&amp;A3,""marketcap"")/10000000"),23227.4149135)</f>
        <v>23227.414913500001</v>
      </c>
      <c r="E3" s="113">
        <v>290</v>
      </c>
      <c r="F3" s="113">
        <v>588</v>
      </c>
      <c r="G3" s="113">
        <v>3130</v>
      </c>
      <c r="H3" s="113">
        <v>2107</v>
      </c>
      <c r="I3" s="113">
        <v>121</v>
      </c>
      <c r="J3" s="113">
        <v>1023</v>
      </c>
      <c r="K3" s="113">
        <v>80</v>
      </c>
      <c r="L3" s="113">
        <v>38</v>
      </c>
      <c r="M3" s="113">
        <v>1</v>
      </c>
      <c r="N3" s="113">
        <v>2</v>
      </c>
      <c r="O3" s="114">
        <v>0.23</v>
      </c>
      <c r="P3" s="115">
        <v>1310</v>
      </c>
      <c r="Q3" s="116">
        <v>2997</v>
      </c>
      <c r="R3" s="116">
        <v>262</v>
      </c>
      <c r="S3" s="116">
        <v>3356</v>
      </c>
      <c r="T3" s="116">
        <v>-10</v>
      </c>
      <c r="U3" s="113">
        <v>148</v>
      </c>
      <c r="V3" s="113">
        <v>2768</v>
      </c>
      <c r="W3" s="117">
        <f t="shared" si="0"/>
        <v>0.11978645311978653</v>
      </c>
      <c r="X3" s="117">
        <f t="shared" si="0"/>
        <v>-1.0381679389312977</v>
      </c>
      <c r="Y3" s="118">
        <f t="shared" si="1"/>
        <v>0.16974655836793251</v>
      </c>
      <c r="Z3" s="118">
        <f t="shared" si="2"/>
        <v>-2.9797377830750892E-3</v>
      </c>
      <c r="AA3" s="112">
        <v>3</v>
      </c>
      <c r="AB3" s="119">
        <v>0.49</v>
      </c>
      <c r="AC3" s="119">
        <v>4.63</v>
      </c>
      <c r="AD3" s="119">
        <v>0.08</v>
      </c>
      <c r="AE3" s="119">
        <v>0.67</v>
      </c>
      <c r="AF3" s="118">
        <v>0.25609999999999999</v>
      </c>
      <c r="AG3" s="120">
        <v>2.17</v>
      </c>
      <c r="AH3" s="118">
        <v>8.3699999999999997E-2</v>
      </c>
      <c r="AI3" s="112">
        <v>96</v>
      </c>
      <c r="AJ3" s="118">
        <v>1.0500000000000001E-2</v>
      </c>
      <c r="AK3" s="112">
        <v>8</v>
      </c>
      <c r="AL3" s="112">
        <v>18</v>
      </c>
    </row>
    <row r="4" spans="1:38" ht="15.75" customHeight="1" x14ac:dyDescent="0.3">
      <c r="A4" s="121">
        <v>505533</v>
      </c>
      <c r="B4" s="111" t="s">
        <v>177</v>
      </c>
      <c r="C4" s="112">
        <f ca="1">IFERROR(__xludf.DUMMYFUNCTION("GOOGLEFINANCE(""bom:""&amp;A4,""price"")"),849)</f>
        <v>849</v>
      </c>
      <c r="D4" s="112">
        <f ca="1">IFERROR(__xludf.DUMMYFUNCTION("GOOGLEFINANCE(""bom:""&amp;A4,""marketcap"")/10000000"),13237.677045)</f>
        <v>13237.677045</v>
      </c>
      <c r="E4" s="113">
        <v>230</v>
      </c>
      <c r="F4" s="113">
        <v>1570</v>
      </c>
      <c r="G4" s="113">
        <v>2180</v>
      </c>
      <c r="H4" s="113">
        <v>1617</v>
      </c>
      <c r="I4" s="113">
        <v>31</v>
      </c>
      <c r="J4" s="113">
        <v>532</v>
      </c>
      <c r="K4" s="113">
        <v>231</v>
      </c>
      <c r="L4" s="113">
        <v>16</v>
      </c>
      <c r="M4" s="113">
        <v>2</v>
      </c>
      <c r="N4" s="113">
        <v>4</v>
      </c>
      <c r="O4" s="114">
        <v>0.15</v>
      </c>
      <c r="P4" s="115">
        <v>1135</v>
      </c>
      <c r="Q4" s="116">
        <v>2278</v>
      </c>
      <c r="R4" s="116">
        <v>112</v>
      </c>
      <c r="S4" s="116">
        <v>2392</v>
      </c>
      <c r="T4" s="116">
        <v>69</v>
      </c>
      <c r="U4" s="113">
        <v>93</v>
      </c>
      <c r="V4" s="113">
        <v>2149</v>
      </c>
      <c r="W4" s="117">
        <f t="shared" si="0"/>
        <v>5.0043898156277411E-2</v>
      </c>
      <c r="X4" s="117">
        <f t="shared" si="0"/>
        <v>-0.3839285714285714</v>
      </c>
      <c r="Y4" s="118">
        <f t="shared" si="1"/>
        <v>0.13229837913784293</v>
      </c>
      <c r="Z4" s="118">
        <f t="shared" si="2"/>
        <v>2.8846153846153848E-2</v>
      </c>
      <c r="AA4" s="112">
        <v>2</v>
      </c>
      <c r="AB4" s="119">
        <v>0.15</v>
      </c>
      <c r="AC4" s="119">
        <v>2.56</v>
      </c>
      <c r="AD4" s="119">
        <v>0.43</v>
      </c>
      <c r="AE4" s="119">
        <v>0.74</v>
      </c>
      <c r="AF4" s="118">
        <v>0.21049999999999999</v>
      </c>
      <c r="AG4" s="120">
        <v>3.61</v>
      </c>
      <c r="AH4" s="118">
        <v>5.1400000000000001E-2</v>
      </c>
      <c r="AI4" s="112">
        <v>213</v>
      </c>
      <c r="AJ4" s="118">
        <v>4.7000000000000002E-3</v>
      </c>
      <c r="AK4" s="112">
        <v>34</v>
      </c>
      <c r="AL4" s="112">
        <v>24</v>
      </c>
    </row>
    <row r="5" spans="1:38" ht="15.75" customHeight="1" x14ac:dyDescent="0.3">
      <c r="A5" s="110">
        <v>543397</v>
      </c>
      <c r="B5" s="111" t="s">
        <v>178</v>
      </c>
      <c r="C5" s="112">
        <f ca="1">IFERROR(__xludf.DUMMYFUNCTION("GOOGLEFINANCE(""bom:""&amp;A5,""price"")"),336.9)</f>
        <v>336.9</v>
      </c>
      <c r="D5" s="112">
        <f ca="1">IFERROR(__xludf.DUMMYFUNCTION("GOOGLEFINANCE(""bom:""&amp;A5,""marketcap"")/10000000"),10755.7076335)</f>
        <v>10755.7076335</v>
      </c>
      <c r="E5" s="113">
        <v>449</v>
      </c>
      <c r="F5" s="113">
        <v>568</v>
      </c>
      <c r="G5" s="113">
        <v>2756</v>
      </c>
      <c r="H5" s="113">
        <v>1443</v>
      </c>
      <c r="I5" s="113">
        <v>64</v>
      </c>
      <c r="J5" s="113">
        <v>1313</v>
      </c>
      <c r="K5" s="113">
        <v>33</v>
      </c>
      <c r="L5" s="113">
        <v>29</v>
      </c>
      <c r="M5" s="113">
        <v>10</v>
      </c>
      <c r="N5" s="113">
        <v>33</v>
      </c>
      <c r="O5" s="114">
        <v>0.11</v>
      </c>
      <c r="P5" s="115">
        <v>1194</v>
      </c>
      <c r="Q5" s="116">
        <v>2265</v>
      </c>
      <c r="R5" s="116">
        <v>233</v>
      </c>
      <c r="S5" s="116">
        <v>2594</v>
      </c>
      <c r="T5" s="116">
        <v>52</v>
      </c>
      <c r="U5" s="113">
        <v>87</v>
      </c>
      <c r="V5" s="113">
        <v>2188</v>
      </c>
      <c r="W5" s="117">
        <f t="shared" si="0"/>
        <v>0.14525386313465782</v>
      </c>
      <c r="X5" s="117">
        <f t="shared" si="0"/>
        <v>-0.77682403433476388</v>
      </c>
      <c r="Y5" s="118">
        <f t="shared" si="1"/>
        <v>0.1380489458064702</v>
      </c>
      <c r="Z5" s="118">
        <f t="shared" si="2"/>
        <v>2.0046260601387818E-2</v>
      </c>
      <c r="AA5" s="112">
        <v>2</v>
      </c>
      <c r="AB5" s="119">
        <v>0.79</v>
      </c>
      <c r="AC5" s="119">
        <v>4.67</v>
      </c>
      <c r="AD5" s="119">
        <v>0.03</v>
      </c>
      <c r="AE5" s="119">
        <v>0.52</v>
      </c>
      <c r="AF5" s="118">
        <v>0.17749999999999999</v>
      </c>
      <c r="AG5" s="120">
        <v>3.64</v>
      </c>
      <c r="AH5" s="118">
        <v>8.4500000000000006E-2</v>
      </c>
      <c r="AI5" s="112">
        <v>42</v>
      </c>
      <c r="AJ5" s="118">
        <v>2.3699999999999999E-2</v>
      </c>
      <c r="AK5" s="112">
        <v>205</v>
      </c>
      <c r="AL5" s="112">
        <v>7</v>
      </c>
    </row>
    <row r="6" spans="1:38" ht="15.75" customHeight="1" x14ac:dyDescent="0.3">
      <c r="A6" s="110">
        <v>543248</v>
      </c>
      <c r="B6" s="111" t="s">
        <v>179</v>
      </c>
      <c r="C6" s="112">
        <f ca="1">IFERROR(__xludf.DUMMYFUNCTION("GOOGLEFINANCE(""bom:""&amp;A6,""price"")"),106.6)</f>
        <v>106.6</v>
      </c>
      <c r="D6" s="112">
        <f ca="1">IFERROR(__xludf.DUMMYFUNCTION("GOOGLEFINANCE(""bom:""&amp;A6,""marketcap"")/10000000"),5317.7898957)</f>
        <v>5317.7898956999998</v>
      </c>
      <c r="E6" s="113">
        <v>274</v>
      </c>
      <c r="F6" s="113">
        <v>613</v>
      </c>
      <c r="G6" s="113">
        <v>2450</v>
      </c>
      <c r="H6" s="113">
        <v>1703</v>
      </c>
      <c r="I6" s="113">
        <v>494</v>
      </c>
      <c r="J6" s="113">
        <v>746</v>
      </c>
      <c r="K6" s="113">
        <v>130</v>
      </c>
      <c r="L6" s="113">
        <v>23</v>
      </c>
      <c r="M6" s="113">
        <v>10</v>
      </c>
      <c r="N6" s="113">
        <v>-1</v>
      </c>
      <c r="O6" s="114">
        <v>7.0000000000000007E-2</v>
      </c>
      <c r="P6" s="115">
        <v>378</v>
      </c>
      <c r="Q6" s="116">
        <v>2054</v>
      </c>
      <c r="R6" s="116">
        <v>-242</v>
      </c>
      <c r="S6" s="116">
        <v>1760</v>
      </c>
      <c r="T6" s="116">
        <v>-69</v>
      </c>
      <c r="U6" s="113">
        <v>105</v>
      </c>
      <c r="V6" s="113">
        <v>2332</v>
      </c>
      <c r="W6" s="117">
        <f t="shared" si="0"/>
        <v>-0.14313534566699126</v>
      </c>
      <c r="X6" s="117">
        <f t="shared" si="0"/>
        <v>-0.71487603305785119</v>
      </c>
      <c r="Y6" s="118">
        <f t="shared" si="1"/>
        <v>0.29222105001491405</v>
      </c>
      <c r="Z6" s="118">
        <f t="shared" si="2"/>
        <v>-3.9204545454545457E-2</v>
      </c>
      <c r="AA6" s="112">
        <v>-2</v>
      </c>
      <c r="AB6" s="119">
        <v>0.45</v>
      </c>
      <c r="AC6" s="119">
        <v>4.09</v>
      </c>
      <c r="AD6" s="119">
        <v>0.17</v>
      </c>
      <c r="AE6" s="119">
        <v>0.7</v>
      </c>
      <c r="AF6" s="118">
        <v>-0.32440000000000002</v>
      </c>
      <c r="AG6" s="120">
        <v>-0.49</v>
      </c>
      <c r="AH6" s="118">
        <v>-9.8799999999999999E-2</v>
      </c>
      <c r="AI6" s="112">
        <v>-85</v>
      </c>
      <c r="AJ6" s="118">
        <v>-1.17E-2</v>
      </c>
      <c r="AK6" s="112">
        <v>15</v>
      </c>
      <c r="AL6" s="112">
        <v>8</v>
      </c>
    </row>
    <row r="7" spans="1:38" ht="15.75" customHeight="1" x14ac:dyDescent="0.3">
      <c r="A7" s="110">
        <v>543283</v>
      </c>
      <c r="B7" s="111" t="s">
        <v>180</v>
      </c>
      <c r="C7" s="112">
        <f ca="1">IFERROR(__xludf.DUMMYFUNCTION("GOOGLEFINANCE(""bom:""&amp;A7,""price"")"),631.35)</f>
        <v>631.35</v>
      </c>
      <c r="D7" s="112">
        <f ca="1">IFERROR(__xludf.DUMMYFUNCTION("GOOGLEFINANCE(""bom:""&amp;A7,""marketcap"")/10000000"),2473.317102)</f>
        <v>2473.317102</v>
      </c>
      <c r="E7" s="113">
        <v>115</v>
      </c>
      <c r="F7" s="113">
        <v>238</v>
      </c>
      <c r="G7" s="113">
        <v>1273</v>
      </c>
      <c r="H7" s="113">
        <v>884</v>
      </c>
      <c r="I7" s="113">
        <v>20</v>
      </c>
      <c r="J7" s="113">
        <v>390</v>
      </c>
      <c r="K7" s="113">
        <v>42</v>
      </c>
      <c r="L7" s="113">
        <v>2</v>
      </c>
      <c r="M7" s="113">
        <v>5</v>
      </c>
      <c r="N7" s="113">
        <v>-8</v>
      </c>
      <c r="O7" s="114">
        <v>0.03</v>
      </c>
      <c r="P7" s="115">
        <v>586</v>
      </c>
      <c r="Q7" s="116">
        <v>1233</v>
      </c>
      <c r="R7" s="116">
        <v>19</v>
      </c>
      <c r="S7" s="116">
        <v>1255</v>
      </c>
      <c r="T7" s="116">
        <v>-11.2</v>
      </c>
      <c r="U7" s="113">
        <v>72</v>
      </c>
      <c r="V7" s="113">
        <v>1220</v>
      </c>
      <c r="W7" s="117">
        <f t="shared" si="0"/>
        <v>1.7842660178426506E-2</v>
      </c>
      <c r="X7" s="117">
        <f t="shared" si="0"/>
        <v>-1.5894736842105264</v>
      </c>
      <c r="Y7" s="118">
        <f t="shared" si="1"/>
        <v>0.13533585009661175</v>
      </c>
      <c r="Z7" s="118">
        <f t="shared" si="2"/>
        <v>-8.9243027888446201E-3</v>
      </c>
      <c r="AA7" s="112">
        <v>1</v>
      </c>
      <c r="AB7" s="119">
        <v>0.48</v>
      </c>
      <c r="AC7" s="119">
        <v>0.59</v>
      </c>
      <c r="AD7" s="119">
        <v>0.11</v>
      </c>
      <c r="AE7" s="119">
        <v>0.69</v>
      </c>
      <c r="AF7" s="118">
        <v>4.87E-2</v>
      </c>
      <c r="AG7" s="120">
        <v>0.95</v>
      </c>
      <c r="AH7" s="118">
        <v>1.49E-2</v>
      </c>
      <c r="AI7" s="112">
        <v>-79</v>
      </c>
      <c r="AJ7" s="118">
        <v>-1.26E-2</v>
      </c>
      <c r="AK7" s="112">
        <v>98</v>
      </c>
      <c r="AL7" s="112">
        <v>7</v>
      </c>
    </row>
    <row r="8" spans="1:38" ht="15.75" customHeight="1" x14ac:dyDescent="0.3">
      <c r="A8" s="110">
        <v>534425</v>
      </c>
      <c r="B8" s="111" t="s">
        <v>181</v>
      </c>
      <c r="C8" s="112">
        <f ca="1">IFERROR(__xludf.DUMMYFUNCTION("GOOGLEFINANCE(""bom:""&amp;A8,""price"")"),168.3)</f>
        <v>168.3</v>
      </c>
      <c r="D8" s="112">
        <f ca="1">IFERROR(__xludf.DUMMYFUNCTION("GOOGLEFINANCE(""bom:""&amp;A8,""marketcap"")/10000000"),813.1565965)</f>
        <v>813.15659649999998</v>
      </c>
      <c r="E8" s="113">
        <v>226</v>
      </c>
      <c r="F8" s="113">
        <v>97</v>
      </c>
      <c r="G8" s="113">
        <v>516</v>
      </c>
      <c r="H8" s="113">
        <v>197</v>
      </c>
      <c r="I8" s="113">
        <v>47</v>
      </c>
      <c r="J8" s="113">
        <v>283</v>
      </c>
      <c r="K8" s="113">
        <v>0</v>
      </c>
      <c r="L8" s="113">
        <v>9</v>
      </c>
      <c r="M8" s="113">
        <v>10</v>
      </c>
      <c r="N8" s="113">
        <v>17</v>
      </c>
      <c r="O8" s="114">
        <v>0.01</v>
      </c>
      <c r="P8" s="115">
        <v>297</v>
      </c>
      <c r="Q8" s="116">
        <v>375</v>
      </c>
      <c r="R8" s="116">
        <v>97</v>
      </c>
      <c r="S8" s="116">
        <v>405</v>
      </c>
      <c r="T8" s="116">
        <v>30</v>
      </c>
      <c r="U8" s="113">
        <v>14</v>
      </c>
      <c r="V8" s="113">
        <v>344</v>
      </c>
      <c r="W8" s="117">
        <f t="shared" si="0"/>
        <v>8.0000000000000071E-2</v>
      </c>
      <c r="X8" s="117">
        <f t="shared" si="0"/>
        <v>-0.69072164948453607</v>
      </c>
      <c r="Y8" s="118">
        <f t="shared" si="1"/>
        <v>5.3051866685771554E-2</v>
      </c>
      <c r="Z8" s="118">
        <f t="shared" si="2"/>
        <v>7.407407407407407E-2</v>
      </c>
      <c r="AA8" s="112">
        <v>3</v>
      </c>
      <c r="AB8" s="119">
        <v>2.33</v>
      </c>
      <c r="AC8" s="119">
        <v>8.76</v>
      </c>
      <c r="AD8" s="119">
        <v>0</v>
      </c>
      <c r="AE8" s="119">
        <v>0.38</v>
      </c>
      <c r="AF8" s="118">
        <v>0.34279999999999999</v>
      </c>
      <c r="AG8" s="120">
        <v>2.06</v>
      </c>
      <c r="AH8" s="118">
        <v>0.188</v>
      </c>
      <c r="AI8" s="112">
        <v>15</v>
      </c>
      <c r="AJ8" s="118">
        <v>6.6900000000000001E-2</v>
      </c>
      <c r="AK8" s="112">
        <v>60</v>
      </c>
      <c r="AL8" s="112">
        <v>4</v>
      </c>
    </row>
    <row r="9" spans="1:38" ht="15.75" customHeight="1" x14ac:dyDescent="0.3">
      <c r="A9" s="110">
        <v>539436</v>
      </c>
      <c r="B9" s="111" t="s">
        <v>182</v>
      </c>
      <c r="C9" s="112">
        <f ca="1">IFERROR(__xludf.DUMMYFUNCTION("GOOGLEFINANCE(""bom:""&amp;A9,""price"")"),34.66)</f>
        <v>34.659999999999997</v>
      </c>
      <c r="D9" s="112">
        <f ca="1">IFERROR(__xludf.DUMMYFUNCTION("GOOGLEFINANCE(""bom:""&amp;A9,""marketcap"")/10000000"),731.9871727)</f>
        <v>731.98717269999997</v>
      </c>
      <c r="E9" s="113">
        <v>3837</v>
      </c>
      <c r="F9" s="113">
        <v>1952</v>
      </c>
      <c r="G9" s="113">
        <v>5566</v>
      </c>
      <c r="H9" s="113">
        <v>2251</v>
      </c>
      <c r="I9" s="113">
        <v>211</v>
      </c>
      <c r="J9" s="113">
        <v>3314</v>
      </c>
      <c r="K9" s="113">
        <v>1400</v>
      </c>
      <c r="L9" s="113">
        <v>63</v>
      </c>
      <c r="M9" s="113">
        <v>10</v>
      </c>
      <c r="N9" s="113">
        <v>-1</v>
      </c>
      <c r="O9" s="114">
        <v>0.02</v>
      </c>
      <c r="P9" s="115">
        <v>1777</v>
      </c>
      <c r="Q9" s="116">
        <v>923</v>
      </c>
      <c r="R9" s="116">
        <v>-77</v>
      </c>
      <c r="S9" s="116">
        <v>1013</v>
      </c>
      <c r="T9" s="116">
        <v>171</v>
      </c>
      <c r="U9" s="113">
        <v>87</v>
      </c>
      <c r="V9" s="113">
        <v>1418</v>
      </c>
      <c r="W9" s="117">
        <f t="shared" si="0"/>
        <v>9.7508125677139734E-2</v>
      </c>
      <c r="X9" s="117">
        <f t="shared" si="0"/>
        <v>-3.220779220779221</v>
      </c>
      <c r="Y9" s="118">
        <f t="shared" si="1"/>
        <v>-8.9415326394707728E-2</v>
      </c>
      <c r="Z9" s="118">
        <f t="shared" si="2"/>
        <v>0.1688055281342547</v>
      </c>
      <c r="AA9" s="112">
        <v>-5</v>
      </c>
      <c r="AB9" s="119">
        <v>1.97</v>
      </c>
      <c r="AC9" s="119">
        <v>24.91</v>
      </c>
      <c r="AD9" s="119">
        <v>0.42</v>
      </c>
      <c r="AE9" s="119">
        <v>0.4</v>
      </c>
      <c r="AF9" s="118">
        <v>-2.3199999999999998E-2</v>
      </c>
      <c r="AG9" s="120">
        <v>-0.36</v>
      </c>
      <c r="AH9" s="118">
        <v>-1.38E-2</v>
      </c>
      <c r="AI9" s="112">
        <v>-54</v>
      </c>
      <c r="AJ9" s="118">
        <v>-1.8499999999999999E-2</v>
      </c>
      <c r="AK9" s="112">
        <v>157</v>
      </c>
      <c r="AL9" s="119">
        <v>0.39</v>
      </c>
    </row>
    <row r="10" spans="1:38" ht="15.75" customHeight="1" x14ac:dyDescent="0.3">
      <c r="A10" s="110">
        <v>539659</v>
      </c>
      <c r="B10" s="111" t="s">
        <v>183</v>
      </c>
      <c r="C10" s="112">
        <f ca="1">IFERROR(__xludf.DUMMYFUNCTION("GOOGLEFINANCE(""bom:""&amp;A10,""price"")"),82.91)</f>
        <v>82.91</v>
      </c>
      <c r="D10" s="122">
        <f ca="1">IFERROR(__xludf.DUMMYFUNCTION("GOOGLEFINANCE(""bom:""&amp;A10,""marketcap"")/10000000"),109.6483969)</f>
        <v>109.64839689999999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1:38" ht="15.75" customHeight="1" x14ac:dyDescent="0.3">
      <c r="A11" s="110">
        <v>539273</v>
      </c>
      <c r="B11" s="111" t="s">
        <v>184</v>
      </c>
      <c r="C11" s="112">
        <f ca="1">IFERROR(__xludf.DUMMYFUNCTION("GOOGLEFINANCE(""bom:""&amp;A11,""price"")"),399)</f>
        <v>399</v>
      </c>
      <c r="D11" s="122">
        <v>0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1:38" ht="15.75" customHeight="1" x14ac:dyDescent="0.3">
      <c r="A12" s="116"/>
      <c r="B12" s="124"/>
      <c r="C12" s="116"/>
      <c r="D12" s="125"/>
      <c r="E12" s="126"/>
      <c r="F12" s="126"/>
      <c r="G12" s="126"/>
      <c r="H12" s="126"/>
      <c r="I12" s="126"/>
      <c r="J12" s="126"/>
      <c r="K12" s="126"/>
      <c r="L12" s="126"/>
      <c r="M12" s="127"/>
      <c r="N12" s="126"/>
      <c r="O12" s="128"/>
      <c r="P12" s="126"/>
      <c r="Q12" s="126"/>
      <c r="R12" s="126"/>
      <c r="S12" s="126"/>
      <c r="T12" s="126"/>
      <c r="U12" s="126"/>
      <c r="V12" s="126"/>
      <c r="W12" s="129"/>
      <c r="X12" s="129"/>
      <c r="Y12" s="130"/>
      <c r="Z12" s="130"/>
      <c r="AA12" s="126"/>
      <c r="AB12" s="131"/>
      <c r="AC12" s="131"/>
      <c r="AD12" s="131"/>
      <c r="AE12" s="127"/>
      <c r="AF12" s="130"/>
      <c r="AG12" s="132"/>
      <c r="AH12" s="130"/>
      <c r="AI12" s="126"/>
      <c r="AJ12" s="130"/>
      <c r="AK12" s="126"/>
      <c r="AL12" s="127"/>
    </row>
    <row r="13" spans="1:38" ht="15.75" customHeight="1" x14ac:dyDescent="0.3">
      <c r="A13" s="133"/>
      <c r="B13" s="133" t="s">
        <v>185</v>
      </c>
      <c r="C13" s="133"/>
      <c r="D13" s="134">
        <f t="shared" ref="D13:L13" ca="1" si="3">SUM(D2:D11)</f>
        <v>101840.27667610001</v>
      </c>
      <c r="E13" s="134">
        <f t="shared" si="3"/>
        <v>5972</v>
      </c>
      <c r="F13" s="134">
        <f t="shared" si="3"/>
        <v>6711</v>
      </c>
      <c r="G13" s="134">
        <f t="shared" si="3"/>
        <v>23405</v>
      </c>
      <c r="H13" s="134">
        <f t="shared" si="3"/>
        <v>13648</v>
      </c>
      <c r="I13" s="134">
        <f t="shared" si="3"/>
        <v>1119</v>
      </c>
      <c r="J13" s="134">
        <f t="shared" si="3"/>
        <v>9688</v>
      </c>
      <c r="K13" s="134">
        <f t="shared" si="3"/>
        <v>2101</v>
      </c>
      <c r="L13" s="134">
        <f t="shared" si="3"/>
        <v>215</v>
      </c>
      <c r="M13" s="134">
        <f>MEDIAN(M2:M9)</f>
        <v>7.5</v>
      </c>
      <c r="N13" s="134">
        <f t="shared" ref="N13:V13" si="4">SUM(N2:N11)</f>
        <v>50</v>
      </c>
      <c r="O13" s="135">
        <f t="shared" si="4"/>
        <v>1</v>
      </c>
      <c r="P13" s="134">
        <f t="shared" si="4"/>
        <v>9695</v>
      </c>
      <c r="Q13" s="134">
        <f t="shared" si="4"/>
        <v>17283</v>
      </c>
      <c r="R13" s="134">
        <f t="shared" si="4"/>
        <v>757</v>
      </c>
      <c r="S13" s="134">
        <f t="shared" si="4"/>
        <v>18429</v>
      </c>
      <c r="T13" s="134">
        <f t="shared" si="4"/>
        <v>631.79999999999995</v>
      </c>
      <c r="U13" s="134">
        <f t="shared" si="4"/>
        <v>807</v>
      </c>
      <c r="V13" s="134">
        <f t="shared" si="4"/>
        <v>17112</v>
      </c>
      <c r="W13" s="117">
        <f t="shared" ref="W13:X13" si="5">(S13/Q13)-1</f>
        <v>6.6307932650581547E-2</v>
      </c>
      <c r="X13" s="117">
        <f t="shared" si="5"/>
        <v>-0.16538969616908861</v>
      </c>
      <c r="Y13" s="118">
        <f>(S13/P13)^(1/6)-1</f>
        <v>0.11299272627101042</v>
      </c>
      <c r="Z13" s="118">
        <f>T13/S13</f>
        <v>3.4282923652938301E-2</v>
      </c>
      <c r="AA13" s="134">
        <f>(Q13-V13+U13)/U13</f>
        <v>1.2118959107806691</v>
      </c>
      <c r="AB13" s="136">
        <f>E13/F13</f>
        <v>0.88988228281925197</v>
      </c>
      <c r="AC13" s="136">
        <f>(L13/Q13)*365</f>
        <v>4.5405890181102819</v>
      </c>
      <c r="AD13" s="136">
        <f>K13/J13</f>
        <v>0.21686622625928983</v>
      </c>
      <c r="AE13" s="136">
        <f>H13/G13</f>
        <v>0.58312326425977357</v>
      </c>
      <c r="AF13" s="137">
        <f>R13/J13</f>
        <v>7.8137902559867883E-2</v>
      </c>
      <c r="AG13" s="138">
        <f>R13/I13</f>
        <v>0.67649687220732801</v>
      </c>
      <c r="AH13" s="137">
        <f>R13/G13</f>
        <v>3.2343516342661825E-2</v>
      </c>
      <c r="AI13" s="134">
        <f t="shared" ref="AI13:AJ13" si="6">MEDIAN(AI2:AI9)</f>
        <v>28.5</v>
      </c>
      <c r="AJ13" s="137">
        <f t="shared" si="6"/>
        <v>6.8500000000000002E-3</v>
      </c>
      <c r="AK13" s="134">
        <f>J13/(I13/M13)</f>
        <v>64.932975871313673</v>
      </c>
      <c r="AL13" s="134">
        <f>MEDIAN(AL2:AL9)</f>
        <v>7.5</v>
      </c>
    </row>
    <row r="14" spans="1:38" ht="15.75" customHeight="1" x14ac:dyDescent="0.3"/>
    <row r="15" spans="1:38" ht="15.75" customHeight="1" x14ac:dyDescent="0.3"/>
    <row r="16" spans="1:38" ht="15.75" customHeight="1" x14ac:dyDescent="0.3"/>
    <row r="17" spans="1:25" ht="15.75" customHeight="1" x14ac:dyDescent="0.3">
      <c r="I17" s="51">
        <v>523800</v>
      </c>
    </row>
    <row r="18" spans="1:25" ht="15.75" customHeight="1" x14ac:dyDescent="0.3">
      <c r="G18" s="139"/>
    </row>
    <row r="19" spans="1:25" ht="15.75" customHeight="1" x14ac:dyDescent="0.3"/>
    <row r="20" spans="1:25" ht="15.75" customHeight="1" x14ac:dyDescent="0.3"/>
    <row r="21" spans="1:25" ht="15.75" customHeight="1" x14ac:dyDescent="0.3"/>
    <row r="22" spans="1:25" ht="15.75" customHeight="1" x14ac:dyDescent="0.3"/>
    <row r="23" spans="1:25" ht="15.75" customHeight="1" x14ac:dyDescent="0.3"/>
    <row r="24" spans="1:25" ht="15.75" customHeight="1" x14ac:dyDescent="0.3"/>
    <row r="25" spans="1:25" ht="15.75" customHeight="1" x14ac:dyDescent="0.3"/>
    <row r="26" spans="1:25" ht="15.75" customHeight="1" x14ac:dyDescent="0.3"/>
    <row r="27" spans="1:25" ht="15.75" customHeight="1" x14ac:dyDescent="0.3"/>
    <row r="28" spans="1:25" ht="15.75" customHeight="1" x14ac:dyDescent="0.3"/>
    <row r="29" spans="1:25" ht="15.75" customHeight="1" x14ac:dyDescent="0.3">
      <c r="T29" s="52">
        <v>0.15</v>
      </c>
    </row>
    <row r="30" spans="1:25" ht="15.75" customHeight="1" x14ac:dyDescent="0.3">
      <c r="A30" s="108" t="s">
        <v>186</v>
      </c>
    </row>
    <row r="31" spans="1:25" ht="15.75" customHeight="1" x14ac:dyDescent="0.3">
      <c r="B31" s="140" t="s">
        <v>152</v>
      </c>
      <c r="C31" s="140" t="s">
        <v>154</v>
      </c>
      <c r="F31" s="108" t="s">
        <v>152</v>
      </c>
      <c r="G31" s="108" t="s">
        <v>168</v>
      </c>
      <c r="J31" s="140" t="s">
        <v>152</v>
      </c>
      <c r="K31" s="140" t="s">
        <v>169</v>
      </c>
      <c r="N31" s="140" t="s">
        <v>152</v>
      </c>
      <c r="O31" s="140" t="s">
        <v>171</v>
      </c>
      <c r="S31" s="140" t="s">
        <v>185</v>
      </c>
      <c r="T31" s="140" t="s">
        <v>187</v>
      </c>
      <c r="U31" s="140" t="s">
        <v>188</v>
      </c>
      <c r="V31" s="140" t="s">
        <v>171</v>
      </c>
      <c r="W31" s="140" t="s">
        <v>189</v>
      </c>
      <c r="X31" s="140" t="s">
        <v>190</v>
      </c>
      <c r="Y31" s="140" t="s">
        <v>191</v>
      </c>
    </row>
    <row r="32" spans="1:25" ht="15.75" customHeight="1" x14ac:dyDescent="0.3">
      <c r="B32" s="111" t="s">
        <v>27</v>
      </c>
      <c r="C32" s="112">
        <v>34397.145494199998</v>
      </c>
      <c r="D32" s="141"/>
      <c r="F32" s="111" t="s">
        <v>27</v>
      </c>
      <c r="G32" s="116">
        <v>5654</v>
      </c>
      <c r="J32" s="111" t="s">
        <v>27</v>
      </c>
      <c r="K32" s="116">
        <v>400</v>
      </c>
      <c r="N32" s="142" t="s">
        <v>27</v>
      </c>
      <c r="O32" s="143">
        <v>9.6161302830554574E-2</v>
      </c>
      <c r="S32" s="142" t="s">
        <v>27</v>
      </c>
      <c r="T32" s="51">
        <v>1933</v>
      </c>
      <c r="U32" s="51">
        <v>58</v>
      </c>
      <c r="V32" s="143">
        <v>0.44900000000000001</v>
      </c>
      <c r="W32" s="144">
        <v>1</v>
      </c>
      <c r="X32" s="54">
        <v>2.1700000000000001E-2</v>
      </c>
      <c r="Y32" s="54">
        <v>0.03</v>
      </c>
    </row>
    <row r="33" spans="2:25" ht="15.75" customHeight="1" x14ac:dyDescent="0.3">
      <c r="B33" s="111" t="s">
        <v>176</v>
      </c>
      <c r="C33" s="112">
        <v>21335.4915</v>
      </c>
      <c r="F33" s="111" t="s">
        <v>176</v>
      </c>
      <c r="G33" s="116">
        <v>3356</v>
      </c>
      <c r="J33" s="111" t="s">
        <v>176</v>
      </c>
      <c r="K33" s="116">
        <v>-10</v>
      </c>
      <c r="N33" s="142" t="s">
        <v>176</v>
      </c>
      <c r="O33" s="143">
        <v>0.11978645311978653</v>
      </c>
      <c r="S33" s="142" t="s">
        <v>176</v>
      </c>
      <c r="T33" s="51">
        <v>1221</v>
      </c>
      <c r="U33" s="51">
        <v>22</v>
      </c>
      <c r="V33" s="143">
        <v>0.44159999999999999</v>
      </c>
      <c r="W33" s="145" t="s">
        <v>192</v>
      </c>
      <c r="X33" s="54">
        <v>-1.8E-3</v>
      </c>
      <c r="Y33" s="54">
        <v>1.7999999999999999E-2</v>
      </c>
    </row>
    <row r="34" spans="2:25" ht="15.75" customHeight="1" x14ac:dyDescent="0.3">
      <c r="B34" s="111" t="s">
        <v>177</v>
      </c>
      <c r="C34" s="112">
        <v>12731.1873897</v>
      </c>
      <c r="F34" s="111" t="s">
        <v>177</v>
      </c>
      <c r="G34" s="116">
        <v>2392</v>
      </c>
      <c r="J34" s="111" t="s">
        <v>177</v>
      </c>
      <c r="K34" s="116">
        <v>69</v>
      </c>
      <c r="N34" s="142" t="s">
        <v>177</v>
      </c>
      <c r="O34" s="143">
        <v>5.0043898156277411E-2</v>
      </c>
      <c r="S34" s="142" t="s">
        <v>177</v>
      </c>
      <c r="T34" s="51">
        <v>613</v>
      </c>
      <c r="U34" s="51">
        <v>3</v>
      </c>
      <c r="V34" s="143">
        <v>2E-3</v>
      </c>
      <c r="W34" s="144">
        <v>-0.9</v>
      </c>
      <c r="X34" s="54">
        <v>4.7399999999999998E-2</v>
      </c>
      <c r="Y34" s="54">
        <v>4.8999999999999998E-3</v>
      </c>
    </row>
    <row r="35" spans="2:25" ht="15.75" customHeight="1" x14ac:dyDescent="0.3">
      <c r="B35" s="111" t="s">
        <v>178</v>
      </c>
      <c r="C35" s="112">
        <v>9542.1367334999995</v>
      </c>
      <c r="F35" s="111" t="s">
        <v>178</v>
      </c>
      <c r="G35" s="116">
        <v>2594</v>
      </c>
      <c r="J35" s="111" t="s">
        <v>178</v>
      </c>
      <c r="K35" s="116">
        <v>52</v>
      </c>
      <c r="N35" s="142" t="s">
        <v>178</v>
      </c>
      <c r="O35" s="143">
        <v>0.14525386313465782</v>
      </c>
      <c r="S35" s="142" t="s">
        <v>178</v>
      </c>
      <c r="T35" s="51">
        <v>718</v>
      </c>
      <c r="U35" s="51">
        <v>8</v>
      </c>
      <c r="V35" s="143">
        <v>9.8000000000000004E-2</v>
      </c>
      <c r="W35" s="144">
        <v>-0.73</v>
      </c>
      <c r="X35" s="54">
        <v>4.5900000000000003E-2</v>
      </c>
      <c r="Y35" s="54">
        <v>1.11E-2</v>
      </c>
    </row>
    <row r="36" spans="2:25" ht="15.75" customHeight="1" x14ac:dyDescent="0.3">
      <c r="B36" s="111" t="s">
        <v>179</v>
      </c>
      <c r="C36" s="112">
        <v>5604.4576100000004</v>
      </c>
      <c r="F36" s="111" t="s">
        <v>179</v>
      </c>
      <c r="G36" s="116">
        <v>1760</v>
      </c>
      <c r="J36" s="111" t="s">
        <v>179</v>
      </c>
      <c r="K36" s="116">
        <v>-69</v>
      </c>
      <c r="N36" s="142" t="s">
        <v>179</v>
      </c>
      <c r="O36" s="143">
        <v>-0.14313534566699126</v>
      </c>
      <c r="S36" s="142" t="s">
        <v>179</v>
      </c>
      <c r="T36" s="51">
        <v>647</v>
      </c>
      <c r="U36" s="51">
        <v>-52</v>
      </c>
      <c r="V36" s="143">
        <v>6.0699999999999997E-2</v>
      </c>
      <c r="W36" s="144">
        <v>-0.04</v>
      </c>
      <c r="X36" s="54">
        <v>-8.8499999999999995E-2</v>
      </c>
      <c r="Y36" s="54">
        <v>-8.0399999999999999E-2</v>
      </c>
    </row>
    <row r="37" spans="2:25" ht="15.75" customHeight="1" x14ac:dyDescent="0.3">
      <c r="B37" s="111" t="s">
        <v>180</v>
      </c>
      <c r="C37" s="112">
        <v>2168.4998850000002</v>
      </c>
      <c r="F37" s="111" t="s">
        <v>180</v>
      </c>
      <c r="G37" s="116">
        <v>1255</v>
      </c>
      <c r="J37" s="111" t="s">
        <v>180</v>
      </c>
      <c r="K37" s="116">
        <v>-11.2</v>
      </c>
      <c r="N37" s="142" t="s">
        <v>180</v>
      </c>
      <c r="O37" s="143">
        <v>1.7842660178426506E-2</v>
      </c>
      <c r="S37" s="142" t="s">
        <v>180</v>
      </c>
      <c r="T37" s="51">
        <v>306</v>
      </c>
      <c r="U37" s="51">
        <v>-4</v>
      </c>
      <c r="V37" s="143">
        <f>(306/324)-1</f>
        <v>-5.555555555555558E-2</v>
      </c>
      <c r="W37" s="145" t="s">
        <v>193</v>
      </c>
      <c r="X37" s="54">
        <f>-4/324</f>
        <v>-1.2345679012345678E-2</v>
      </c>
      <c r="Y37" s="54">
        <f>-4/306</f>
        <v>-1.3071895424836602E-2</v>
      </c>
    </row>
    <row r="38" spans="2:25" ht="15.75" customHeight="1" x14ac:dyDescent="0.3">
      <c r="B38" s="111" t="s">
        <v>181</v>
      </c>
      <c r="C38" s="112">
        <v>835.46510409999996</v>
      </c>
      <c r="F38" s="111" t="s">
        <v>181</v>
      </c>
      <c r="G38" s="116">
        <v>405</v>
      </c>
      <c r="J38" s="111" t="s">
        <v>181</v>
      </c>
      <c r="K38" s="116">
        <v>30</v>
      </c>
      <c r="N38" s="142" t="s">
        <v>181</v>
      </c>
      <c r="O38" s="143">
        <v>8.0000000000000071E-2</v>
      </c>
      <c r="S38" s="142" t="s">
        <v>181</v>
      </c>
      <c r="T38" s="51">
        <v>97</v>
      </c>
      <c r="U38" s="51">
        <v>7</v>
      </c>
      <c r="V38" s="143">
        <f>(97/95)-1</f>
        <v>2.1052631578947434E-2</v>
      </c>
      <c r="W38" s="144">
        <f>(7/6)-1</f>
        <v>0.16666666666666674</v>
      </c>
      <c r="X38" s="54">
        <f>6/95</f>
        <v>6.3157894736842107E-2</v>
      </c>
      <c r="Y38" s="54">
        <f>7/97</f>
        <v>7.2164948453608241E-2</v>
      </c>
    </row>
    <row r="39" spans="2:25" ht="15.75" customHeight="1" x14ac:dyDescent="0.3">
      <c r="B39" s="111" t="s">
        <v>182</v>
      </c>
      <c r="C39" s="112">
        <v>1146.4596893999999</v>
      </c>
      <c r="F39" s="111" t="s">
        <v>182</v>
      </c>
      <c r="G39" s="116">
        <v>1013</v>
      </c>
      <c r="H39" s="116"/>
      <c r="J39" s="111" t="s">
        <v>182</v>
      </c>
      <c r="K39" s="116">
        <v>171</v>
      </c>
      <c r="N39" s="142" t="s">
        <v>182</v>
      </c>
      <c r="O39" s="143">
        <v>9.7508125677139734E-2</v>
      </c>
      <c r="S39" s="146" t="s">
        <v>182</v>
      </c>
      <c r="T39" s="51">
        <v>260</v>
      </c>
      <c r="U39" s="51">
        <v>-13</v>
      </c>
      <c r="V39" s="147">
        <f>(260/247)-1</f>
        <v>5.2631578947368363E-2</v>
      </c>
      <c r="W39" s="145" t="s">
        <v>194</v>
      </c>
      <c r="X39" s="54">
        <v>3.0000000000000001E-3</v>
      </c>
      <c r="Y39" s="54">
        <f>-13/260</f>
        <v>-0.05</v>
      </c>
    </row>
    <row r="40" spans="2:25" ht="15.75" customHeight="1" x14ac:dyDescent="0.3">
      <c r="B40" s="111" t="s">
        <v>183</v>
      </c>
      <c r="C40" s="112">
        <v>74.627225899999999</v>
      </c>
      <c r="F40" s="8" t="s">
        <v>183</v>
      </c>
      <c r="G40" s="8"/>
      <c r="J40" s="51" t="s">
        <v>183</v>
      </c>
      <c r="N40" s="142" t="s">
        <v>183</v>
      </c>
      <c r="O40" s="52"/>
    </row>
    <row r="41" spans="2:25" ht="15.75" customHeight="1" x14ac:dyDescent="0.3">
      <c r="B41" s="111" t="s">
        <v>184</v>
      </c>
      <c r="C41" s="112">
        <v>0</v>
      </c>
      <c r="F41" s="8" t="s">
        <v>184</v>
      </c>
      <c r="G41" s="8"/>
      <c r="J41" s="51" t="s">
        <v>184</v>
      </c>
      <c r="N41" s="146" t="s">
        <v>184</v>
      </c>
      <c r="O41" s="147"/>
    </row>
    <row r="42" spans="2:25" ht="15.75" customHeight="1" x14ac:dyDescent="0.3">
      <c r="C42" s="57"/>
      <c r="G42" s="57"/>
      <c r="K42" s="57"/>
      <c r="O42" s="143"/>
      <c r="W42" s="144"/>
    </row>
    <row r="43" spans="2:25" ht="15.75" customHeight="1" x14ac:dyDescent="0.3">
      <c r="B43" s="133" t="s">
        <v>185</v>
      </c>
      <c r="C43" s="134">
        <v>87835.470631799995</v>
      </c>
      <c r="F43" s="133" t="s">
        <v>185</v>
      </c>
      <c r="G43" s="134">
        <f>SUM(G32:G41)</f>
        <v>18429</v>
      </c>
      <c r="J43" s="133" t="s">
        <v>185</v>
      </c>
      <c r="K43" s="134">
        <f>SUM(K32:K41)</f>
        <v>631.79999999999995</v>
      </c>
      <c r="N43" s="133" t="s">
        <v>185</v>
      </c>
      <c r="O43" s="135">
        <v>6.6307932650581547E-2</v>
      </c>
      <c r="S43" s="148" t="s">
        <v>185</v>
      </c>
      <c r="T43" s="148">
        <f t="shared" ref="T43:U43" si="7">SUM(T32:T39)</f>
        <v>5795</v>
      </c>
      <c r="U43" s="148">
        <f t="shared" si="7"/>
        <v>29</v>
      </c>
      <c r="V43" s="149">
        <v>0.27</v>
      </c>
      <c r="W43" s="150">
        <v>0.18</v>
      </c>
      <c r="X43" s="150">
        <v>8.0000000000000002E-3</v>
      </c>
      <c r="Y43" s="150">
        <v>8.0000000000000002E-3</v>
      </c>
    </row>
    <row r="44" spans="2:25" ht="15.75" customHeight="1" x14ac:dyDescent="0.3"/>
    <row r="45" spans="2:25" ht="15.75" customHeight="1" x14ac:dyDescent="0.3"/>
    <row r="46" spans="2:25" ht="15.75" customHeight="1" x14ac:dyDescent="0.3"/>
    <row r="47" spans="2:25" ht="15.75" customHeight="1" x14ac:dyDescent="0.3"/>
    <row r="48" spans="2:25" ht="15.75" customHeight="1" x14ac:dyDescent="0.3"/>
    <row r="49" spans="1:14" ht="15.75" customHeight="1" x14ac:dyDescent="0.3"/>
    <row r="50" spans="1:14" ht="15.75" customHeight="1" x14ac:dyDescent="0.3"/>
    <row r="51" spans="1:14" ht="15.75" customHeight="1" x14ac:dyDescent="0.3"/>
    <row r="52" spans="1:14" ht="15.75" customHeight="1" x14ac:dyDescent="0.3"/>
    <row r="53" spans="1:14" ht="15.75" customHeight="1" x14ac:dyDescent="0.3"/>
    <row r="54" spans="1:14" ht="15.75" customHeight="1" x14ac:dyDescent="0.3"/>
    <row r="55" spans="1:14" ht="15.75" customHeight="1" x14ac:dyDescent="0.3"/>
    <row r="56" spans="1:14" ht="15.75" customHeight="1" x14ac:dyDescent="0.3"/>
    <row r="57" spans="1:14" ht="15.75" customHeight="1" x14ac:dyDescent="0.3"/>
    <row r="58" spans="1:14" ht="15.75" customHeight="1" x14ac:dyDescent="0.3"/>
    <row r="59" spans="1:14" ht="15.75" customHeight="1" x14ac:dyDescent="0.3"/>
    <row r="60" spans="1:14" ht="15.75" customHeight="1" x14ac:dyDescent="0.3"/>
    <row r="61" spans="1:14" ht="15.75" customHeight="1" x14ac:dyDescent="0.3">
      <c r="A61" s="140" t="s">
        <v>30</v>
      </c>
      <c r="B61" s="140" t="s">
        <v>152</v>
      </c>
      <c r="C61" s="140" t="s">
        <v>80</v>
      </c>
      <c r="F61" s="140" t="s">
        <v>152</v>
      </c>
      <c r="G61" s="140" t="s">
        <v>174</v>
      </c>
      <c r="M61" s="140" t="s">
        <v>152</v>
      </c>
      <c r="N61" s="140" t="s">
        <v>175</v>
      </c>
    </row>
    <row r="62" spans="1:14" ht="15.75" customHeight="1" x14ac:dyDescent="0.3">
      <c r="B62" s="142" t="s">
        <v>27</v>
      </c>
      <c r="C62" s="139">
        <v>7.0746374248319768E-2</v>
      </c>
      <c r="F62" s="142" t="s">
        <v>27</v>
      </c>
      <c r="G62" s="151">
        <v>0.50783410138248852</v>
      </c>
      <c r="M62" s="142" t="s">
        <v>27</v>
      </c>
      <c r="N62" s="151">
        <v>2.4767351686700274</v>
      </c>
    </row>
    <row r="63" spans="1:14" ht="15.75" customHeight="1" x14ac:dyDescent="0.3">
      <c r="B63" s="142" t="s">
        <v>176</v>
      </c>
      <c r="C63" s="139">
        <v>-2.9797377830750892E-3</v>
      </c>
      <c r="F63" s="142" t="s">
        <v>176</v>
      </c>
      <c r="G63" s="151">
        <v>0.49319727891156462</v>
      </c>
      <c r="M63" s="142" t="s">
        <v>176</v>
      </c>
      <c r="N63" s="151">
        <v>4.6279612946279611</v>
      </c>
    </row>
    <row r="64" spans="1:14" ht="15.75" customHeight="1" x14ac:dyDescent="0.3">
      <c r="B64" s="142" t="s">
        <v>177</v>
      </c>
      <c r="C64" s="139">
        <v>2.8846153846153848E-2</v>
      </c>
      <c r="F64" s="142" t="s">
        <v>177</v>
      </c>
      <c r="G64" s="151">
        <v>0.14624840764331212</v>
      </c>
      <c r="M64" s="142" t="s">
        <v>177</v>
      </c>
      <c r="N64" s="151">
        <v>2.5636523266022828</v>
      </c>
    </row>
    <row r="65" spans="2:14" ht="15.75" customHeight="1" x14ac:dyDescent="0.3">
      <c r="B65" s="142" t="s">
        <v>178</v>
      </c>
      <c r="C65" s="139">
        <v>2.0046260601387818E-2</v>
      </c>
      <c r="F65" s="142" t="s">
        <v>178</v>
      </c>
      <c r="G65" s="151">
        <v>0.79049295774647887</v>
      </c>
      <c r="M65" s="142" t="s">
        <v>178</v>
      </c>
      <c r="N65" s="151">
        <v>4.6732891832229582</v>
      </c>
    </row>
    <row r="66" spans="2:14" ht="15.75" customHeight="1" x14ac:dyDescent="0.3">
      <c r="B66" s="142" t="s">
        <v>179</v>
      </c>
      <c r="C66" s="139">
        <v>-3.9204545454545457E-2</v>
      </c>
      <c r="F66" s="142" t="s">
        <v>179</v>
      </c>
      <c r="G66" s="151">
        <v>0.44698205546492659</v>
      </c>
      <c r="M66" s="142" t="s">
        <v>179</v>
      </c>
      <c r="N66" s="151">
        <v>4.0871470301850046</v>
      </c>
    </row>
    <row r="67" spans="2:14" ht="15.75" customHeight="1" x14ac:dyDescent="0.3">
      <c r="B67" s="142" t="s">
        <v>180</v>
      </c>
      <c r="C67" s="139">
        <v>-8.9243027888446201E-3</v>
      </c>
      <c r="F67" s="142" t="s">
        <v>180</v>
      </c>
      <c r="G67" s="151">
        <v>0.48319327731092437</v>
      </c>
      <c r="M67" s="142" t="s">
        <v>180</v>
      </c>
      <c r="N67" s="151">
        <v>0.59205190592051904</v>
      </c>
    </row>
    <row r="68" spans="2:14" ht="15.75" customHeight="1" x14ac:dyDescent="0.3">
      <c r="B68" s="142" t="s">
        <v>181</v>
      </c>
      <c r="C68" s="139">
        <v>7.407407407407407E-2</v>
      </c>
      <c r="F68" s="142" t="s">
        <v>181</v>
      </c>
      <c r="G68" s="151">
        <v>2.329896907216495</v>
      </c>
      <c r="M68" s="142" t="s">
        <v>181</v>
      </c>
      <c r="N68" s="151">
        <v>8.76</v>
      </c>
    </row>
    <row r="69" spans="2:14" ht="15.75" customHeight="1" x14ac:dyDescent="0.3">
      <c r="B69" s="142" t="s">
        <v>182</v>
      </c>
      <c r="C69" s="139">
        <v>0.1688055281342547</v>
      </c>
      <c r="F69" s="142" t="s">
        <v>182</v>
      </c>
      <c r="G69" s="151">
        <v>1.9656762295081966</v>
      </c>
      <c r="M69" s="142" t="s">
        <v>182</v>
      </c>
      <c r="N69" s="151">
        <v>24.91332611050921</v>
      </c>
    </row>
    <row r="70" spans="2:14" ht="15.75" customHeight="1" x14ac:dyDescent="0.3">
      <c r="B70" s="51" t="s">
        <v>183</v>
      </c>
      <c r="C70" s="144"/>
    </row>
    <row r="71" spans="2:14" ht="15.75" customHeight="1" x14ac:dyDescent="0.3">
      <c r="B71" s="146" t="s">
        <v>184</v>
      </c>
      <c r="C71" s="152"/>
    </row>
    <row r="72" spans="2:14" ht="15.75" customHeight="1" x14ac:dyDescent="0.3">
      <c r="C72" s="139"/>
      <c r="G72" s="151"/>
      <c r="N72" s="151"/>
    </row>
    <row r="73" spans="2:14" ht="15.75" customHeight="1" x14ac:dyDescent="0.3">
      <c r="B73" s="133" t="s">
        <v>185</v>
      </c>
      <c r="C73" s="153">
        <v>3.4282923652938301E-2</v>
      </c>
      <c r="F73" s="133" t="s">
        <v>185</v>
      </c>
      <c r="G73" s="136">
        <v>0.88982416927432584</v>
      </c>
      <c r="M73" s="133" t="s">
        <v>185</v>
      </c>
      <c r="N73" s="136">
        <v>4.5405890181102819</v>
      </c>
    </row>
    <row r="74" spans="2:14" ht="15.75" customHeight="1" x14ac:dyDescent="0.3"/>
    <row r="75" spans="2:14" ht="15.75" customHeight="1" x14ac:dyDescent="0.3"/>
    <row r="76" spans="2:14" ht="15.75" customHeight="1" x14ac:dyDescent="0.3"/>
    <row r="77" spans="2:14" ht="15.75" customHeight="1" x14ac:dyDescent="0.3"/>
    <row r="78" spans="2:14" ht="15.75" customHeight="1" x14ac:dyDescent="0.3"/>
    <row r="79" spans="2:14" ht="15.75" customHeight="1" x14ac:dyDescent="0.3"/>
    <row r="80" spans="2:14" ht="15.75" customHeight="1" x14ac:dyDescent="0.3"/>
    <row r="81" spans="1:14" ht="15.75" customHeight="1" x14ac:dyDescent="0.3"/>
    <row r="82" spans="1:14" ht="15.75" customHeight="1" x14ac:dyDescent="0.3"/>
    <row r="83" spans="1:14" ht="15.75" customHeight="1" x14ac:dyDescent="0.3"/>
    <row r="84" spans="1:14" ht="15.75" customHeight="1" x14ac:dyDescent="0.3"/>
    <row r="85" spans="1:14" ht="15.75" customHeight="1" x14ac:dyDescent="0.3"/>
    <row r="86" spans="1:14" ht="15.75" customHeight="1" x14ac:dyDescent="0.3"/>
    <row r="87" spans="1:14" ht="15.75" customHeight="1" x14ac:dyDescent="0.3"/>
    <row r="88" spans="1:14" ht="15.75" customHeight="1" x14ac:dyDescent="0.3"/>
    <row r="89" spans="1:14" ht="15.75" customHeight="1" x14ac:dyDescent="0.3"/>
    <row r="90" spans="1:14" ht="15.75" customHeight="1" x14ac:dyDescent="0.3"/>
    <row r="91" spans="1:14" ht="15.75" customHeight="1" x14ac:dyDescent="0.3"/>
    <row r="92" spans="1:14" ht="15.75" customHeight="1" x14ac:dyDescent="0.3">
      <c r="A92" s="140" t="s">
        <v>31</v>
      </c>
      <c r="B92" s="140" t="s">
        <v>152</v>
      </c>
      <c r="C92" s="140" t="s">
        <v>39</v>
      </c>
      <c r="H92" s="140" t="s">
        <v>152</v>
      </c>
      <c r="I92" s="140" t="s">
        <v>40</v>
      </c>
      <c r="M92" s="140" t="s">
        <v>152</v>
      </c>
      <c r="N92" s="140" t="s">
        <v>41</v>
      </c>
    </row>
    <row r="93" spans="1:14" ht="15.75" customHeight="1" x14ac:dyDescent="0.3">
      <c r="B93" s="142" t="s">
        <v>27</v>
      </c>
      <c r="C93" s="151">
        <v>8.8643986583612847E-2</v>
      </c>
      <c r="H93" s="142" t="s">
        <v>27</v>
      </c>
      <c r="I93" s="151">
        <v>0.62269606071557648</v>
      </c>
      <c r="M93" s="142" t="s">
        <v>27</v>
      </c>
      <c r="N93" s="154">
        <v>3.3134328358208953</v>
      </c>
    </row>
    <row r="94" spans="1:14" ht="15.75" customHeight="1" x14ac:dyDescent="0.3">
      <c r="B94" s="142" t="s">
        <v>176</v>
      </c>
      <c r="C94" s="151">
        <v>7.8201368523949169E-2</v>
      </c>
      <c r="H94" s="142" t="s">
        <v>176</v>
      </c>
      <c r="I94" s="151">
        <v>0.67316293929712456</v>
      </c>
      <c r="M94" s="142" t="s">
        <v>176</v>
      </c>
      <c r="N94" s="154">
        <v>2.5472972972972974</v>
      </c>
    </row>
    <row r="95" spans="1:14" ht="15.75" customHeight="1" x14ac:dyDescent="0.3">
      <c r="B95" s="142" t="s">
        <v>177</v>
      </c>
      <c r="C95" s="151">
        <v>0.43421052631578949</v>
      </c>
      <c r="H95" s="142" t="s">
        <v>177</v>
      </c>
      <c r="I95" s="151">
        <v>0.74174311926605507</v>
      </c>
      <c r="M95" s="142" t="s">
        <v>177</v>
      </c>
      <c r="N95" s="154">
        <v>2.3870967741935485</v>
      </c>
    </row>
    <row r="96" spans="1:14" ht="15.75" customHeight="1" x14ac:dyDescent="0.3">
      <c r="B96" s="142" t="s">
        <v>178</v>
      </c>
      <c r="C96" s="151">
        <v>2.5133282559025132E-2</v>
      </c>
      <c r="H96" s="142" t="s">
        <v>178</v>
      </c>
      <c r="I96" s="151">
        <v>0.52358490566037741</v>
      </c>
      <c r="M96" s="142" t="s">
        <v>178</v>
      </c>
      <c r="N96" s="154">
        <v>1.8850574712643677</v>
      </c>
    </row>
    <row r="97" spans="2:14" ht="15.75" customHeight="1" x14ac:dyDescent="0.3">
      <c r="B97" s="142" t="s">
        <v>179</v>
      </c>
      <c r="C97" s="151">
        <v>0.17426273458445041</v>
      </c>
      <c r="H97" s="142" t="s">
        <v>179</v>
      </c>
      <c r="I97" s="151">
        <v>0.69510204081632654</v>
      </c>
      <c r="M97" s="142" t="s">
        <v>179</v>
      </c>
      <c r="N97" s="154">
        <v>-1.6476190476190475</v>
      </c>
    </row>
    <row r="98" spans="2:14" ht="15.75" customHeight="1" x14ac:dyDescent="0.3">
      <c r="B98" s="142" t="s">
        <v>180</v>
      </c>
      <c r="C98" s="151">
        <v>0.1076923076923077</v>
      </c>
      <c r="H98" s="142" t="s">
        <v>180</v>
      </c>
      <c r="I98" s="151">
        <v>0.69442262372348784</v>
      </c>
      <c r="M98" s="142" t="s">
        <v>180</v>
      </c>
      <c r="N98" s="154">
        <v>1.1805555555555556</v>
      </c>
    </row>
    <row r="99" spans="2:14" ht="15.75" customHeight="1" x14ac:dyDescent="0.3">
      <c r="B99" s="142" t="s">
        <v>181</v>
      </c>
      <c r="C99" s="151">
        <v>0</v>
      </c>
      <c r="H99" s="142" t="s">
        <v>181</v>
      </c>
      <c r="I99" s="151">
        <v>0.38178294573643412</v>
      </c>
      <c r="M99" s="142" t="s">
        <v>181</v>
      </c>
      <c r="N99" s="154">
        <v>3.2142857142857144</v>
      </c>
    </row>
    <row r="100" spans="2:14" ht="15.75" customHeight="1" x14ac:dyDescent="0.3">
      <c r="B100" s="142" t="s">
        <v>182</v>
      </c>
      <c r="C100" s="151">
        <v>0.42245021122510562</v>
      </c>
      <c r="H100" s="142" t="s">
        <v>182</v>
      </c>
      <c r="I100" s="151">
        <v>0.40441969098095581</v>
      </c>
      <c r="M100" s="142" t="s">
        <v>182</v>
      </c>
      <c r="N100" s="154">
        <v>-4.6896551724137927</v>
      </c>
    </row>
    <row r="101" spans="2:14" ht="15.75" customHeight="1" x14ac:dyDescent="0.3">
      <c r="B101" s="142" t="s">
        <v>183</v>
      </c>
    </row>
    <row r="102" spans="2:14" ht="15.75" customHeight="1" x14ac:dyDescent="0.3">
      <c r="B102" s="142" t="s">
        <v>184</v>
      </c>
      <c r="M102" s="142" t="s">
        <v>184</v>
      </c>
    </row>
    <row r="103" spans="2:14" ht="15.75" customHeight="1" x14ac:dyDescent="0.3">
      <c r="C103" s="151"/>
      <c r="N103" s="155"/>
    </row>
    <row r="104" spans="2:14" ht="15.75" customHeight="1" x14ac:dyDescent="0.3">
      <c r="B104" s="127" t="s">
        <v>185</v>
      </c>
      <c r="C104" s="131">
        <v>0.21686622625928983</v>
      </c>
      <c r="H104" s="127" t="s">
        <v>185</v>
      </c>
      <c r="I104" s="131">
        <v>0.58312326425977357</v>
      </c>
      <c r="M104" s="127" t="s">
        <v>185</v>
      </c>
      <c r="N104" s="126">
        <v>1.2118959107806691</v>
      </c>
    </row>
    <row r="105" spans="2:14" ht="15.75" customHeight="1" x14ac:dyDescent="0.3"/>
    <row r="106" spans="2:14" ht="15.75" customHeight="1" x14ac:dyDescent="0.3"/>
    <row r="107" spans="2:14" ht="15.75" customHeight="1" x14ac:dyDescent="0.3"/>
    <row r="108" spans="2:14" ht="15.75" customHeight="1" x14ac:dyDescent="0.3"/>
    <row r="109" spans="2:14" ht="15.75" customHeight="1" x14ac:dyDescent="0.3"/>
    <row r="110" spans="2:14" ht="15.75" customHeight="1" x14ac:dyDescent="0.3"/>
    <row r="111" spans="2:14" ht="15.75" customHeight="1" x14ac:dyDescent="0.3"/>
    <row r="112" spans="2:14" ht="15.75" customHeight="1" x14ac:dyDescent="0.3"/>
    <row r="113" spans="1:7" ht="15.75" customHeight="1" x14ac:dyDescent="0.3"/>
    <row r="114" spans="1:7" ht="15.75" customHeight="1" x14ac:dyDescent="0.3"/>
    <row r="115" spans="1:7" ht="15.75" customHeight="1" x14ac:dyDescent="0.3"/>
    <row r="116" spans="1:7" ht="15.75" customHeight="1" x14ac:dyDescent="0.3"/>
    <row r="117" spans="1:7" ht="15.75" customHeight="1" x14ac:dyDescent="0.3"/>
    <row r="118" spans="1:7" ht="15.75" customHeight="1" x14ac:dyDescent="0.3"/>
    <row r="119" spans="1:7" ht="15.75" customHeight="1" x14ac:dyDescent="0.3"/>
    <row r="120" spans="1:7" ht="15.75" customHeight="1" x14ac:dyDescent="0.3"/>
    <row r="121" spans="1:7" ht="15.75" customHeight="1" x14ac:dyDescent="0.3"/>
    <row r="122" spans="1:7" ht="15.75" customHeight="1" x14ac:dyDescent="0.3"/>
    <row r="123" spans="1:7" ht="15.75" customHeight="1" x14ac:dyDescent="0.3"/>
    <row r="124" spans="1:7" ht="15.75" customHeight="1" x14ac:dyDescent="0.3"/>
    <row r="125" spans="1:7" ht="15.75" customHeight="1" x14ac:dyDescent="0.3"/>
    <row r="126" spans="1:7" ht="15.75" customHeight="1" x14ac:dyDescent="0.3">
      <c r="A126" s="140" t="s">
        <v>32</v>
      </c>
      <c r="B126" s="140" t="s">
        <v>152</v>
      </c>
      <c r="C126" s="140" t="s">
        <v>42</v>
      </c>
      <c r="D126" s="140" t="s">
        <v>44</v>
      </c>
      <c r="F126" s="140" t="s">
        <v>152</v>
      </c>
      <c r="G126" s="140" t="s">
        <v>43</v>
      </c>
    </row>
    <row r="127" spans="1:7" ht="15.75" customHeight="1" x14ac:dyDescent="0.3">
      <c r="B127" s="142" t="s">
        <v>27</v>
      </c>
      <c r="C127" s="139">
        <v>0.16914230953521803</v>
      </c>
      <c r="D127" s="139">
        <v>6.3787495482471993E-2</v>
      </c>
      <c r="F127" s="142" t="s">
        <v>27</v>
      </c>
      <c r="G127" s="156">
        <v>2.6946564885496183</v>
      </c>
    </row>
    <row r="128" spans="1:7" ht="15.75" customHeight="1" x14ac:dyDescent="0.3">
      <c r="B128" s="142" t="s">
        <v>176</v>
      </c>
      <c r="C128" s="139">
        <v>0.25610948191593352</v>
      </c>
      <c r="D128" s="139">
        <v>8.370607028753993E-2</v>
      </c>
      <c r="F128" s="142" t="s">
        <v>176</v>
      </c>
      <c r="G128" s="156">
        <v>2.165289256198347</v>
      </c>
    </row>
    <row r="129" spans="2:7" ht="15.75" customHeight="1" x14ac:dyDescent="0.3">
      <c r="B129" s="142" t="s">
        <v>177</v>
      </c>
      <c r="C129" s="139">
        <v>0.21052631578947367</v>
      </c>
      <c r="D129" s="139">
        <v>5.1376146788990829E-2</v>
      </c>
      <c r="F129" s="142" t="s">
        <v>177</v>
      </c>
      <c r="G129" s="156">
        <v>3.6129032258064515</v>
      </c>
    </row>
    <row r="130" spans="2:7" ht="15.75" customHeight="1" x14ac:dyDescent="0.3">
      <c r="B130" s="142" t="s">
        <v>178</v>
      </c>
      <c r="C130" s="139">
        <v>0.17745620715917745</v>
      </c>
      <c r="D130" s="139">
        <v>8.454281567489115E-2</v>
      </c>
      <c r="F130" s="142" t="s">
        <v>178</v>
      </c>
      <c r="G130" s="156">
        <v>3.640625</v>
      </c>
    </row>
    <row r="131" spans="2:7" ht="15.75" customHeight="1" x14ac:dyDescent="0.3">
      <c r="B131" s="142" t="s">
        <v>179</v>
      </c>
      <c r="C131" s="139">
        <v>-0.32439678284182305</v>
      </c>
      <c r="D131" s="139">
        <v>-9.8775510204081637E-2</v>
      </c>
      <c r="F131" s="142" t="s">
        <v>179</v>
      </c>
      <c r="G131" s="156">
        <v>-0.48987854251012147</v>
      </c>
    </row>
    <row r="132" spans="2:7" ht="15.75" customHeight="1" x14ac:dyDescent="0.3">
      <c r="B132" s="142" t="s">
        <v>180</v>
      </c>
      <c r="C132" s="139">
        <v>4.8717948717948718E-2</v>
      </c>
      <c r="D132" s="139">
        <v>1.4925373134328358E-2</v>
      </c>
      <c r="F132" s="142" t="s">
        <v>180</v>
      </c>
      <c r="G132" s="156">
        <v>0.95</v>
      </c>
    </row>
    <row r="133" spans="2:7" ht="15.75" customHeight="1" x14ac:dyDescent="0.3">
      <c r="B133" s="142" t="s">
        <v>181</v>
      </c>
      <c r="C133" s="139">
        <v>0.34275618374558303</v>
      </c>
      <c r="D133" s="139">
        <v>0.18798449612403101</v>
      </c>
      <c r="F133" s="142" t="s">
        <v>181</v>
      </c>
      <c r="G133" s="156">
        <v>2.0638297872340425</v>
      </c>
    </row>
    <row r="134" spans="2:7" ht="15.75" customHeight="1" x14ac:dyDescent="0.3">
      <c r="B134" s="142" t="s">
        <v>182</v>
      </c>
      <c r="C134" s="139">
        <v>-2.3234761617380809E-2</v>
      </c>
      <c r="D134" s="139">
        <v>-1.383399209486166E-2</v>
      </c>
      <c r="F134" s="142" t="s">
        <v>182</v>
      </c>
      <c r="G134" s="156">
        <v>-0.36492890995260663</v>
      </c>
    </row>
    <row r="135" spans="2:7" ht="15.75" customHeight="1" x14ac:dyDescent="0.3">
      <c r="B135" s="142" t="s">
        <v>183</v>
      </c>
      <c r="F135" s="142" t="s">
        <v>183</v>
      </c>
    </row>
    <row r="136" spans="2:7" ht="15.75" customHeight="1" x14ac:dyDescent="0.3">
      <c r="B136" s="142" t="s">
        <v>184</v>
      </c>
      <c r="C136" s="139"/>
      <c r="D136" s="156"/>
      <c r="F136" s="142" t="s">
        <v>184</v>
      </c>
    </row>
    <row r="137" spans="2:7" ht="15.75" customHeight="1" x14ac:dyDescent="0.3">
      <c r="B137" s="127"/>
      <c r="C137" s="130"/>
      <c r="D137" s="130"/>
      <c r="G137" s="156"/>
    </row>
    <row r="138" spans="2:7" ht="15.75" customHeight="1" x14ac:dyDescent="0.3">
      <c r="B138" s="127" t="s">
        <v>185</v>
      </c>
      <c r="C138" s="130">
        <v>7.8137902559867883E-2</v>
      </c>
      <c r="D138" s="130">
        <v>3.2343516342661825E-2</v>
      </c>
      <c r="F138" s="127" t="s">
        <v>185</v>
      </c>
      <c r="G138" s="132">
        <v>0.67649687220732801</v>
      </c>
    </row>
    <row r="139" spans="2:7" ht="15.75" customHeight="1" x14ac:dyDescent="0.3"/>
    <row r="140" spans="2:7" ht="15.75" customHeight="1" x14ac:dyDescent="0.3"/>
    <row r="141" spans="2:7" ht="15.75" customHeight="1" x14ac:dyDescent="0.3"/>
    <row r="142" spans="2:7" ht="15.75" customHeight="1" x14ac:dyDescent="0.3"/>
    <row r="143" spans="2:7" ht="15.75" customHeight="1" x14ac:dyDescent="0.3"/>
    <row r="144" spans="2:7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:AL11" xr:uid="{00000000-0009-0000-0000-000000000000}"/>
  <conditionalFormatting sqref="C32:C41">
    <cfRule type="colorScale" priority="4">
      <colorScale>
        <cfvo type="min"/>
        <cfvo type="max"/>
        <color rgb="FFFFFFFF"/>
        <color rgb="FF57BB8A"/>
      </colorScale>
    </cfRule>
  </conditionalFormatting>
  <conditionalFormatting sqref="C62:C69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93:C102">
    <cfRule type="colorScale" priority="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27:C134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27:D134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61:G72 M61:N61 M92:N92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2:G39">
    <cfRule type="colorScale" priority="3">
      <colorScale>
        <cfvo type="min"/>
        <cfvo type="max"/>
        <color rgb="FFFFFFFF"/>
        <color rgb="FF57BB8A"/>
      </colorScale>
    </cfRule>
  </conditionalFormatting>
  <conditionalFormatting sqref="G127:G134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93:I100">
    <cfRule type="colorScale" priority="1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32:K39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62:N69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93:N100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32:O3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38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32:T39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32:U39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32:V39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W32:W39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32:X39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Y32:Y39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JUBILANTFOOD FAIRVALUE</vt:lpstr>
      <vt:lpstr>Restaurants 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2024-09-19T09:03:14Z</dcterms:created>
  <dcterms:modified xsi:type="dcterms:W3CDTF">2024-09-19T09:21:02Z</dcterms:modified>
</cp:coreProperties>
</file>