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D1641840-6ABE-40FD-B2FA-79188065ECF2}" xr6:coauthVersionLast="47" xr6:coauthVersionMax="47" xr10:uidLastSave="{00000000-0000-0000-0000-000000000000}"/>
  <bookViews>
    <workbookView xWindow="-108" yWindow="-108" windowWidth="23256" windowHeight="12456" xr2:uid="{DEA278C4-B8B6-4A4F-8389-DDCB33B05C5B}"/>
  </bookViews>
  <sheets>
    <sheet name="Reliance FAIRVALU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D89" i="1"/>
  <c r="C89" i="1"/>
  <c r="E89" i="1" s="1"/>
  <c r="D88" i="1"/>
  <c r="E88" i="1" s="1"/>
  <c r="C88" i="1"/>
  <c r="E87" i="1"/>
  <c r="C83" i="1"/>
  <c r="E78" i="1"/>
  <c r="J78" i="1" s="1"/>
  <c r="D78" i="1"/>
  <c r="D74" i="1" s="1"/>
  <c r="C78" i="1"/>
  <c r="C79" i="1" s="1"/>
  <c r="I71" i="1"/>
  <c r="H71" i="1"/>
  <c r="J71" i="1" s="1"/>
  <c r="D71" i="1"/>
  <c r="C71" i="1"/>
  <c r="E71" i="1" s="1"/>
  <c r="S70" i="1"/>
  <c r="R70" i="1"/>
  <c r="T63" i="1" s="1"/>
  <c r="I70" i="1"/>
  <c r="H70" i="1"/>
  <c r="J70" i="1" s="1"/>
  <c r="D70" i="1"/>
  <c r="E70" i="1" s="1"/>
  <c r="C70" i="1"/>
  <c r="J69" i="1"/>
  <c r="E69" i="1"/>
  <c r="J68" i="1"/>
  <c r="E68" i="1"/>
  <c r="AG67" i="1"/>
  <c r="AF67" i="1"/>
  <c r="Z67" i="1"/>
  <c r="Y67" i="1"/>
  <c r="AA67" i="1" s="1"/>
  <c r="X67" i="1"/>
  <c r="U67" i="1"/>
  <c r="J67" i="1"/>
  <c r="E67" i="1"/>
  <c r="U66" i="1"/>
  <c r="J66" i="1"/>
  <c r="E66" i="1"/>
  <c r="AA65" i="1"/>
  <c r="Z65" i="1"/>
  <c r="U65" i="1"/>
  <c r="J65" i="1"/>
  <c r="E65" i="1"/>
  <c r="AG64" i="1"/>
  <c r="AE64" i="1"/>
  <c r="AD64" i="1"/>
  <c r="AF64" i="1" s="1"/>
  <c r="AA64" i="1"/>
  <c r="Z64" i="1"/>
  <c r="U64" i="1"/>
  <c r="I64" i="1"/>
  <c r="D64" i="1"/>
  <c r="C64" i="1"/>
  <c r="E64" i="1" s="1"/>
  <c r="AF63" i="1"/>
  <c r="AA63" i="1"/>
  <c r="Z63" i="1"/>
  <c r="U63" i="1"/>
  <c r="J63" i="1"/>
  <c r="H63" i="1"/>
  <c r="H64" i="1" s="1"/>
  <c r="J64" i="1" s="1"/>
  <c r="E63" i="1"/>
  <c r="D63" i="1"/>
  <c r="C63" i="1"/>
  <c r="AG62" i="1"/>
  <c r="AF62" i="1"/>
  <c r="AA62" i="1"/>
  <c r="Z62" i="1"/>
  <c r="U62" i="1"/>
  <c r="J62" i="1"/>
  <c r="E62" i="1"/>
  <c r="AG61" i="1"/>
  <c r="AF61" i="1"/>
  <c r="AA61" i="1"/>
  <c r="Z61" i="1"/>
  <c r="U61" i="1"/>
  <c r="J61" i="1"/>
  <c r="E61" i="1"/>
  <c r="R58" i="1"/>
  <c r="G83" i="1" s="1"/>
  <c r="P58" i="1"/>
  <c r="R56" i="1"/>
  <c r="Q56" i="1"/>
  <c r="P56" i="1"/>
  <c r="N56" i="1"/>
  <c r="L53" i="1"/>
  <c r="J53" i="1"/>
  <c r="I53" i="1"/>
  <c r="G53" i="1"/>
  <c r="F53" i="1"/>
  <c r="E53" i="1"/>
  <c r="D53" i="1"/>
  <c r="C53" i="1"/>
  <c r="AE52" i="1"/>
  <c r="AB52" i="1"/>
  <c r="AA52" i="1"/>
  <c r="X52" i="1"/>
  <c r="W52" i="1"/>
  <c r="V52" i="1"/>
  <c r="R52" i="1"/>
  <c r="J52" i="1"/>
  <c r="I52" i="1"/>
  <c r="G52" i="1"/>
  <c r="F52" i="1"/>
  <c r="E52" i="1"/>
  <c r="D52" i="1"/>
  <c r="C52" i="1"/>
  <c r="X51" i="1"/>
  <c r="W51" i="1"/>
  <c r="V51" i="1"/>
  <c r="R51" i="1"/>
  <c r="J51" i="1"/>
  <c r="I51" i="1"/>
  <c r="H51" i="1"/>
  <c r="G51" i="1"/>
  <c r="F51" i="1"/>
  <c r="E51" i="1"/>
  <c r="D51" i="1"/>
  <c r="C51" i="1"/>
  <c r="R50" i="1"/>
  <c r="J50" i="1"/>
  <c r="I50" i="1"/>
  <c r="G50" i="1"/>
  <c r="F50" i="1"/>
  <c r="E50" i="1"/>
  <c r="D50" i="1"/>
  <c r="C50" i="1"/>
  <c r="J49" i="1"/>
  <c r="I49" i="1"/>
  <c r="F49" i="1"/>
  <c r="E49" i="1"/>
  <c r="D49" i="1"/>
  <c r="C49" i="1"/>
  <c r="N46" i="1"/>
  <c r="M46" i="1"/>
  <c r="O46" i="1" s="1"/>
  <c r="G46" i="1"/>
  <c r="G3" i="1" s="1"/>
  <c r="F46" i="1"/>
  <c r="D46" i="1"/>
  <c r="H46" i="1" s="1"/>
  <c r="C46" i="1"/>
  <c r="AE45" i="1"/>
  <c r="S45" i="1"/>
  <c r="S52" i="1" s="1"/>
  <c r="M45" i="1"/>
  <c r="M50" i="1" s="1"/>
  <c r="L45" i="1"/>
  <c r="K45" i="1"/>
  <c r="K53" i="1" s="1"/>
  <c r="H45" i="1"/>
  <c r="H53" i="1" s="1"/>
  <c r="O44" i="1"/>
  <c r="N44" i="1"/>
  <c r="M44" i="1"/>
  <c r="L44" i="1"/>
  <c r="K44" i="1"/>
  <c r="H44" i="1"/>
  <c r="N43" i="1"/>
  <c r="M43" i="1"/>
  <c r="O43" i="1" s="1"/>
  <c r="L43" i="1"/>
  <c r="K43" i="1"/>
  <c r="H43" i="1"/>
  <c r="O42" i="1"/>
  <c r="M42" i="1"/>
  <c r="N42" i="1" s="1"/>
  <c r="L42" i="1"/>
  <c r="L52" i="1" s="1"/>
  <c r="K42" i="1"/>
  <c r="H42" i="1"/>
  <c r="M41" i="1"/>
  <c r="O41" i="1" s="1"/>
  <c r="L41" i="1"/>
  <c r="K41" i="1"/>
  <c r="H41" i="1"/>
  <c r="O40" i="1"/>
  <c r="N40" i="1"/>
  <c r="M40" i="1"/>
  <c r="L40" i="1"/>
  <c r="K40" i="1"/>
  <c r="K52" i="1" s="1"/>
  <c r="H40" i="1"/>
  <c r="H52" i="1" s="1"/>
  <c r="N39" i="1"/>
  <c r="M39" i="1"/>
  <c r="O39" i="1" s="1"/>
  <c r="L39" i="1"/>
  <c r="K39" i="1"/>
  <c r="H39" i="1"/>
  <c r="O38" i="1"/>
  <c r="M38" i="1"/>
  <c r="N38" i="1" s="1"/>
  <c r="L38" i="1"/>
  <c r="K38" i="1"/>
  <c r="H38" i="1"/>
  <c r="M37" i="1"/>
  <c r="O37" i="1" s="1"/>
  <c r="L37" i="1"/>
  <c r="K37" i="1"/>
  <c r="H37" i="1"/>
  <c r="O36" i="1"/>
  <c r="N36" i="1"/>
  <c r="M36" i="1"/>
  <c r="L36" i="1"/>
  <c r="K36" i="1"/>
  <c r="K51" i="1" s="1"/>
  <c r="H36" i="1"/>
  <c r="N35" i="1"/>
  <c r="M35" i="1"/>
  <c r="O35" i="1" s="1"/>
  <c r="L35" i="1"/>
  <c r="L51" i="1" s="1"/>
  <c r="K35" i="1"/>
  <c r="H35" i="1"/>
  <c r="O34" i="1"/>
  <c r="M34" i="1"/>
  <c r="N34" i="1" s="1"/>
  <c r="L34" i="1"/>
  <c r="K34" i="1"/>
  <c r="H34" i="1"/>
  <c r="M33" i="1"/>
  <c r="O33" i="1" s="1"/>
  <c r="L33" i="1"/>
  <c r="K33" i="1"/>
  <c r="H33" i="1"/>
  <c r="R32" i="1"/>
  <c r="O32" i="1"/>
  <c r="M32" i="1"/>
  <c r="N32" i="1" s="1"/>
  <c r="L32" i="1"/>
  <c r="K32" i="1"/>
  <c r="H32" i="1"/>
  <c r="R31" i="1"/>
  <c r="O31" i="1"/>
  <c r="N31" i="1"/>
  <c r="M31" i="1"/>
  <c r="L31" i="1"/>
  <c r="K31" i="1"/>
  <c r="H31" i="1"/>
  <c r="R30" i="1"/>
  <c r="M30" i="1"/>
  <c r="O30" i="1" s="1"/>
  <c r="L30" i="1"/>
  <c r="K30" i="1"/>
  <c r="H30" i="1"/>
  <c r="M29" i="1"/>
  <c r="N29" i="1" s="1"/>
  <c r="L29" i="1"/>
  <c r="K29" i="1"/>
  <c r="H29" i="1"/>
  <c r="O28" i="1"/>
  <c r="N28" i="1"/>
  <c r="M28" i="1"/>
  <c r="L28" i="1"/>
  <c r="K28" i="1"/>
  <c r="H28" i="1"/>
  <c r="O27" i="1"/>
  <c r="M27" i="1"/>
  <c r="N27" i="1" s="1"/>
  <c r="L27" i="1"/>
  <c r="L50" i="1" s="1"/>
  <c r="K27" i="1"/>
  <c r="H27" i="1"/>
  <c r="M26" i="1"/>
  <c r="O26" i="1" s="1"/>
  <c r="L26" i="1"/>
  <c r="K26" i="1"/>
  <c r="H26" i="1"/>
  <c r="M25" i="1"/>
  <c r="N25" i="1" s="1"/>
  <c r="L25" i="1"/>
  <c r="K25" i="1"/>
  <c r="K50" i="1" s="1"/>
  <c r="H25" i="1"/>
  <c r="H50" i="1" s="1"/>
  <c r="O24" i="1"/>
  <c r="N24" i="1"/>
  <c r="M24" i="1"/>
  <c r="L24" i="1"/>
  <c r="K24" i="1"/>
  <c r="H24" i="1"/>
  <c r="O23" i="1"/>
  <c r="M23" i="1"/>
  <c r="N23" i="1" s="1"/>
  <c r="L23" i="1"/>
  <c r="K23" i="1"/>
  <c r="H23" i="1"/>
  <c r="M22" i="1"/>
  <c r="O22" i="1" s="1"/>
  <c r="L22" i="1"/>
  <c r="K22" i="1"/>
  <c r="H22" i="1"/>
  <c r="M21" i="1"/>
  <c r="N21" i="1" s="1"/>
  <c r="L21" i="1"/>
  <c r="K21" i="1"/>
  <c r="H21" i="1"/>
  <c r="O20" i="1"/>
  <c r="N20" i="1"/>
  <c r="M20" i="1"/>
  <c r="H20" i="1"/>
  <c r="G20" i="1"/>
  <c r="L20" i="1" s="1"/>
  <c r="M19" i="1"/>
  <c r="O19" i="1" s="1"/>
  <c r="H19" i="1"/>
  <c r="G19" i="1"/>
  <c r="K19" i="1" s="1"/>
  <c r="O18" i="1"/>
  <c r="M18" i="1"/>
  <c r="N18" i="1" s="1"/>
  <c r="L18" i="1"/>
  <c r="H18" i="1"/>
  <c r="G18" i="1"/>
  <c r="K18" i="1" s="1"/>
  <c r="O17" i="1"/>
  <c r="N17" i="1"/>
  <c r="M17" i="1"/>
  <c r="K17" i="1"/>
  <c r="H17" i="1"/>
  <c r="G17" i="1"/>
  <c r="L17" i="1" s="1"/>
  <c r="M16" i="1"/>
  <c r="O16" i="1" s="1"/>
  <c r="K16" i="1"/>
  <c r="H16" i="1"/>
  <c r="H49" i="1" s="1"/>
  <c r="G16" i="1"/>
  <c r="L16" i="1" s="1"/>
  <c r="N15" i="1"/>
  <c r="M15" i="1"/>
  <c r="O15" i="1" s="1"/>
  <c r="H15" i="1"/>
  <c r="G15" i="1"/>
  <c r="G49" i="1" s="1"/>
  <c r="M14" i="1"/>
  <c r="N14" i="1" s="1"/>
  <c r="L14" i="1"/>
  <c r="K14" i="1"/>
  <c r="H14" i="1"/>
  <c r="G14" i="1"/>
  <c r="O13" i="1"/>
  <c r="M13" i="1"/>
  <c r="N13" i="1" s="1"/>
  <c r="L13" i="1"/>
  <c r="K13" i="1"/>
  <c r="H13" i="1"/>
  <c r="G13" i="1"/>
  <c r="O12" i="1"/>
  <c r="N12" i="1"/>
  <c r="M12" i="1"/>
  <c r="H12" i="1"/>
  <c r="G12" i="1"/>
  <c r="L12" i="1" s="1"/>
  <c r="V9" i="1"/>
  <c r="U9" i="1"/>
  <c r="N9" i="1"/>
  <c r="K9" i="1"/>
  <c r="H9" i="1"/>
  <c r="G9" i="1"/>
  <c r="E9" i="1"/>
  <c r="D9" i="1"/>
  <c r="C9" i="1"/>
  <c r="B9" i="1"/>
  <c r="U5" i="1"/>
  <c r="T5" i="1"/>
  <c r="S5" i="1"/>
  <c r="R5" i="1"/>
  <c r="Q5" i="1"/>
  <c r="P5" i="1"/>
  <c r="O5" i="1"/>
  <c r="N5" i="1"/>
  <c r="M5" i="1"/>
  <c r="J5" i="1"/>
  <c r="I5" i="1"/>
  <c r="H5" i="1"/>
  <c r="E5" i="1"/>
  <c r="C5" i="1"/>
  <c r="V4" i="1"/>
  <c r="L4" i="1"/>
  <c r="K4" i="1"/>
  <c r="K5" i="1" s="1"/>
  <c r="D4" i="1"/>
  <c r="V3" i="1"/>
  <c r="V5" i="1" s="1"/>
  <c r="L3" i="1"/>
  <c r="F9" i="1" s="1"/>
  <c r="K3" i="1"/>
  <c r="F3" i="1"/>
  <c r="J9" i="1" s="1"/>
  <c r="E3" i="1"/>
  <c r="D3" i="1"/>
  <c r="D5" i="1" s="1"/>
  <c r="C3" i="1"/>
  <c r="Q58" i="1" s="1"/>
  <c r="F75" i="1" l="1"/>
  <c r="J79" i="1"/>
  <c r="O51" i="1"/>
  <c r="C80" i="1"/>
  <c r="D79" i="1"/>
  <c r="M9" i="1"/>
  <c r="L9" i="1"/>
  <c r="G5" i="1"/>
  <c r="L5" i="1"/>
  <c r="O9" i="1"/>
  <c r="O14" i="1"/>
  <c r="L19" i="1"/>
  <c r="O21" i="1"/>
  <c r="O25" i="1"/>
  <c r="O29" i="1"/>
  <c r="O49" i="1" s="1"/>
  <c r="M52" i="1"/>
  <c r="T68" i="1"/>
  <c r="F78" i="1"/>
  <c r="F5" i="1"/>
  <c r="I9" i="1"/>
  <c r="N19" i="1"/>
  <c r="N33" i="1"/>
  <c r="N37" i="1"/>
  <c r="N51" i="1" s="1"/>
  <c r="N41" i="1"/>
  <c r="N45" i="1"/>
  <c r="N53" i="1" s="1"/>
  <c r="M49" i="1"/>
  <c r="S51" i="1"/>
  <c r="T64" i="1"/>
  <c r="T66" i="1"/>
  <c r="K15" i="1"/>
  <c r="K49" i="1" s="1"/>
  <c r="O45" i="1"/>
  <c r="O53" i="1" s="1"/>
  <c r="K46" i="1"/>
  <c r="S50" i="1"/>
  <c r="T70" i="1"/>
  <c r="L15" i="1"/>
  <c r="L49" i="1" s="1"/>
  <c r="H78" i="1" s="1"/>
  <c r="E83" i="1" s="1"/>
  <c r="L46" i="1"/>
  <c r="T61" i="1"/>
  <c r="T62" i="1"/>
  <c r="T65" i="1"/>
  <c r="U70" i="1"/>
  <c r="N16" i="1"/>
  <c r="N49" i="1" s="1"/>
  <c r="N22" i="1"/>
  <c r="N26" i="1"/>
  <c r="N50" i="1" s="1"/>
  <c r="N30" i="1"/>
  <c r="M53" i="1"/>
  <c r="K12" i="1"/>
  <c r="K20" i="1"/>
  <c r="M51" i="1"/>
  <c r="S56" i="1"/>
  <c r="P9" i="1" s="1"/>
  <c r="T67" i="1"/>
  <c r="N54" i="1" l="1"/>
  <c r="L78" i="1" s="1"/>
  <c r="K78" i="1"/>
  <c r="M78" i="1"/>
  <c r="F83" i="1" s="1"/>
  <c r="H83" i="1" s="1"/>
  <c r="N52" i="1"/>
  <c r="O52" i="1"/>
  <c r="K54" i="1"/>
  <c r="G78" i="1" s="1"/>
  <c r="O50" i="1"/>
  <c r="M79" i="1" s="1"/>
  <c r="D80" i="1"/>
  <c r="E79" i="1"/>
  <c r="J80" i="1"/>
  <c r="L79" i="1"/>
  <c r="K79" i="1"/>
  <c r="M80" i="1" l="1"/>
  <c r="L80" i="1"/>
  <c r="K80" i="1"/>
  <c r="H79" i="1"/>
  <c r="E80" i="1"/>
  <c r="G79" i="1"/>
  <c r="F79" i="1"/>
  <c r="H80" i="1" l="1"/>
  <c r="G80" i="1"/>
  <c r="F80" i="1"/>
</calcChain>
</file>

<file path=xl/sharedStrings.xml><?xml version="1.0" encoding="utf-8"?>
<sst xmlns="http://schemas.openxmlformats.org/spreadsheetml/2006/main" count="325" uniqueCount="210">
  <si>
    <t>TRAIL</t>
  </si>
  <si>
    <t>CASHFLOW</t>
  </si>
  <si>
    <t>DATA</t>
  </si>
  <si>
    <t>Company</t>
  </si>
  <si>
    <t>Price</t>
  </si>
  <si>
    <t>Marketcap</t>
  </si>
  <si>
    <t>Sales</t>
  </si>
  <si>
    <t>Profit</t>
  </si>
  <si>
    <t>TRAIL_EPS</t>
  </si>
  <si>
    <t>FV</t>
  </si>
  <si>
    <t>Equity</t>
  </si>
  <si>
    <t>TOTAL EQU</t>
  </si>
  <si>
    <t>DEBT</t>
  </si>
  <si>
    <t>LEASE</t>
  </si>
  <si>
    <t>CUR.ASSETS</t>
  </si>
  <si>
    <t>CUR.LIABILITIES</t>
  </si>
  <si>
    <t>ASSETS</t>
  </si>
  <si>
    <t>LIABILITIES</t>
  </si>
  <si>
    <t>TRADE REC</t>
  </si>
  <si>
    <t>PPE</t>
  </si>
  <si>
    <t>CFO</t>
  </si>
  <si>
    <t>CFI</t>
  </si>
  <si>
    <t>CFF</t>
  </si>
  <si>
    <t>NET CF</t>
  </si>
  <si>
    <t>RELIANCE</t>
  </si>
  <si>
    <t>LAST YEAR</t>
  </si>
  <si>
    <t>GROWTH</t>
  </si>
  <si>
    <t>LIQUIDITY</t>
  </si>
  <si>
    <t>SOLVENCY</t>
  </si>
  <si>
    <t>PROFITABILITY</t>
  </si>
  <si>
    <t>VALUATIONS</t>
  </si>
  <si>
    <t>KPI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</si>
  <si>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</si>
  <si>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</si>
  <si>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</si>
  <si>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</si>
  <si>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</si>
  <si>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</si>
  <si>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</si>
  <si>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</si>
  <si>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ROA</t>
  </si>
  <si>
    <t>ROPE</t>
  </si>
  <si>
    <t>TRAIL_PE.</t>
  </si>
  <si>
    <t>YIELD</t>
  </si>
  <si>
    <t>BOOKVALUE</t>
  </si>
  <si>
    <t>PBV</t>
  </si>
  <si>
    <t>PEG</t>
  </si>
  <si>
    <t>June_25</t>
  </si>
  <si>
    <t>March_25</t>
  </si>
  <si>
    <t>CHANGE</t>
  </si>
  <si>
    <t>Change %</t>
  </si>
  <si>
    <t>NETDEBT</t>
  </si>
  <si>
    <t>History</t>
  </si>
  <si>
    <t>Years</t>
  </si>
  <si>
    <t>Revenue</t>
  </si>
  <si>
    <t>Net Profit</t>
  </si>
  <si>
    <t>Reserves</t>
  </si>
  <si>
    <t>EPS</t>
  </si>
  <si>
    <t>NPM %</t>
  </si>
  <si>
    <t>Low Price</t>
  </si>
  <si>
    <t>High Price</t>
  </si>
  <si>
    <t>Low P/E</t>
  </si>
  <si>
    <t>High P/E</t>
  </si>
  <si>
    <t>BookValue</t>
  </si>
  <si>
    <t>Low PBV</t>
  </si>
  <si>
    <t>High PBV</t>
  </si>
  <si>
    <t>FY_1992</t>
  </si>
  <si>
    <t>FY_1993</t>
  </si>
  <si>
    <t>FY_1994</t>
  </si>
  <si>
    <t>FY_1995</t>
  </si>
  <si>
    <t>FY_1996</t>
  </si>
  <si>
    <t>FY_1997</t>
  </si>
  <si>
    <t>FY_1998</t>
  </si>
  <si>
    <t>FY_1999</t>
  </si>
  <si>
    <t>FY_2000</t>
  </si>
  <si>
    <t>FY_2001</t>
  </si>
  <si>
    <t>FY_2002</t>
  </si>
  <si>
    <t>FY_2003</t>
  </si>
  <si>
    <t>FY_2004</t>
  </si>
  <si>
    <t>FY_2005</t>
  </si>
  <si>
    <t>FY_2006</t>
  </si>
  <si>
    <t>FY_2007</t>
  </si>
  <si>
    <t>FY_2008</t>
  </si>
  <si>
    <t>RETAIL</t>
  </si>
  <si>
    <t>O2C</t>
  </si>
  <si>
    <t>FY_2009</t>
  </si>
  <si>
    <t xml:space="preserve">STORE </t>
  </si>
  <si>
    <t>REVENUE CR</t>
  </si>
  <si>
    <t>REVENUE</t>
  </si>
  <si>
    <t>2010 (Bonus)*2</t>
  </si>
  <si>
    <t>FY_2011</t>
  </si>
  <si>
    <t>FY_2012</t>
  </si>
  <si>
    <t>FY_2013</t>
  </si>
  <si>
    <t>FY_2014</t>
  </si>
  <si>
    <t>FY_2015</t>
  </si>
  <si>
    <t>FY_2016</t>
  </si>
  <si>
    <t>JIO</t>
  </si>
  <si>
    <t>in Cr</t>
  </si>
  <si>
    <t>FY_2017</t>
  </si>
  <si>
    <t>SUBSCRIBER CR</t>
  </si>
  <si>
    <t>ARPU</t>
  </si>
  <si>
    <t>2018 (Bonus)*2</t>
  </si>
  <si>
    <t>MEDIA</t>
  </si>
  <si>
    <t>FY_2019</t>
  </si>
  <si>
    <t>VIEWER SHARE</t>
  </si>
  <si>
    <t>FY_2020</t>
  </si>
  <si>
    <t>FY_2021</t>
  </si>
  <si>
    <t>FY_2022</t>
  </si>
  <si>
    <t>FY_2023</t>
  </si>
  <si>
    <t>FY_2024</t>
  </si>
  <si>
    <t>FY 2025 (Bonus)*2</t>
  </si>
  <si>
    <t>Trail FY_26</t>
  </si>
  <si>
    <t>STORE</t>
  </si>
  <si>
    <t>MSHARE</t>
  </si>
  <si>
    <t>Growth</t>
  </si>
  <si>
    <t>30 YEAR</t>
  </si>
  <si>
    <t>Growth 30 Years</t>
  </si>
  <si>
    <t>20 YEAR</t>
  </si>
  <si>
    <t>Growth 20 Years</t>
  </si>
  <si>
    <t>10 YEAR</t>
  </si>
  <si>
    <t>Growth 10 Years</t>
  </si>
  <si>
    <t>5 YEAR</t>
  </si>
  <si>
    <t>Growth 5 Years</t>
  </si>
  <si>
    <t>Trend</t>
  </si>
  <si>
    <t>H1_FY_25</t>
  </si>
  <si>
    <t>9M_FY_25</t>
  </si>
  <si>
    <t>FY_25</t>
  </si>
  <si>
    <t>Q1_FY_26</t>
  </si>
  <si>
    <t>FY_26</t>
  </si>
  <si>
    <t>YEAR</t>
  </si>
  <si>
    <t>Q2_FY_25</t>
  </si>
  <si>
    <t>Q3_FY_25</t>
  </si>
  <si>
    <t>Q4_FY_25</t>
  </si>
  <si>
    <t>TRAIL_FY26</t>
  </si>
  <si>
    <t>EPS_25</t>
  </si>
  <si>
    <t>T_EPS_25</t>
  </si>
  <si>
    <t>F_EPS_26</t>
  </si>
  <si>
    <t>F_PEG</t>
  </si>
  <si>
    <t>PE_25</t>
  </si>
  <si>
    <t>T_PE_25</t>
  </si>
  <si>
    <t>F_PE_25</t>
  </si>
  <si>
    <t>MARGIN</t>
  </si>
  <si>
    <t>Q</t>
  </si>
  <si>
    <t>RESULT</t>
  </si>
  <si>
    <t>Q1_FY_25</t>
  </si>
  <si>
    <t>Q4_FY_24</t>
  </si>
  <si>
    <t>FY_24</t>
  </si>
  <si>
    <t>MajorCost</t>
  </si>
  <si>
    <t>Share</t>
  </si>
  <si>
    <t>Growth %</t>
  </si>
  <si>
    <t>SEGMENT</t>
  </si>
  <si>
    <t>PROFITS</t>
  </si>
  <si>
    <t>RawMaterial</t>
  </si>
  <si>
    <t>Retail</t>
  </si>
  <si>
    <t>Expenditure</t>
  </si>
  <si>
    <t>StockinTrade</t>
  </si>
  <si>
    <t>DigitalServices</t>
  </si>
  <si>
    <t>EBITDA</t>
  </si>
  <si>
    <t>Otherexp</t>
  </si>
  <si>
    <t>Media</t>
  </si>
  <si>
    <t>EBITDA %</t>
  </si>
  <si>
    <t>D&amp;A</t>
  </si>
  <si>
    <t>Others</t>
  </si>
  <si>
    <t>Interest</t>
  </si>
  <si>
    <t>Employee</t>
  </si>
  <si>
    <t>Oil&amp;GAS</t>
  </si>
  <si>
    <t>PBT</t>
  </si>
  <si>
    <t>Finance</t>
  </si>
  <si>
    <t>Excise</t>
  </si>
  <si>
    <t>GROSS VALUE</t>
  </si>
  <si>
    <t>TOTAL</t>
  </si>
  <si>
    <t>Inventory</t>
  </si>
  <si>
    <t>Margin</t>
  </si>
  <si>
    <t>Total</t>
  </si>
  <si>
    <t>Estimates</t>
  </si>
  <si>
    <t>Total Income</t>
  </si>
  <si>
    <t>FY_2026</t>
  </si>
  <si>
    <t>LongTerm</t>
  </si>
  <si>
    <t>Expectation</t>
  </si>
  <si>
    <t>LOW PRICE RANGE</t>
  </si>
  <si>
    <t>FAIRVALUE</t>
  </si>
  <si>
    <t>HIGH PRICE RANGE</t>
  </si>
  <si>
    <t>EST_FY_26</t>
  </si>
  <si>
    <t>EST_FY_30</t>
  </si>
  <si>
    <t>EST_FY_35</t>
  </si>
  <si>
    <t>WEIGHTAGE</t>
  </si>
  <si>
    <t>WEIGHTAGE @ EPS</t>
  </si>
  <si>
    <t>WEIGHTAGE @ BV</t>
  </si>
  <si>
    <t>WEIGHTAGE @ PEG</t>
  </si>
  <si>
    <t>ACTUAL WEIGHTAGE</t>
  </si>
  <si>
    <t>SHP</t>
  </si>
  <si>
    <t>ANNUAL</t>
  </si>
  <si>
    <t>PROMOTER</t>
  </si>
  <si>
    <t>MF</t>
  </si>
  <si>
    <t>FII</t>
  </si>
  <si>
    <t>others</t>
  </si>
  <si>
    <t>BADDEBTS2AR</t>
  </si>
  <si>
    <t>Bad debts to Account receivable ratio</t>
  </si>
  <si>
    <t>Bad Debts /AverageTrade Receivables</t>
  </si>
  <si>
    <t>CLR</t>
  </si>
  <si>
    <t>Current liability ratio</t>
  </si>
  <si>
    <t>Total Current Liabilities/ Total Liabilities</t>
  </si>
  <si>
    <t>DEBT2ASSET</t>
  </si>
  <si>
    <t>Total debts to total assets</t>
  </si>
  <si>
    <t>Total Debt /Total Assets</t>
  </si>
  <si>
    <t>DEBTORRATIO</t>
  </si>
  <si>
    <t>Debtors turnover</t>
  </si>
  <si>
    <t>Value of Sales &amp; Services /Average Trade Receivables</t>
  </si>
  <si>
    <t>Inventory turnover</t>
  </si>
  <si>
    <t>Cost of Goods Sold /Average Inventories of Finished Goods, Stock-in-Process and Stock-in-Trade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</si>
</sst>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%"/>
    <numFmt numFmtId="165" formatCode="0.0"/>
    <numFmt numFmtId="166" formatCode="#,##0.0"/>
    <numFmt numFmtId="167" formatCode="_ * #,##0_ ;_ * \-#,##0_ ;_ * &quot;-&quot;??_ ;_ @_ "/>
    <numFmt numFmtId="168" formatCode="_ * #,##0.0_ ;_ * \-#,##0.0_ ;_ * &quot;-&quot;??_ ;_ @_ "/>
    <numFmt numFmtId="169" formatCode="#,##0;\(#,##0\)"/>
  </numFmts>
  <fonts count="21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FFFF"/>
      <name val="Arial"/>
    </font>
    <font>
      <sz val="11"/>
      <color theme="1"/>
      <name val="Arial"/>
    </font>
    <font>
      <b/>
      <i/>
      <sz val="11"/>
      <color theme="1"/>
      <name val="Calibri"/>
    </font>
    <font>
      <b/>
      <sz val="11"/>
      <color rgb="FFFFFFFF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rgb="FFFFFFFF"/>
      <name val="Calibri"/>
    </font>
    <font>
      <sz val="11"/>
      <color rgb="FF9C0006"/>
      <name val="Times New Roman"/>
    </font>
    <font>
      <b/>
      <i/>
      <sz val="11"/>
      <color theme="1"/>
      <name val="Calibri"/>
      <scheme val="minor"/>
    </font>
    <font>
      <b/>
      <sz val="14"/>
      <color rgb="FFFFFFFF"/>
      <name val="Calibri"/>
    </font>
    <font>
      <sz val="11"/>
      <color rgb="FF000000"/>
      <name val="Calibri"/>
    </font>
    <font>
      <sz val="29"/>
      <color theme="1"/>
      <name val="Calibri"/>
      <scheme val="minor"/>
    </font>
    <font>
      <i/>
      <sz val="11"/>
      <color theme="1"/>
      <name val="Calibri"/>
      <scheme val="minor"/>
    </font>
    <font>
      <i/>
      <sz val="11"/>
      <color theme="1"/>
      <name val="Arial"/>
    </font>
    <font>
      <i/>
      <sz val="11"/>
      <color rgb="FF0C0C0C"/>
      <name val="Times New Roman"/>
    </font>
    <font>
      <b/>
      <sz val="9"/>
      <color rgb="FFFFFFFF"/>
      <name val="Times New Roman"/>
    </font>
    <font>
      <sz val="11"/>
      <color theme="1"/>
      <name val="Source Code Pro"/>
    </font>
  </fonts>
  <fills count="21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D9D9D9"/>
        <bgColor rgb="FFD9D9D9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6BC498"/>
        <bgColor rgb="FF6BC498"/>
      </patternFill>
    </fill>
    <fill>
      <patternFill patternType="solid">
        <fgColor rgb="FFFFFFFF"/>
        <bgColor rgb="FFFFFFFF"/>
      </patternFill>
    </fill>
    <fill>
      <patternFill patternType="solid">
        <fgColor rgb="FF4F81BD"/>
        <bgColor rgb="FF4F81BD"/>
      </patternFill>
    </fill>
    <fill>
      <patternFill patternType="solid">
        <fgColor rgb="FFE5B8B7"/>
        <bgColor rgb="FFE5B8B7"/>
      </patternFill>
    </fill>
    <fill>
      <patternFill patternType="solid">
        <fgColor rgb="FFE6B8AF"/>
        <bgColor rgb="FFE6B8AF"/>
      </patternFill>
    </fill>
    <fill>
      <patternFill patternType="solid">
        <fgColor rgb="FF073763"/>
        <bgColor rgb="FF073763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57BB8A"/>
        <bgColor rgb="FF57BB8A"/>
      </patternFill>
    </fill>
    <fill>
      <patternFill patternType="solid">
        <fgColor rgb="FF92D3B3"/>
        <bgColor rgb="FF92D3B3"/>
      </patternFill>
    </fill>
    <fill>
      <patternFill patternType="solid">
        <fgColor rgb="FFC9DAF8"/>
        <bgColor rgb="FFC9DAF8"/>
      </patternFill>
    </fill>
    <fill>
      <patternFill patternType="solid">
        <fgColor rgb="FF0C343D"/>
        <bgColor rgb="FF0C343D"/>
      </patternFill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8DD1B0"/>
        <bgColor rgb="FF8DD1B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2" borderId="0" xfId="0" applyFont="1" applyFill="1"/>
    <xf numFmtId="0" fontId="1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1" fontId="2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1" fontId="1" fillId="0" borderId="2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5" fillId="3" borderId="5" xfId="0" applyFont="1" applyFill="1" applyBorder="1"/>
    <xf numFmtId="164" fontId="5" fillId="3" borderId="5" xfId="0" applyNumberFormat="1" applyFont="1" applyFill="1" applyBorder="1"/>
    <xf numFmtId="9" fontId="5" fillId="3" borderId="5" xfId="0" applyNumberFormat="1" applyFont="1" applyFill="1" applyBorder="1"/>
    <xf numFmtId="164" fontId="5" fillId="3" borderId="5" xfId="0" applyNumberFormat="1" applyFont="1" applyFill="1" applyBorder="1" applyAlignment="1">
      <alignment horizontal="right"/>
    </xf>
    <xf numFmtId="9" fontId="3" fillId="2" borderId="0" xfId="0" applyNumberFormat="1" applyFont="1" applyFill="1"/>
    <xf numFmtId="165" fontId="3" fillId="2" borderId="0" xfId="0" applyNumberFormat="1" applyFont="1" applyFill="1"/>
    <xf numFmtId="166" fontId="3" fillId="2" borderId="0" xfId="0" applyNumberFormat="1" applyFont="1" applyFill="1"/>
    <xf numFmtId="3" fontId="3" fillId="2" borderId="0" xfId="0" applyNumberFormat="1" applyFont="1" applyFill="1"/>
    <xf numFmtId="164" fontId="3" fillId="2" borderId="0" xfId="0" applyNumberFormat="1" applyFont="1" applyFill="1"/>
    <xf numFmtId="0" fontId="6" fillId="4" borderId="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right"/>
    </xf>
    <xf numFmtId="165" fontId="4" fillId="5" borderId="1" xfId="0" applyNumberFormat="1" applyFont="1" applyFill="1" applyBorder="1" applyAlignment="1">
      <alignment horizontal="right"/>
    </xf>
    <xf numFmtId="166" fontId="4" fillId="5" borderId="1" xfId="0" applyNumberFormat="1" applyFont="1" applyFill="1" applyBorder="1" applyAlignment="1">
      <alignment horizontal="right"/>
    </xf>
    <xf numFmtId="9" fontId="4" fillId="5" borderId="1" xfId="0" applyNumberFormat="1" applyFont="1" applyFill="1" applyBorder="1" applyAlignment="1">
      <alignment horizontal="right"/>
    </xf>
    <xf numFmtId="1" fontId="4" fillId="5" borderId="1" xfId="0" applyNumberFormat="1" applyFon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right"/>
    </xf>
    <xf numFmtId="0" fontId="1" fillId="6" borderId="1" xfId="0" applyFont="1" applyFill="1" applyBorder="1"/>
    <xf numFmtId="10" fontId="1" fillId="0" borderId="1" xfId="0" applyNumberFormat="1" applyFont="1" applyBorder="1"/>
    <xf numFmtId="10" fontId="1" fillId="0" borderId="0" xfId="0" applyNumberFormat="1" applyFont="1"/>
    <xf numFmtId="0" fontId="7" fillId="7" borderId="1" xfId="0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43" fontId="9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/>
    <xf numFmtId="165" fontId="1" fillId="0" borderId="1" xfId="0" applyNumberFormat="1" applyFont="1" applyBorder="1"/>
    <xf numFmtId="43" fontId="8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 wrapText="1"/>
    </xf>
    <xf numFmtId="168" fontId="8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>
      <alignment horizontal="right" vertical="center"/>
    </xf>
    <xf numFmtId="0" fontId="10" fillId="8" borderId="1" xfId="0" applyFont="1" applyFill="1" applyBorder="1"/>
    <xf numFmtId="1" fontId="8" fillId="0" borderId="1" xfId="0" applyNumberFormat="1" applyFont="1" applyBorder="1" applyAlignment="1">
      <alignment horizontal="right" vertical="center" wrapText="1"/>
    </xf>
    <xf numFmtId="167" fontId="8" fillId="9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8" fillId="7" borderId="1" xfId="0" applyFont="1" applyFill="1" applyBorder="1" applyAlignment="1">
      <alignment horizontal="left" vertical="center"/>
    </xf>
    <xf numFmtId="167" fontId="8" fillId="9" borderId="1" xfId="0" applyNumberFormat="1" applyFont="1" applyFill="1" applyBorder="1" applyAlignment="1">
      <alignment horizontal="right" vertical="center" wrapText="1"/>
    </xf>
    <xf numFmtId="1" fontId="11" fillId="9" borderId="1" xfId="0" applyNumberFormat="1" applyFont="1" applyFill="1" applyBorder="1" applyAlignment="1">
      <alignment horizontal="right" vertical="center" wrapText="1"/>
    </xf>
    <xf numFmtId="164" fontId="1" fillId="0" borderId="0" xfId="0" applyNumberFormat="1" applyFont="1"/>
    <xf numFmtId="1" fontId="1" fillId="0" borderId="0" xfId="0" applyNumberFormat="1" applyFont="1"/>
    <xf numFmtId="1" fontId="9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" fontId="9" fillId="10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/>
    <xf numFmtId="3" fontId="1" fillId="0" borderId="1" xfId="0" applyNumberFormat="1" applyFont="1" applyBorder="1"/>
    <xf numFmtId="166" fontId="1" fillId="0" borderId="0" xfId="0" applyNumberFormat="1" applyFont="1"/>
    <xf numFmtId="0" fontId="6" fillId="11" borderId="1" xfId="0" applyFont="1" applyFill="1" applyBorder="1" applyAlignment="1">
      <alignment horizontal="left" vertical="center" wrapText="1"/>
    </xf>
    <xf numFmtId="164" fontId="12" fillId="12" borderId="1" xfId="0" applyNumberFormat="1" applyFont="1" applyFill="1" applyBorder="1"/>
    <xf numFmtId="166" fontId="12" fillId="12" borderId="1" xfId="0" applyNumberFormat="1" applyFont="1" applyFill="1" applyBorder="1"/>
    <xf numFmtId="0" fontId="1" fillId="13" borderId="0" xfId="0" applyFont="1" applyFill="1"/>
    <xf numFmtId="9" fontId="1" fillId="0" borderId="1" xfId="0" applyNumberFormat="1" applyFont="1" applyBorder="1"/>
    <xf numFmtId="10" fontId="1" fillId="12" borderId="1" xfId="0" applyNumberFormat="1" applyFont="1" applyFill="1" applyBorder="1"/>
    <xf numFmtId="164" fontId="1" fillId="12" borderId="1" xfId="0" applyNumberFormat="1" applyFont="1" applyFill="1" applyBorder="1"/>
    <xf numFmtId="165" fontId="1" fillId="12" borderId="1" xfId="0" applyNumberFormat="1" applyFont="1" applyFill="1" applyBorder="1"/>
    <xf numFmtId="9" fontId="1" fillId="0" borderId="0" xfId="0" applyNumberFormat="1" applyFont="1"/>
    <xf numFmtId="166" fontId="1" fillId="0" borderId="0" xfId="0" applyNumberFormat="1" applyFont="1" applyAlignment="1">
      <alignment horizontal="center" vertical="center"/>
    </xf>
    <xf numFmtId="0" fontId="0" fillId="0" borderId="0" xfId="0"/>
    <xf numFmtId="0" fontId="13" fillId="11" borderId="1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center"/>
    </xf>
    <xf numFmtId="0" fontId="2" fillId="7" borderId="1" xfId="0" applyFont="1" applyFill="1" applyBorder="1"/>
    <xf numFmtId="164" fontId="2" fillId="7" borderId="1" xfId="0" applyNumberFormat="1" applyFont="1" applyFill="1" applyBorder="1" applyAlignment="1">
      <alignment horizontal="right"/>
    </xf>
    <xf numFmtId="0" fontId="2" fillId="7" borderId="7" xfId="0" applyFont="1" applyFill="1" applyBorder="1" applyAlignment="1">
      <alignment horizontal="right"/>
    </xf>
    <xf numFmtId="165" fontId="14" fillId="7" borderId="7" xfId="0" applyNumberFormat="1" applyFont="1" applyFill="1" applyBorder="1" applyAlignment="1">
      <alignment horizontal="right"/>
    </xf>
    <xf numFmtId="165" fontId="2" fillId="14" borderId="8" xfId="0" applyNumberFormat="1" applyFont="1" applyFill="1" applyBorder="1" applyAlignment="1">
      <alignment horizontal="center"/>
    </xf>
    <xf numFmtId="165" fontId="2" fillId="15" borderId="7" xfId="0" applyNumberFormat="1" applyFont="1" applyFill="1" applyBorder="1" applyAlignment="1">
      <alignment horizontal="center"/>
    </xf>
    <xf numFmtId="1" fontId="2" fillId="7" borderId="7" xfId="0" applyNumberFormat="1" applyFont="1" applyFill="1" applyBorder="1" applyAlignment="1">
      <alignment horizontal="center"/>
    </xf>
    <xf numFmtId="165" fontId="15" fillId="3" borderId="0" xfId="0" applyNumberFormat="1" applyFont="1" applyFill="1" applyAlignment="1">
      <alignment horizontal="center" vertical="center"/>
    </xf>
    <xf numFmtId="9" fontId="2" fillId="7" borderId="1" xfId="0" applyNumberFormat="1" applyFont="1" applyFill="1" applyBorder="1" applyAlignment="1">
      <alignment horizontal="right"/>
    </xf>
    <xf numFmtId="1" fontId="2" fillId="14" borderId="8" xfId="0" applyNumberFormat="1" applyFont="1" applyFill="1" applyBorder="1" applyAlignment="1">
      <alignment horizontal="center"/>
    </xf>
    <xf numFmtId="1" fontId="2" fillId="15" borderId="7" xfId="0" applyNumberFormat="1" applyFont="1" applyFill="1" applyBorder="1" applyAlignment="1">
      <alignment horizontal="center"/>
    </xf>
    <xf numFmtId="0" fontId="12" fillId="16" borderId="1" xfId="0" applyFont="1" applyFill="1" applyBorder="1"/>
    <xf numFmtId="164" fontId="12" fillId="16" borderId="1" xfId="0" applyNumberFormat="1" applyFont="1" applyFill="1" applyBorder="1"/>
    <xf numFmtId="0" fontId="16" fillId="16" borderId="1" xfId="0" applyFont="1" applyFill="1" applyBorder="1"/>
    <xf numFmtId="1" fontId="12" fillId="16" borderId="1" xfId="0" applyNumberFormat="1" applyFont="1" applyFill="1" applyBorder="1"/>
    <xf numFmtId="1" fontId="16" fillId="16" borderId="1" xfId="0" applyNumberFormat="1" applyFont="1" applyFill="1" applyBorder="1"/>
    <xf numFmtId="10" fontId="12" fillId="16" borderId="1" xfId="0" applyNumberFormat="1" applyFont="1" applyFill="1" applyBorder="1"/>
    <xf numFmtId="0" fontId="12" fillId="3" borderId="6" xfId="0" applyFont="1" applyFill="1" applyBorder="1"/>
    <xf numFmtId="0" fontId="12" fillId="3" borderId="1" xfId="0" applyFont="1" applyFill="1" applyBorder="1"/>
    <xf numFmtId="9" fontId="12" fillId="3" borderId="1" xfId="0" applyNumberFormat="1" applyFont="1" applyFill="1" applyBorder="1"/>
    <xf numFmtId="2" fontId="12" fillId="16" borderId="1" xfId="0" applyNumberFormat="1" applyFont="1" applyFill="1" applyBorder="1"/>
    <xf numFmtId="3" fontId="12" fillId="16" borderId="1" xfId="0" applyNumberFormat="1" applyFont="1" applyFill="1" applyBorder="1"/>
    <xf numFmtId="166" fontId="12" fillId="16" borderId="1" xfId="0" applyNumberFormat="1" applyFont="1" applyFill="1" applyBorder="1"/>
    <xf numFmtId="0" fontId="6" fillId="17" borderId="1" xfId="0" applyFont="1" applyFill="1" applyBorder="1" applyAlignment="1">
      <alignment horizontal="left" vertical="center" wrapText="1"/>
    </xf>
    <xf numFmtId="9" fontId="12" fillId="18" borderId="1" xfId="0" applyNumberFormat="1" applyFont="1" applyFill="1" applyBorder="1"/>
    <xf numFmtId="0" fontId="4" fillId="0" borderId="0" xfId="0" applyFont="1"/>
    <xf numFmtId="3" fontId="1" fillId="19" borderId="1" xfId="0" applyNumberFormat="1" applyFont="1" applyFill="1" applyBorder="1"/>
    <xf numFmtId="169" fontId="4" fillId="3" borderId="1" xfId="0" applyNumberFormat="1" applyFont="1" applyFill="1" applyBorder="1" applyAlignment="1">
      <alignment horizontal="right"/>
    </xf>
    <xf numFmtId="169" fontId="17" fillId="3" borderId="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0" fontId="19" fillId="17" borderId="1" xfId="0" applyFont="1" applyFill="1" applyBorder="1" applyAlignment="1">
      <alignment horizontal="left" vertical="center" wrapText="1"/>
    </xf>
    <xf numFmtId="10" fontId="4" fillId="14" borderId="1" xfId="0" applyNumberFormat="1" applyFont="1" applyFill="1" applyBorder="1" applyAlignment="1">
      <alignment horizontal="right"/>
    </xf>
    <xf numFmtId="10" fontId="4" fillId="20" borderId="1" xfId="0" applyNumberFormat="1" applyFont="1" applyFill="1" applyBorder="1" applyAlignment="1">
      <alignment horizontal="right"/>
    </xf>
    <xf numFmtId="10" fontId="20" fillId="7" borderId="7" xfId="0" applyNumberFormat="1" applyFont="1" applyFill="1" applyBorder="1" applyAlignment="1">
      <alignment horizontal="right"/>
    </xf>
    <xf numFmtId="10" fontId="8" fillId="7" borderId="1" xfId="0" applyNumberFormat="1" applyFont="1" applyFill="1" applyBorder="1" applyAlignment="1">
      <alignment horizontal="right"/>
    </xf>
    <xf numFmtId="0" fontId="13" fillId="11" borderId="9" xfId="0" applyFont="1" applyFill="1" applyBorder="1"/>
    <xf numFmtId="0" fontId="2" fillId="0" borderId="9" xfId="0" applyFont="1" applyBorder="1"/>
    <xf numFmtId="0" fontId="10" fillId="11" borderId="8" xfId="0" applyFont="1" applyFill="1" applyBorder="1" applyAlignment="1">
      <alignment horizontal="right"/>
    </xf>
    <xf numFmtId="0" fontId="10" fillId="11" borderId="7" xfId="0" applyFont="1" applyFill="1" applyBorder="1" applyAlignment="1">
      <alignment horizontal="right"/>
    </xf>
    <xf numFmtId="0" fontId="10" fillId="11" borderId="7" xfId="0" applyFont="1" applyFill="1" applyBorder="1"/>
    <xf numFmtId="0" fontId="2" fillId="0" borderId="8" xfId="0" applyFont="1" applyBorder="1"/>
    <xf numFmtId="1" fontId="2" fillId="0" borderId="7" xfId="0" applyNumberFormat="1" applyFont="1" applyBorder="1" applyAlignment="1">
      <alignment horizontal="right"/>
    </xf>
    <xf numFmtId="9" fontId="5" fillId="0" borderId="7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12" fillId="0" borderId="0" xfId="0" applyFont="1"/>
    <xf numFmtId="9" fontId="12" fillId="0" borderId="0" xfId="0" applyNumberFormat="1" applyFont="1"/>
    <xf numFmtId="164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91</xdr:row>
      <xdr:rowOff>85725</xdr:rowOff>
    </xdr:from>
    <xdr:ext cx="9677400" cy="39338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FA219109-D55A-4A20-A3C1-04F29E038F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17169765"/>
          <a:ext cx="9677400" cy="3933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D506-2131-47A0-BE08-27D2F370B652}">
  <sheetPr>
    <outlinePr summaryBelow="0" summaryRight="0"/>
  </sheetPr>
  <dimension ref="A1:AK154"/>
  <sheetViews>
    <sheetView showGridLines="0" tabSelected="1" workbookViewId="0"/>
  </sheetViews>
  <sheetFormatPr defaultColWidth="14.44140625" defaultRowHeight="15" customHeight="1" x14ac:dyDescent="0.3"/>
  <cols>
    <col min="1" max="1" width="5.109375" customWidth="1"/>
    <col min="18" max="18" width="15.5546875" customWidth="1"/>
  </cols>
  <sheetData>
    <row r="1" spans="1:22" ht="14.4" x14ac:dyDescent="0.3">
      <c r="A1" s="1"/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 t="s">
        <v>1</v>
      </c>
    </row>
    <row r="2" spans="1:22" thickBot="1" x14ac:dyDescent="0.35">
      <c r="A2" s="4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5" t="s">
        <v>19</v>
      </c>
      <c r="S2" s="4" t="s">
        <v>20</v>
      </c>
      <c r="T2" s="4" t="s">
        <v>21</v>
      </c>
      <c r="U2" s="4" t="s">
        <v>22</v>
      </c>
      <c r="V2" s="4" t="s">
        <v>23</v>
      </c>
    </row>
    <row r="3" spans="1:22" ht="15.6" thickTop="1" thickBot="1" x14ac:dyDescent="0.35">
      <c r="A3" s="1"/>
      <c r="B3" s="6" t="s">
        <v>24</v>
      </c>
      <c r="C3" s="7">
        <f ca="1">IFERROR(__xludf.DUMMYFUNCTION("GOOGLEFINANCE(""nse:""&amp;B3,""price"")"),1379.6)</f>
        <v>1379.6</v>
      </c>
      <c r="D3" s="7">
        <f ca="1">IFERROR(__xludf.DUMMYFUNCTION("GOOGLEFINANCE(""nse:""&amp;B3,""MARKETCAP"")/10000000"),1865929.3965)</f>
        <v>1865929.3965</v>
      </c>
      <c r="E3" s="8">
        <f t="shared" ref="E3:F3" si="0">C46</f>
        <v>992579</v>
      </c>
      <c r="F3" s="8">
        <f t="shared" si="0"/>
        <v>94701</v>
      </c>
      <c r="G3" s="8">
        <f>G46</f>
        <v>60.230000000000004</v>
      </c>
      <c r="H3" s="9">
        <v>10</v>
      </c>
      <c r="I3" s="10">
        <v>13532</v>
      </c>
      <c r="J3" s="11">
        <v>1009626</v>
      </c>
      <c r="K3" s="11">
        <f>236889+110631</f>
        <v>347520</v>
      </c>
      <c r="L3" s="9">
        <f>17142+4903</f>
        <v>22045</v>
      </c>
      <c r="M3" s="10">
        <v>499270</v>
      </c>
      <c r="N3" s="10">
        <v>453737</v>
      </c>
      <c r="O3" s="10">
        <v>1950121</v>
      </c>
      <c r="P3" s="10">
        <v>940495</v>
      </c>
      <c r="Q3" s="10">
        <v>42121</v>
      </c>
      <c r="R3" s="12">
        <v>139967</v>
      </c>
      <c r="S3" s="13">
        <v>178703</v>
      </c>
      <c r="T3" s="14">
        <v>-137535</v>
      </c>
      <c r="U3" s="15">
        <v>-31891</v>
      </c>
      <c r="V3" s="3">
        <f t="shared" ref="V3:V4" si="1">SUM(S3:U3)</f>
        <v>9277</v>
      </c>
    </row>
    <row r="4" spans="1:22" ht="15.6" thickTop="1" thickBot="1" x14ac:dyDescent="0.35">
      <c r="A4" s="1"/>
      <c r="B4" s="11" t="s">
        <v>25</v>
      </c>
      <c r="C4" s="7">
        <v>1275</v>
      </c>
      <c r="D4" s="11">
        <f>C4*(I3/H3)</f>
        <v>1725330</v>
      </c>
      <c r="E4" s="8">
        <v>980136</v>
      </c>
      <c r="F4" s="8">
        <v>81309</v>
      </c>
      <c r="G4" s="8">
        <v>51.47</v>
      </c>
      <c r="H4" s="11">
        <v>10</v>
      </c>
      <c r="I4" s="11">
        <v>6765</v>
      </c>
      <c r="J4" s="9">
        <v>925788</v>
      </c>
      <c r="K4" s="11">
        <f>222712+101910</f>
        <v>324622</v>
      </c>
      <c r="L4" s="9">
        <f>17415+4105</f>
        <v>21520</v>
      </c>
      <c r="M4" s="9">
        <v>470100</v>
      </c>
      <c r="N4" s="11">
        <v>397367</v>
      </c>
      <c r="O4" s="11">
        <v>1755986</v>
      </c>
      <c r="P4" s="11">
        <v>830198</v>
      </c>
      <c r="Q4" s="11">
        <v>31628</v>
      </c>
      <c r="R4" s="12">
        <v>152883</v>
      </c>
      <c r="S4" s="13">
        <v>158788</v>
      </c>
      <c r="T4" s="14">
        <v>-113581</v>
      </c>
      <c r="U4" s="15">
        <v>-16646</v>
      </c>
      <c r="V4" s="3">
        <f t="shared" si="1"/>
        <v>28561</v>
      </c>
    </row>
    <row r="5" spans="1:22" thickTop="1" x14ac:dyDescent="0.3">
      <c r="A5" s="1"/>
      <c r="B5" s="16" t="s">
        <v>26</v>
      </c>
      <c r="C5" s="17">
        <f t="shared" ref="C5:V5" ca="1" si="2">(C3/C4)-1</f>
        <v>8.2039215686274369E-2</v>
      </c>
      <c r="D5" s="17">
        <f t="shared" ca="1" si="2"/>
        <v>8.1491306880422831E-2</v>
      </c>
      <c r="E5" s="17">
        <f t="shared" si="2"/>
        <v>1.2695176995845436E-2</v>
      </c>
      <c r="F5" s="18">
        <f t="shared" si="2"/>
        <v>0.16470501420506944</v>
      </c>
      <c r="G5" s="17">
        <f t="shared" si="2"/>
        <v>0.17019623081406654</v>
      </c>
      <c r="H5" s="17">
        <f t="shared" si="2"/>
        <v>0</v>
      </c>
      <c r="I5" s="17">
        <f t="shared" si="2"/>
        <v>1.0002956393200297</v>
      </c>
      <c r="J5" s="17">
        <f t="shared" si="2"/>
        <v>9.0558529598568915E-2</v>
      </c>
      <c r="K5" s="17">
        <f t="shared" si="2"/>
        <v>7.0537425066693027E-2</v>
      </c>
      <c r="L5" s="19">
        <f t="shared" si="2"/>
        <v>2.439591078066905E-2</v>
      </c>
      <c r="M5" s="19">
        <f t="shared" si="2"/>
        <v>6.2050627526058388E-2</v>
      </c>
      <c r="N5" s="19">
        <f t="shared" si="2"/>
        <v>0.14185878545525932</v>
      </c>
      <c r="O5" s="19">
        <f t="shared" si="2"/>
        <v>0.11055612060688413</v>
      </c>
      <c r="P5" s="19">
        <f t="shared" si="2"/>
        <v>0.13285625838655357</v>
      </c>
      <c r="Q5" s="19">
        <f t="shared" si="2"/>
        <v>0.33176299481472116</v>
      </c>
      <c r="R5" s="19">
        <f t="shared" si="2"/>
        <v>-8.4482905228181027E-2</v>
      </c>
      <c r="S5" s="19">
        <f t="shared" si="2"/>
        <v>0.12541879739023098</v>
      </c>
      <c r="T5" s="19">
        <f t="shared" si="2"/>
        <v>0.21089794948098706</v>
      </c>
      <c r="U5" s="19">
        <f t="shared" si="2"/>
        <v>0.9158356361888742</v>
      </c>
      <c r="V5" s="19">
        <f t="shared" si="2"/>
        <v>-0.67518644305171382</v>
      </c>
    </row>
    <row r="6" spans="1:22" ht="14.4" x14ac:dyDescent="0.3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O6" s="1"/>
      <c r="P6" s="1"/>
      <c r="Q6" s="1"/>
    </row>
    <row r="7" spans="1:22" ht="14.4" x14ac:dyDescent="0.3">
      <c r="A7" s="1"/>
      <c r="B7" s="2" t="s">
        <v>26</v>
      </c>
      <c r="C7" s="2" t="s">
        <v>27</v>
      </c>
      <c r="D7" s="1"/>
      <c r="E7" s="1"/>
      <c r="F7" s="2" t="s">
        <v>28</v>
      </c>
      <c r="G7" s="1"/>
      <c r="H7" s="1"/>
      <c r="I7" s="2" t="s">
        <v>29</v>
      </c>
      <c r="J7" s="1"/>
      <c r="L7" s="2" t="s">
        <v>30</v>
      </c>
      <c r="M7" s="1"/>
      <c r="N7" s="1"/>
      <c r="O7" s="1"/>
      <c r="P7" s="1"/>
    </row>
    <row r="8" spans="1:22" ht="14.4" x14ac:dyDescent="0.3">
      <c r="A8" s="4" t="s">
        <v>31</v>
      </c>
      <c r="B8" s="20" t="s">
        <v>32</v>
      </c>
      <c r="C8" s="20" t="s">
        <v>33</v>
      </c>
      <c r="D8" s="21" t="s">
        <v>34</v>
      </c>
      <c r="E8" s="2" t="s">
        <v>35</v>
      </c>
      <c r="F8" s="20" t="s">
        <v>36</v>
      </c>
      <c r="G8" s="20" t="s">
        <v>37</v>
      </c>
      <c r="H8" s="22" t="s">
        <v>38</v>
      </c>
      <c r="I8" s="21" t="s">
        <v>39</v>
      </c>
      <c r="J8" s="20" t="s">
        <v>40</v>
      </c>
      <c r="K8" s="2" t="s">
        <v>41</v>
      </c>
      <c r="L8" s="23" t="s">
        <v>42</v>
      </c>
      <c r="M8" s="21" t="s">
        <v>43</v>
      </c>
      <c r="N8" s="24" t="s">
        <v>44</v>
      </c>
      <c r="O8" s="23" t="s">
        <v>45</v>
      </c>
      <c r="P8" s="23" t="s">
        <v>46</v>
      </c>
      <c r="R8" s="25" t="s">
        <v>12</v>
      </c>
      <c r="S8" s="26" t="s">
        <v>47</v>
      </c>
      <c r="T8" s="26" t="s">
        <v>48</v>
      </c>
      <c r="U8" s="27" t="s">
        <v>49</v>
      </c>
      <c r="V8" s="27" t="s">
        <v>50</v>
      </c>
    </row>
    <row r="9" spans="1:22" ht="14.4" x14ac:dyDescent="0.3">
      <c r="A9" s="1"/>
      <c r="B9" s="28">
        <f>E61</f>
        <v>5.2676141005939536E-2</v>
      </c>
      <c r="C9" s="28">
        <f>C70</f>
        <v>0.12520711011019062</v>
      </c>
      <c r="D9" s="29">
        <f>M3/N3</f>
        <v>1.1003510844387827</v>
      </c>
      <c r="E9" s="30">
        <f>(Q3/E3)*365</f>
        <v>15.489109682957226</v>
      </c>
      <c r="F9" s="31">
        <f>(K3+L3)/(I3+J3)</f>
        <v>0.36120032292177745</v>
      </c>
      <c r="G9" s="31">
        <f>P3/O3</f>
        <v>0.48227520241051708</v>
      </c>
      <c r="H9" s="32">
        <f>C71</f>
        <v>4.1306139852188748</v>
      </c>
      <c r="I9" s="28">
        <f>F3/J3</f>
        <v>9.3798099494268178E-2</v>
      </c>
      <c r="J9" s="31">
        <f>F3/$O$3</f>
        <v>4.8561602074948168E-2</v>
      </c>
      <c r="K9" s="33">
        <f>F3/I3</f>
        <v>6.9983003251551876</v>
      </c>
      <c r="L9" s="29">
        <f ca="1">C3/G3</f>
        <v>22.905528806242732</v>
      </c>
      <c r="M9" s="28">
        <f ca="1">G3/C3</f>
        <v>4.3657581907799371E-2</v>
      </c>
      <c r="N9" s="32">
        <f>(J3)/(I3/H3)</f>
        <v>746.10257168193903</v>
      </c>
      <c r="O9" s="29">
        <f ca="1">C3/N9</f>
        <v>1.8490755190535901</v>
      </c>
      <c r="P9" s="29">
        <f ca="1">S56</f>
        <v>1.5538529550068565</v>
      </c>
      <c r="R9" s="13" t="s">
        <v>51</v>
      </c>
      <c r="S9" s="13">
        <v>117581</v>
      </c>
      <c r="T9" s="13">
        <v>117083</v>
      </c>
      <c r="U9" s="34">
        <f>S9-T9</f>
        <v>498</v>
      </c>
      <c r="V9" s="35">
        <f>(S9/T9)-1</f>
        <v>4.2533928922217079E-3</v>
      </c>
    </row>
    <row r="10" spans="1:22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3"/>
      <c r="S10" s="3"/>
      <c r="T10" s="3"/>
      <c r="U10" s="3"/>
      <c r="V10" s="36"/>
    </row>
    <row r="11" spans="1:22" ht="14.4" x14ac:dyDescent="0.3">
      <c r="A11" s="4" t="s">
        <v>52</v>
      </c>
      <c r="B11" s="4" t="s">
        <v>53</v>
      </c>
      <c r="C11" s="4" t="s">
        <v>54</v>
      </c>
      <c r="D11" s="4" t="s">
        <v>55</v>
      </c>
      <c r="E11" s="4" t="s">
        <v>10</v>
      </c>
      <c r="F11" s="4" t="s">
        <v>56</v>
      </c>
      <c r="G11" s="4" t="s">
        <v>57</v>
      </c>
      <c r="H11" s="4" t="s">
        <v>58</v>
      </c>
      <c r="I11" s="4" t="s">
        <v>59</v>
      </c>
      <c r="J11" s="4" t="s">
        <v>60</v>
      </c>
      <c r="K11" s="4" t="s">
        <v>61</v>
      </c>
      <c r="L11" s="4" t="s">
        <v>62</v>
      </c>
      <c r="M11" s="4" t="s">
        <v>63</v>
      </c>
      <c r="N11" s="4" t="s">
        <v>64</v>
      </c>
      <c r="O11" s="4" t="s">
        <v>65</v>
      </c>
    </row>
    <row r="12" spans="1:22" ht="14.4" x14ac:dyDescent="0.3">
      <c r="B12" s="37" t="s">
        <v>66</v>
      </c>
      <c r="C12" s="38">
        <v>2943.61</v>
      </c>
      <c r="D12" s="39">
        <v>169.39</v>
      </c>
      <c r="E12" s="39">
        <v>157.94</v>
      </c>
      <c r="F12" s="39">
        <v>1710.74</v>
      </c>
      <c r="G12" s="40">
        <f>D12/15.8</f>
        <v>10.720886075949366</v>
      </c>
      <c r="H12" s="41">
        <f t="shared" ref="H12:H46" si="3">D12/C12</f>
        <v>5.754498727752657E-2</v>
      </c>
      <c r="I12" s="38">
        <v>118</v>
      </c>
      <c r="J12" s="38">
        <v>455</v>
      </c>
      <c r="K12" s="42">
        <f t="shared" ref="K12:K46" si="4">I12/G12</f>
        <v>11.006552925202197</v>
      </c>
      <c r="L12" s="42">
        <f t="shared" ref="L12:L46" si="5">J12/G12</f>
        <v>42.440521872601693</v>
      </c>
      <c r="M12" s="43">
        <f t="shared" ref="M12:M46" si="6">(E12+F12)/(E12/10)</f>
        <v>118.31581613270862</v>
      </c>
      <c r="N12" s="44">
        <f t="shared" ref="N12:N46" si="7">I12/M12</f>
        <v>0.99733073613459777</v>
      </c>
      <c r="O12" s="44">
        <f t="shared" ref="O12:O46" si="8">J12/M12</f>
        <v>3.845639702891881</v>
      </c>
    </row>
    <row r="13" spans="1:22" ht="14.4" x14ac:dyDescent="0.3">
      <c r="B13" s="37" t="s">
        <v>67</v>
      </c>
      <c r="C13" s="38">
        <v>4208.08</v>
      </c>
      <c r="D13" s="39">
        <v>357.87</v>
      </c>
      <c r="E13" s="39">
        <v>250.98</v>
      </c>
      <c r="F13" s="39">
        <v>2361.79</v>
      </c>
      <c r="G13" s="45">
        <f>D13/25.1</f>
        <v>14.257768924302788</v>
      </c>
      <c r="H13" s="41">
        <f t="shared" si="3"/>
        <v>8.5043535294005823E-2</v>
      </c>
      <c r="I13" s="38">
        <v>161.25</v>
      </c>
      <c r="J13" s="38">
        <v>475</v>
      </c>
      <c r="K13" s="42">
        <f t="shared" si="4"/>
        <v>11.309623606337498</v>
      </c>
      <c r="L13" s="42">
        <f t="shared" si="5"/>
        <v>33.315170313242241</v>
      </c>
      <c r="M13" s="43">
        <f t="shared" si="6"/>
        <v>104.10271734799586</v>
      </c>
      <c r="N13" s="44">
        <f t="shared" si="7"/>
        <v>1.5489509218186062</v>
      </c>
      <c r="O13" s="44">
        <f t="shared" si="8"/>
        <v>4.5628011650470572</v>
      </c>
    </row>
    <row r="14" spans="1:22" ht="14.4" x14ac:dyDescent="0.3">
      <c r="B14" s="37" t="s">
        <v>68</v>
      </c>
      <c r="C14" s="38">
        <v>5486.83</v>
      </c>
      <c r="D14" s="39">
        <v>575.49</v>
      </c>
      <c r="E14" s="39">
        <v>323.82</v>
      </c>
      <c r="F14" s="39">
        <v>4011.07</v>
      </c>
      <c r="G14" s="45">
        <f>D14/32.4</f>
        <v>17.76203703703704</v>
      </c>
      <c r="H14" s="41">
        <f t="shared" si="3"/>
        <v>0.10488569902840074</v>
      </c>
      <c r="I14" s="38">
        <v>162.5</v>
      </c>
      <c r="J14" s="38">
        <v>433</v>
      </c>
      <c r="K14" s="42">
        <f t="shared" si="4"/>
        <v>9.1487254339780009</v>
      </c>
      <c r="L14" s="42">
        <f t="shared" si="5"/>
        <v>24.377834540999839</v>
      </c>
      <c r="M14" s="43">
        <f t="shared" si="6"/>
        <v>133.86727194120192</v>
      </c>
      <c r="N14" s="44">
        <f t="shared" si="7"/>
        <v>1.21388893374457</v>
      </c>
      <c r="O14" s="44">
        <f t="shared" si="8"/>
        <v>3.2345471280701465</v>
      </c>
    </row>
    <row r="15" spans="1:22" ht="14.4" x14ac:dyDescent="0.3">
      <c r="B15" s="37" t="s">
        <v>69</v>
      </c>
      <c r="C15" s="46">
        <v>7335.79</v>
      </c>
      <c r="D15" s="47">
        <v>1064.8499999999999</v>
      </c>
      <c r="E15" s="39">
        <v>455.86</v>
      </c>
      <c r="F15" s="39">
        <v>6731.29</v>
      </c>
      <c r="G15" s="45">
        <f>1065/45.6</f>
        <v>23.355263157894736</v>
      </c>
      <c r="H15" s="41">
        <f t="shared" si="3"/>
        <v>0.14515819018810516</v>
      </c>
      <c r="I15" s="38">
        <v>233.75</v>
      </c>
      <c r="J15" s="38">
        <v>432.5</v>
      </c>
      <c r="K15" s="42">
        <f t="shared" si="4"/>
        <v>10.008450704225352</v>
      </c>
      <c r="L15" s="42">
        <f t="shared" si="5"/>
        <v>18.518309859154929</v>
      </c>
      <c r="M15" s="43">
        <f t="shared" si="6"/>
        <v>157.66134339490193</v>
      </c>
      <c r="N15" s="44">
        <f t="shared" si="7"/>
        <v>1.4826081965730507</v>
      </c>
      <c r="O15" s="44">
        <f t="shared" si="8"/>
        <v>2.7432215829640403</v>
      </c>
    </row>
    <row r="16" spans="1:22" ht="14.4" x14ac:dyDescent="0.3">
      <c r="B16" s="37" t="s">
        <v>70</v>
      </c>
      <c r="C16" s="38">
        <v>8205.6</v>
      </c>
      <c r="D16" s="47">
        <v>1305.27</v>
      </c>
      <c r="E16" s="39">
        <v>458.23</v>
      </c>
      <c r="F16" s="39">
        <v>7747.07</v>
      </c>
      <c r="G16" s="45">
        <f t="shared" ref="G16:G17" si="9">D16/45.8</f>
        <v>28.49934497816594</v>
      </c>
      <c r="H16" s="41">
        <f t="shared" si="3"/>
        <v>0.15907063468850541</v>
      </c>
      <c r="I16" s="38">
        <v>150</v>
      </c>
      <c r="J16" s="38">
        <v>300</v>
      </c>
      <c r="K16" s="42">
        <f t="shared" si="4"/>
        <v>5.2632788618446753</v>
      </c>
      <c r="L16" s="42">
        <f t="shared" si="5"/>
        <v>10.526557723689351</v>
      </c>
      <c r="M16" s="43">
        <f t="shared" si="6"/>
        <v>179.0650983130742</v>
      </c>
      <c r="N16" s="44">
        <f t="shared" si="7"/>
        <v>0.83768417973748688</v>
      </c>
      <c r="O16" s="44">
        <f t="shared" si="8"/>
        <v>1.6753683594749738</v>
      </c>
    </row>
    <row r="17" spans="2:31" ht="14.4" x14ac:dyDescent="0.3">
      <c r="B17" s="37" t="s">
        <v>71</v>
      </c>
      <c r="C17" s="38">
        <v>8924.66</v>
      </c>
      <c r="D17" s="47">
        <v>1322.7</v>
      </c>
      <c r="E17" s="39">
        <v>458.45</v>
      </c>
      <c r="F17" s="39">
        <v>8012.49</v>
      </c>
      <c r="G17" s="45">
        <f t="shared" si="9"/>
        <v>28.879912663755462</v>
      </c>
      <c r="H17" s="41">
        <f t="shared" si="3"/>
        <v>0.14820732666566569</v>
      </c>
      <c r="I17" s="38">
        <v>165.5</v>
      </c>
      <c r="J17" s="38">
        <v>317</v>
      </c>
      <c r="K17" s="42">
        <f t="shared" si="4"/>
        <v>5.7306267483178344</v>
      </c>
      <c r="L17" s="42">
        <f t="shared" si="5"/>
        <v>10.976487487714522</v>
      </c>
      <c r="M17" s="43">
        <f t="shared" si="6"/>
        <v>184.77347584251282</v>
      </c>
      <c r="N17" s="44">
        <f t="shared" si="7"/>
        <v>0.8956913282351191</v>
      </c>
      <c r="O17" s="44">
        <f t="shared" si="8"/>
        <v>1.7156142057434003</v>
      </c>
    </row>
    <row r="18" spans="2:31" ht="14.4" x14ac:dyDescent="0.3">
      <c r="B18" s="37" t="s">
        <v>72</v>
      </c>
      <c r="C18" s="38">
        <v>14107.66</v>
      </c>
      <c r="D18" s="39">
        <v>1652.67</v>
      </c>
      <c r="E18" s="39">
        <v>931.9</v>
      </c>
      <c r="F18" s="39">
        <v>10862.75</v>
      </c>
      <c r="G18" s="45">
        <f>D18/93.2</f>
        <v>17.732510729613733</v>
      </c>
      <c r="H18" s="41">
        <f t="shared" si="3"/>
        <v>0.11714699673794238</v>
      </c>
      <c r="I18" s="38">
        <v>144.5</v>
      </c>
      <c r="J18" s="38">
        <v>436.5</v>
      </c>
      <c r="K18" s="42">
        <f t="shared" si="4"/>
        <v>8.148874245917213</v>
      </c>
      <c r="L18" s="42">
        <f t="shared" si="5"/>
        <v>24.615803517943693</v>
      </c>
      <c r="M18" s="43">
        <f t="shared" si="6"/>
        <v>126.56561862860822</v>
      </c>
      <c r="N18" s="44">
        <f t="shared" si="7"/>
        <v>1.1417002624071082</v>
      </c>
      <c r="O18" s="44">
        <f t="shared" si="8"/>
        <v>3.4488039068560745</v>
      </c>
    </row>
    <row r="19" spans="2:31" ht="14.4" x14ac:dyDescent="0.3">
      <c r="B19" s="37" t="s">
        <v>73</v>
      </c>
      <c r="C19" s="46">
        <v>15008.38</v>
      </c>
      <c r="D19" s="39">
        <v>1703.69</v>
      </c>
      <c r="E19" s="39">
        <v>933.39</v>
      </c>
      <c r="F19" s="39">
        <v>11183</v>
      </c>
      <c r="G19" s="48">
        <f>D19/93.3</f>
        <v>18.260342979635585</v>
      </c>
      <c r="H19" s="41">
        <f t="shared" si="3"/>
        <v>0.11351591577505368</v>
      </c>
      <c r="I19" s="38">
        <v>100</v>
      </c>
      <c r="J19" s="38">
        <v>204.9</v>
      </c>
      <c r="K19" s="42">
        <f t="shared" si="4"/>
        <v>5.4763483967153643</v>
      </c>
      <c r="L19" s="42">
        <f t="shared" si="5"/>
        <v>11.221037864869782</v>
      </c>
      <c r="M19" s="43">
        <f t="shared" si="6"/>
        <v>129.81058292889361</v>
      </c>
      <c r="N19" s="44">
        <f t="shared" si="7"/>
        <v>0.77035321576806293</v>
      </c>
      <c r="O19" s="44">
        <f t="shared" si="8"/>
        <v>1.578453739108761</v>
      </c>
    </row>
    <row r="20" spans="2:31" ht="14.4" x14ac:dyDescent="0.3">
      <c r="B20" s="37" t="s">
        <v>74</v>
      </c>
      <c r="C20" s="46">
        <v>21332.37</v>
      </c>
      <c r="D20" s="49">
        <v>2403.25</v>
      </c>
      <c r="E20" s="39">
        <v>1053.45</v>
      </c>
      <c r="F20" s="39">
        <v>12636.35</v>
      </c>
      <c r="G20" s="48">
        <f>D20/105.3</f>
        <v>22.822886989553655</v>
      </c>
      <c r="H20" s="41">
        <f t="shared" si="3"/>
        <v>0.11265743093711576</v>
      </c>
      <c r="I20" s="38">
        <v>116.1</v>
      </c>
      <c r="J20" s="38">
        <v>380</v>
      </c>
      <c r="K20" s="42">
        <f t="shared" si="4"/>
        <v>5.0869988557162173</v>
      </c>
      <c r="L20" s="42">
        <f t="shared" si="5"/>
        <v>16.649953188390722</v>
      </c>
      <c r="M20" s="43">
        <f t="shared" si="6"/>
        <v>129.95206227158386</v>
      </c>
      <c r="N20" s="44">
        <f t="shared" si="7"/>
        <v>0.89340636824497055</v>
      </c>
      <c r="O20" s="44">
        <f t="shared" si="8"/>
        <v>2.9241552104486548</v>
      </c>
    </row>
    <row r="21" spans="2:31" ht="14.4" x14ac:dyDescent="0.3">
      <c r="B21" s="37" t="s">
        <v>75</v>
      </c>
      <c r="C21" s="38">
        <v>28708.82</v>
      </c>
      <c r="D21" s="49">
        <v>2645.62</v>
      </c>
      <c r="E21" s="39">
        <v>1053.49</v>
      </c>
      <c r="F21" s="39">
        <v>13711.88</v>
      </c>
      <c r="G21" s="48">
        <v>25.11</v>
      </c>
      <c r="H21" s="41">
        <f t="shared" si="3"/>
        <v>9.2153561170399897E-2</v>
      </c>
      <c r="I21" s="38">
        <v>279.10000000000002</v>
      </c>
      <c r="J21" s="38">
        <v>472.75</v>
      </c>
      <c r="K21" s="42">
        <f t="shared" si="4"/>
        <v>11.115093588211868</v>
      </c>
      <c r="L21" s="42">
        <f t="shared" si="5"/>
        <v>18.827160493827162</v>
      </c>
      <c r="M21" s="43">
        <f t="shared" si="6"/>
        <v>140.15671719712572</v>
      </c>
      <c r="N21" s="44">
        <f t="shared" si="7"/>
        <v>1.9913423029697195</v>
      </c>
      <c r="O21" s="44">
        <f t="shared" si="8"/>
        <v>3.3730099381187202</v>
      </c>
    </row>
    <row r="22" spans="2:31" ht="14.4" x14ac:dyDescent="0.3">
      <c r="B22" s="37" t="s">
        <v>76</v>
      </c>
      <c r="C22" s="46">
        <v>42019.77</v>
      </c>
      <c r="D22" s="49">
        <v>3278.87</v>
      </c>
      <c r="E22" s="39">
        <v>1053.56</v>
      </c>
      <c r="F22" s="39">
        <v>26580.91</v>
      </c>
      <c r="G22" s="48">
        <v>20.39</v>
      </c>
      <c r="H22" s="41">
        <f t="shared" si="3"/>
        <v>7.8031602743184936E-2</v>
      </c>
      <c r="I22" s="38">
        <v>204.1</v>
      </c>
      <c r="J22" s="38">
        <v>406.5</v>
      </c>
      <c r="K22" s="42">
        <f t="shared" si="4"/>
        <v>10.009808729769494</v>
      </c>
      <c r="L22" s="42">
        <f t="shared" si="5"/>
        <v>19.936243256498283</v>
      </c>
      <c r="M22" s="43">
        <f t="shared" si="6"/>
        <v>262.29611982231677</v>
      </c>
      <c r="N22" s="44">
        <f t="shared" si="7"/>
        <v>0.77812817108488042</v>
      </c>
      <c r="O22" s="44">
        <f t="shared" si="8"/>
        <v>1.5497751178148158</v>
      </c>
    </row>
    <row r="23" spans="2:31" ht="14.4" x14ac:dyDescent="0.3">
      <c r="B23" s="37" t="s">
        <v>77</v>
      </c>
      <c r="C23" s="38">
        <v>49231.85</v>
      </c>
      <c r="D23" s="39">
        <v>4003.31</v>
      </c>
      <c r="E23" s="39">
        <v>1395.92</v>
      </c>
      <c r="F23" s="39">
        <v>29139.85</v>
      </c>
      <c r="G23" s="48">
        <v>28.53</v>
      </c>
      <c r="H23" s="41">
        <f t="shared" si="3"/>
        <v>8.1315449246778262E-2</v>
      </c>
      <c r="I23" s="38">
        <v>218.05</v>
      </c>
      <c r="J23" s="38">
        <v>312.95</v>
      </c>
      <c r="K23" s="42">
        <f t="shared" si="4"/>
        <v>7.6428321065545042</v>
      </c>
      <c r="L23" s="42">
        <f t="shared" si="5"/>
        <v>10.969155275148966</v>
      </c>
      <c r="M23" s="43">
        <f t="shared" si="6"/>
        <v>218.7501432746862</v>
      </c>
      <c r="N23" s="44">
        <f t="shared" si="7"/>
        <v>0.99679934712633766</v>
      </c>
      <c r="O23" s="44">
        <f t="shared" si="8"/>
        <v>1.4306276344103983</v>
      </c>
    </row>
    <row r="24" spans="2:31" ht="14.4" x14ac:dyDescent="0.3">
      <c r="B24" s="37" t="s">
        <v>78</v>
      </c>
      <c r="C24" s="38">
        <v>52576.73</v>
      </c>
      <c r="D24" s="39">
        <v>5168.99</v>
      </c>
      <c r="E24" s="39">
        <v>1395.95</v>
      </c>
      <c r="F24" s="39">
        <v>33621.599999999999</v>
      </c>
      <c r="G24" s="48">
        <v>36.85</v>
      </c>
      <c r="H24" s="41">
        <f t="shared" si="3"/>
        <v>9.8313265203066061E-2</v>
      </c>
      <c r="I24" s="38">
        <v>258</v>
      </c>
      <c r="J24" s="38">
        <v>610.45000000000005</v>
      </c>
      <c r="K24" s="42">
        <f t="shared" si="4"/>
        <v>7.0013568521031209</v>
      </c>
      <c r="L24" s="42">
        <f t="shared" si="5"/>
        <v>16.565807327001359</v>
      </c>
      <c r="M24" s="43">
        <f t="shared" si="6"/>
        <v>250.85103334646652</v>
      </c>
      <c r="N24" s="44">
        <f t="shared" si="7"/>
        <v>1.0284988527181371</v>
      </c>
      <c r="O24" s="44">
        <f t="shared" si="8"/>
        <v>2.4335159869836702</v>
      </c>
    </row>
    <row r="25" spans="2:31" ht="14.4" x14ac:dyDescent="0.3">
      <c r="B25" s="37" t="s">
        <v>79</v>
      </c>
      <c r="C25" s="38">
        <v>67573.009999999995</v>
      </c>
      <c r="D25" s="39">
        <v>7628.23</v>
      </c>
      <c r="E25" s="39">
        <v>1393.09</v>
      </c>
      <c r="F25" s="39">
        <v>39700.58</v>
      </c>
      <c r="G25" s="48">
        <v>54.65</v>
      </c>
      <c r="H25" s="41">
        <f t="shared" si="3"/>
        <v>0.11288871104010315</v>
      </c>
      <c r="I25" s="38">
        <v>382</v>
      </c>
      <c r="J25" s="38">
        <v>600.9</v>
      </c>
      <c r="K25" s="42">
        <f t="shared" si="4"/>
        <v>6.9899359560841718</v>
      </c>
      <c r="L25" s="42">
        <f t="shared" si="5"/>
        <v>10.995425434583714</v>
      </c>
      <c r="M25" s="43">
        <f t="shared" si="6"/>
        <v>294.98216195651395</v>
      </c>
      <c r="N25" s="44">
        <f t="shared" si="7"/>
        <v>1.2949935598353712</v>
      </c>
      <c r="O25" s="44">
        <f t="shared" si="8"/>
        <v>2.0370723301179963</v>
      </c>
    </row>
    <row r="26" spans="2:31" ht="14.4" x14ac:dyDescent="0.3">
      <c r="B26" s="37" t="s">
        <v>80</v>
      </c>
      <c r="C26" s="38">
        <v>86349.61</v>
      </c>
      <c r="D26" s="39">
        <v>9398.23</v>
      </c>
      <c r="E26" s="39">
        <v>1393.17</v>
      </c>
      <c r="F26" s="39">
        <v>49634.86</v>
      </c>
      <c r="G26" s="48">
        <v>67.44</v>
      </c>
      <c r="H26" s="41">
        <f t="shared" si="3"/>
        <v>0.10883928717222927</v>
      </c>
      <c r="I26" s="38">
        <v>512.1</v>
      </c>
      <c r="J26" s="38">
        <v>937.5</v>
      </c>
      <c r="K26" s="42">
        <f t="shared" si="4"/>
        <v>7.5934163701067625</v>
      </c>
      <c r="L26" s="42">
        <f t="shared" si="5"/>
        <v>13.901245551601424</v>
      </c>
      <c r="M26" s="43">
        <f t="shared" si="6"/>
        <v>366.27281666989666</v>
      </c>
      <c r="N26" s="44">
        <f t="shared" si="7"/>
        <v>1.3981381546573524</v>
      </c>
      <c r="O26" s="44">
        <f t="shared" si="8"/>
        <v>2.559567506329365</v>
      </c>
    </row>
    <row r="27" spans="2:31" ht="14.4" x14ac:dyDescent="0.3">
      <c r="B27" s="37" t="s">
        <v>81</v>
      </c>
      <c r="C27" s="38">
        <v>115117.95</v>
      </c>
      <c r="D27" s="39">
        <v>12074.83</v>
      </c>
      <c r="E27" s="39">
        <v>1393.21</v>
      </c>
      <c r="F27" s="39">
        <v>66765.73</v>
      </c>
      <c r="G27" s="48">
        <v>83.07</v>
      </c>
      <c r="H27" s="41">
        <f t="shared" si="3"/>
        <v>0.10489094011837424</v>
      </c>
      <c r="I27" s="38">
        <v>796</v>
      </c>
      <c r="J27" s="38">
        <v>1445</v>
      </c>
      <c r="K27" s="42">
        <f t="shared" si="4"/>
        <v>9.5822800048152175</v>
      </c>
      <c r="L27" s="42">
        <f t="shared" si="5"/>
        <v>17.394968099193452</v>
      </c>
      <c r="M27" s="43">
        <f t="shared" si="6"/>
        <v>489.2222995815419</v>
      </c>
      <c r="N27" s="44">
        <f t="shared" si="7"/>
        <v>1.6270721933175605</v>
      </c>
      <c r="O27" s="44">
        <f t="shared" si="8"/>
        <v>2.953667486612908</v>
      </c>
    </row>
    <row r="28" spans="2:31" ht="14.4" x14ac:dyDescent="0.3">
      <c r="B28" s="37" t="s">
        <v>82</v>
      </c>
      <c r="C28" s="38">
        <v>144637.54</v>
      </c>
      <c r="D28" s="39">
        <v>19521.38</v>
      </c>
      <c r="E28" s="39">
        <v>1453.39</v>
      </c>
      <c r="F28" s="39">
        <v>82374.69</v>
      </c>
      <c r="G28" s="48">
        <v>134.61000000000001</v>
      </c>
      <c r="H28" s="41">
        <f t="shared" si="3"/>
        <v>0.13496758863570274</v>
      </c>
      <c r="I28" s="38">
        <v>1305</v>
      </c>
      <c r="J28" s="38">
        <v>3252.1</v>
      </c>
      <c r="K28" s="42">
        <f t="shared" si="4"/>
        <v>9.694673501225763</v>
      </c>
      <c r="L28" s="42">
        <f t="shared" si="5"/>
        <v>24.159423519797933</v>
      </c>
      <c r="M28" s="43">
        <f t="shared" si="6"/>
        <v>576.77622661501732</v>
      </c>
      <c r="N28" s="44">
        <f t="shared" si="7"/>
        <v>2.2625759172821325</v>
      </c>
      <c r="O28" s="44">
        <f t="shared" si="8"/>
        <v>5.6384085368530448</v>
      </c>
      <c r="Q28" s="2" t="s">
        <v>83</v>
      </c>
      <c r="AD28" s="50" t="s">
        <v>84</v>
      </c>
    </row>
    <row r="29" spans="2:31" ht="14.4" x14ac:dyDescent="0.3">
      <c r="B29" s="37" t="s">
        <v>85</v>
      </c>
      <c r="C29" s="51">
        <v>155407.79</v>
      </c>
      <c r="D29" s="52">
        <v>14968.72</v>
      </c>
      <c r="E29" s="47">
        <v>1374.68</v>
      </c>
      <c r="F29" s="47">
        <v>119812.61</v>
      </c>
      <c r="G29" s="48">
        <v>54.11</v>
      </c>
      <c r="H29" s="41">
        <f t="shared" si="3"/>
        <v>9.6318981178485322E-2</v>
      </c>
      <c r="I29" s="38">
        <v>930</v>
      </c>
      <c r="J29" s="38">
        <v>2706.6</v>
      </c>
      <c r="K29" s="42">
        <f t="shared" si="4"/>
        <v>17.187211236370356</v>
      </c>
      <c r="L29" s="42">
        <f t="shared" si="5"/>
        <v>50.020328959526886</v>
      </c>
      <c r="M29" s="43">
        <f t="shared" si="6"/>
        <v>881.5672738382749</v>
      </c>
      <c r="N29" s="44">
        <f t="shared" si="7"/>
        <v>1.0549393422363025</v>
      </c>
      <c r="O29" s="44">
        <f t="shared" si="8"/>
        <v>3.0702137889212646</v>
      </c>
      <c r="Q29" s="2" t="s">
        <v>53</v>
      </c>
      <c r="R29" s="2" t="s">
        <v>86</v>
      </c>
      <c r="S29" s="2" t="s">
        <v>87</v>
      </c>
      <c r="AD29" s="2" t="s">
        <v>53</v>
      </c>
      <c r="AE29" s="2" t="s">
        <v>88</v>
      </c>
    </row>
    <row r="30" spans="2:31" ht="14.4" x14ac:dyDescent="0.3">
      <c r="B30" s="37" t="s">
        <v>89</v>
      </c>
      <c r="C30" s="51">
        <v>220557.74</v>
      </c>
      <c r="D30" s="47">
        <v>24503.14</v>
      </c>
      <c r="E30" s="47">
        <v>2978.02</v>
      </c>
      <c r="F30" s="47">
        <v>138024.95999999999</v>
      </c>
      <c r="G30" s="48">
        <v>82.29</v>
      </c>
      <c r="H30" s="41">
        <f t="shared" si="3"/>
        <v>0.11109625987281153</v>
      </c>
      <c r="I30" s="38">
        <v>961</v>
      </c>
      <c r="J30" s="38">
        <v>1059</v>
      </c>
      <c r="K30" s="42">
        <f t="shared" si="4"/>
        <v>11.678211204277554</v>
      </c>
      <c r="L30" s="42">
        <f t="shared" si="5"/>
        <v>12.869121399927087</v>
      </c>
      <c r="M30" s="43">
        <f t="shared" si="6"/>
        <v>473.47895581628052</v>
      </c>
      <c r="N30" s="44">
        <f t="shared" si="7"/>
        <v>2.0296572597260005</v>
      </c>
      <c r="O30" s="44">
        <f t="shared" si="8"/>
        <v>2.2366358356397864</v>
      </c>
      <c r="Q30" s="53">
        <v>2010</v>
      </c>
      <c r="R30" s="13">
        <f>R32-300</f>
        <v>982</v>
      </c>
      <c r="S30" s="13">
        <v>4565</v>
      </c>
      <c r="AD30" s="54">
        <v>2010</v>
      </c>
      <c r="AE30" s="13"/>
    </row>
    <row r="31" spans="2:31" ht="14.4" x14ac:dyDescent="0.3">
      <c r="B31" s="37" t="s">
        <v>90</v>
      </c>
      <c r="C31" s="51">
        <v>268354</v>
      </c>
      <c r="D31" s="55">
        <v>19294</v>
      </c>
      <c r="E31" s="47">
        <v>2981</v>
      </c>
      <c r="F31" s="47">
        <v>151112</v>
      </c>
      <c r="G31" s="48">
        <v>64.75</v>
      </c>
      <c r="H31" s="41">
        <f t="shared" si="3"/>
        <v>7.189756813760928E-2</v>
      </c>
      <c r="I31" s="38">
        <v>840.55</v>
      </c>
      <c r="J31" s="38">
        <v>1187</v>
      </c>
      <c r="K31" s="42">
        <f t="shared" si="4"/>
        <v>12.981467181467181</v>
      </c>
      <c r="L31" s="42">
        <f t="shared" si="5"/>
        <v>18.332046332046332</v>
      </c>
      <c r="M31" s="43">
        <f t="shared" si="6"/>
        <v>516.91714189869163</v>
      </c>
      <c r="N31" s="44">
        <f t="shared" si="7"/>
        <v>1.626082657875439</v>
      </c>
      <c r="O31" s="44">
        <f t="shared" si="8"/>
        <v>2.2963061268195184</v>
      </c>
      <c r="Q31" s="53">
        <v>2011</v>
      </c>
      <c r="R31" s="13">
        <f>R32-150</f>
        <v>1132</v>
      </c>
      <c r="S31" s="13">
        <v>6102</v>
      </c>
      <c r="AD31" s="54">
        <v>2011</v>
      </c>
      <c r="AE31" s="13"/>
    </row>
    <row r="32" spans="2:31" ht="14.4" x14ac:dyDescent="0.3">
      <c r="B32" s="37" t="s">
        <v>91</v>
      </c>
      <c r="C32" s="51">
        <v>364695</v>
      </c>
      <c r="D32" s="47">
        <v>19717</v>
      </c>
      <c r="E32" s="47">
        <v>2979</v>
      </c>
      <c r="F32" s="47">
        <v>166466</v>
      </c>
      <c r="G32" s="48">
        <v>66.150000000000006</v>
      </c>
      <c r="H32" s="41">
        <f t="shared" si="3"/>
        <v>5.4064355146080975E-2</v>
      </c>
      <c r="I32" s="38">
        <v>687.55</v>
      </c>
      <c r="J32" s="38">
        <v>1065.55</v>
      </c>
      <c r="K32" s="42">
        <f t="shared" si="4"/>
        <v>10.393801965230535</v>
      </c>
      <c r="L32" s="42">
        <f t="shared" si="5"/>
        <v>16.108087679516249</v>
      </c>
      <c r="M32" s="43">
        <f t="shared" si="6"/>
        <v>568.79825444780136</v>
      </c>
      <c r="N32" s="44">
        <f t="shared" si="7"/>
        <v>1.2087765646670008</v>
      </c>
      <c r="O32" s="44">
        <f t="shared" si="8"/>
        <v>1.8733355661128976</v>
      </c>
      <c r="Q32" s="53">
        <v>2012</v>
      </c>
      <c r="R32" s="13">
        <f>R33-184</f>
        <v>1282</v>
      </c>
      <c r="S32" s="13">
        <v>7635</v>
      </c>
      <c r="AD32" s="54">
        <v>2012</v>
      </c>
      <c r="AE32" s="13"/>
    </row>
    <row r="33" spans="1:37" ht="14.4" x14ac:dyDescent="0.3">
      <c r="B33" s="37" t="s">
        <v>92</v>
      </c>
      <c r="C33" s="51">
        <v>404929</v>
      </c>
      <c r="D33" s="47">
        <v>20886</v>
      </c>
      <c r="E33" s="47">
        <v>2936</v>
      </c>
      <c r="F33" s="47">
        <v>179094</v>
      </c>
      <c r="G33" s="48">
        <v>70.650000000000006</v>
      </c>
      <c r="H33" s="41">
        <f t="shared" si="3"/>
        <v>5.1579412687162443E-2</v>
      </c>
      <c r="I33" s="38">
        <v>671</v>
      </c>
      <c r="J33" s="38">
        <v>954.8</v>
      </c>
      <c r="K33" s="42">
        <f t="shared" si="4"/>
        <v>9.497523000707714</v>
      </c>
      <c r="L33" s="42">
        <f t="shared" si="5"/>
        <v>13.514508138711959</v>
      </c>
      <c r="M33" s="43">
        <f t="shared" si="6"/>
        <v>619.99318801089919</v>
      </c>
      <c r="N33" s="44">
        <f t="shared" si="7"/>
        <v>1.0822699555018402</v>
      </c>
      <c r="O33" s="44">
        <f t="shared" si="8"/>
        <v>1.5400169202878646</v>
      </c>
      <c r="Q33" s="53">
        <v>2013</v>
      </c>
      <c r="R33" s="13">
        <v>1466</v>
      </c>
      <c r="S33" s="13">
        <v>10845</v>
      </c>
      <c r="AD33" s="53">
        <v>2013</v>
      </c>
      <c r="AE33" s="13"/>
    </row>
    <row r="34" spans="1:37" ht="14.4" x14ac:dyDescent="0.3">
      <c r="B34" s="37" t="s">
        <v>93</v>
      </c>
      <c r="C34" s="51">
        <v>443461</v>
      </c>
      <c r="D34" s="47">
        <v>22493</v>
      </c>
      <c r="E34" s="47">
        <v>2940</v>
      </c>
      <c r="F34" s="47">
        <v>195730</v>
      </c>
      <c r="G34" s="48">
        <v>76.55</v>
      </c>
      <c r="H34" s="41">
        <f t="shared" si="3"/>
        <v>5.0721483963640547E-2</v>
      </c>
      <c r="I34" s="38">
        <v>765</v>
      </c>
      <c r="J34" s="38">
        <v>939.3</v>
      </c>
      <c r="K34" s="42">
        <f t="shared" si="4"/>
        <v>9.9934683213585895</v>
      </c>
      <c r="L34" s="42">
        <f t="shared" si="5"/>
        <v>12.270411495754409</v>
      </c>
      <c r="M34" s="43">
        <f t="shared" si="6"/>
        <v>675.74829931972783</v>
      </c>
      <c r="N34" s="44">
        <f t="shared" si="7"/>
        <v>1.1320783208335432</v>
      </c>
      <c r="O34" s="44">
        <f t="shared" si="8"/>
        <v>1.3900145970705191</v>
      </c>
      <c r="Q34" s="53">
        <v>2014</v>
      </c>
      <c r="R34" s="13">
        <v>1691</v>
      </c>
      <c r="S34" s="13">
        <v>14556</v>
      </c>
      <c r="AD34" s="53">
        <v>2014</v>
      </c>
      <c r="AE34" s="13"/>
      <c r="AH34" s="3"/>
      <c r="AI34" s="3"/>
      <c r="AJ34" s="3"/>
      <c r="AK34" s="3"/>
    </row>
    <row r="35" spans="1:37" ht="14.4" x14ac:dyDescent="0.3">
      <c r="B35" s="37" t="s">
        <v>94</v>
      </c>
      <c r="C35" s="56">
        <v>384048</v>
      </c>
      <c r="D35" s="47">
        <v>23566</v>
      </c>
      <c r="E35" s="47">
        <v>2943</v>
      </c>
      <c r="F35" s="47">
        <v>215539</v>
      </c>
      <c r="G35" s="48">
        <v>80.11</v>
      </c>
      <c r="H35" s="41">
        <f t="shared" si="3"/>
        <v>6.1362121401491478E-2</v>
      </c>
      <c r="I35" s="38">
        <v>796.75</v>
      </c>
      <c r="J35" s="38">
        <v>1142.5</v>
      </c>
      <c r="K35" s="42">
        <f t="shared" si="4"/>
        <v>9.9456996629634258</v>
      </c>
      <c r="L35" s="42">
        <f t="shared" si="5"/>
        <v>14.261640244663587</v>
      </c>
      <c r="M35" s="43">
        <f t="shared" si="6"/>
        <v>742.37852531430508</v>
      </c>
      <c r="N35" s="44">
        <f t="shared" si="7"/>
        <v>1.0732395574921505</v>
      </c>
      <c r="O35" s="44">
        <f t="shared" si="8"/>
        <v>1.5389723180857005</v>
      </c>
      <c r="Q35" s="53">
        <v>2015</v>
      </c>
      <c r="R35" s="13">
        <v>2621</v>
      </c>
      <c r="S35" s="13">
        <v>17640</v>
      </c>
      <c r="AD35" s="53">
        <v>2015</v>
      </c>
      <c r="AE35" s="13"/>
    </row>
    <row r="36" spans="1:37" ht="14.4" x14ac:dyDescent="0.3">
      <c r="B36" s="37" t="s">
        <v>95</v>
      </c>
      <c r="C36" s="56">
        <v>305351</v>
      </c>
      <c r="D36" s="47">
        <v>29861</v>
      </c>
      <c r="E36" s="47">
        <v>2948</v>
      </c>
      <c r="F36" s="47">
        <v>228608</v>
      </c>
      <c r="G36" s="48">
        <v>100.97</v>
      </c>
      <c r="H36" s="41">
        <f t="shared" si="3"/>
        <v>9.7792376641962858E-2</v>
      </c>
      <c r="I36" s="38">
        <v>814</v>
      </c>
      <c r="J36" s="38">
        <v>1089.5</v>
      </c>
      <c r="K36" s="42">
        <f t="shared" si="4"/>
        <v>8.0618005348123205</v>
      </c>
      <c r="L36" s="42">
        <f t="shared" si="5"/>
        <v>10.790333762503714</v>
      </c>
      <c r="M36" s="43">
        <f t="shared" si="6"/>
        <v>785.46811397557667</v>
      </c>
      <c r="N36" s="44">
        <f t="shared" si="7"/>
        <v>1.0363246903556806</v>
      </c>
      <c r="O36" s="44">
        <f t="shared" si="8"/>
        <v>1.3870709461210247</v>
      </c>
      <c r="Q36" s="53">
        <v>2016</v>
      </c>
      <c r="R36" s="13">
        <v>3245</v>
      </c>
      <c r="S36" s="13">
        <v>21075</v>
      </c>
      <c r="U36" s="2" t="s">
        <v>96</v>
      </c>
      <c r="V36" s="13" t="s">
        <v>97</v>
      </c>
      <c r="W36" s="13"/>
      <c r="X36" s="13" t="s">
        <v>97</v>
      </c>
      <c r="AD36" s="53">
        <v>2016</v>
      </c>
      <c r="AE36" s="13"/>
    </row>
    <row r="37" spans="1:37" ht="14.4" x14ac:dyDescent="0.3">
      <c r="B37" s="37" t="s">
        <v>98</v>
      </c>
      <c r="C37" s="51">
        <v>339623</v>
      </c>
      <c r="D37" s="55">
        <v>29833</v>
      </c>
      <c r="E37" s="47">
        <v>2959</v>
      </c>
      <c r="F37" s="47">
        <v>260750</v>
      </c>
      <c r="G37" s="48">
        <v>50.67</v>
      </c>
      <c r="H37" s="41">
        <f t="shared" si="3"/>
        <v>8.7841518389508363E-2</v>
      </c>
      <c r="I37" s="38">
        <v>925.7</v>
      </c>
      <c r="J37" s="38">
        <v>1336</v>
      </c>
      <c r="K37" s="42">
        <f t="shared" si="4"/>
        <v>18.269192816262088</v>
      </c>
      <c r="L37" s="42">
        <f t="shared" si="5"/>
        <v>26.36668640221038</v>
      </c>
      <c r="M37" s="43">
        <f t="shared" si="6"/>
        <v>891.20986819871587</v>
      </c>
      <c r="N37" s="44">
        <f t="shared" si="7"/>
        <v>1.03870034773178</v>
      </c>
      <c r="O37" s="44">
        <f t="shared" si="8"/>
        <v>1.4990857346544864</v>
      </c>
      <c r="Q37" s="53">
        <v>2017</v>
      </c>
      <c r="R37" s="38">
        <v>3616</v>
      </c>
      <c r="S37" s="13">
        <v>33765</v>
      </c>
      <c r="U37" s="4" t="s">
        <v>53</v>
      </c>
      <c r="V37" s="4" t="s">
        <v>99</v>
      </c>
      <c r="W37" s="4" t="s">
        <v>100</v>
      </c>
      <c r="X37" s="4" t="s">
        <v>88</v>
      </c>
      <c r="AD37" s="53">
        <v>2017</v>
      </c>
      <c r="AE37" s="13"/>
      <c r="AH37" s="57"/>
    </row>
    <row r="38" spans="1:37" ht="14.4" x14ac:dyDescent="0.3">
      <c r="B38" s="37" t="s">
        <v>101</v>
      </c>
      <c r="C38" s="51">
        <v>418214</v>
      </c>
      <c r="D38" s="47">
        <v>36080</v>
      </c>
      <c r="E38" s="47">
        <v>5922</v>
      </c>
      <c r="F38" s="47">
        <v>287584</v>
      </c>
      <c r="G38" s="48">
        <v>60.94</v>
      </c>
      <c r="H38" s="41">
        <f t="shared" si="3"/>
        <v>8.6271621705633961E-2</v>
      </c>
      <c r="I38" s="38">
        <v>780</v>
      </c>
      <c r="J38" s="38">
        <v>937</v>
      </c>
      <c r="K38" s="42">
        <f t="shared" si="4"/>
        <v>12.79947489333771</v>
      </c>
      <c r="L38" s="42">
        <f t="shared" si="5"/>
        <v>15.375779455201839</v>
      </c>
      <c r="M38" s="43">
        <f t="shared" si="6"/>
        <v>495.61972306653155</v>
      </c>
      <c r="N38" s="44">
        <f t="shared" si="7"/>
        <v>1.5737872479608594</v>
      </c>
      <c r="O38" s="44">
        <f t="shared" si="8"/>
        <v>1.8905623735119557</v>
      </c>
      <c r="Q38" s="53">
        <v>2018</v>
      </c>
      <c r="R38" s="38">
        <v>7573</v>
      </c>
      <c r="S38" s="13">
        <v>69138</v>
      </c>
      <c r="U38" s="37">
        <v>2018</v>
      </c>
      <c r="V38" s="38">
        <v>18.7</v>
      </c>
      <c r="W38" s="13"/>
      <c r="X38" s="13">
        <v>5421</v>
      </c>
      <c r="Z38" s="50" t="s">
        <v>102</v>
      </c>
      <c r="AD38" s="53">
        <v>2018</v>
      </c>
      <c r="AE38" s="13"/>
      <c r="AH38" s="58"/>
    </row>
    <row r="39" spans="1:37" ht="14.4" x14ac:dyDescent="0.3">
      <c r="B39" s="37" t="s">
        <v>103</v>
      </c>
      <c r="C39" s="59">
        <v>583094</v>
      </c>
      <c r="D39" s="47">
        <v>39837</v>
      </c>
      <c r="E39" s="47">
        <v>5926</v>
      </c>
      <c r="F39" s="47">
        <v>381186</v>
      </c>
      <c r="G39" s="48">
        <v>66.819999999999993</v>
      </c>
      <c r="H39" s="41">
        <f t="shared" si="3"/>
        <v>6.8320030732609144E-2</v>
      </c>
      <c r="I39" s="38">
        <v>886.1</v>
      </c>
      <c r="J39" s="38">
        <v>1386.6</v>
      </c>
      <c r="K39" s="42">
        <f t="shared" si="4"/>
        <v>13.260999700688417</v>
      </c>
      <c r="L39" s="42">
        <f t="shared" si="5"/>
        <v>20.751272074229274</v>
      </c>
      <c r="M39" s="43">
        <f t="shared" si="6"/>
        <v>653.24333445831928</v>
      </c>
      <c r="N39" s="44">
        <f t="shared" si="7"/>
        <v>1.3564623674802125</v>
      </c>
      <c r="O39" s="44">
        <f t="shared" si="8"/>
        <v>2.1226393395193122</v>
      </c>
      <c r="Q39" s="53">
        <v>2019</v>
      </c>
      <c r="R39" s="38">
        <v>10415</v>
      </c>
      <c r="S39" s="13">
        <v>130566</v>
      </c>
      <c r="U39" s="37">
        <v>2019</v>
      </c>
      <c r="V39" s="38">
        <v>30.7</v>
      </c>
      <c r="W39" s="13"/>
      <c r="X39" s="13">
        <v>13609</v>
      </c>
      <c r="Z39" s="2" t="s">
        <v>53</v>
      </c>
      <c r="AA39" s="2" t="s">
        <v>104</v>
      </c>
      <c r="AB39" s="2" t="s">
        <v>88</v>
      </c>
      <c r="AD39" s="53">
        <v>2019</v>
      </c>
      <c r="AE39" s="13"/>
      <c r="AH39" s="58"/>
    </row>
    <row r="40" spans="1:37" ht="14.4" x14ac:dyDescent="0.3">
      <c r="B40" s="37" t="s">
        <v>105</v>
      </c>
      <c r="C40" s="59">
        <v>612437</v>
      </c>
      <c r="D40" s="47">
        <v>39880</v>
      </c>
      <c r="E40" s="47">
        <v>6339</v>
      </c>
      <c r="F40" s="47">
        <v>446992</v>
      </c>
      <c r="G40" s="48">
        <v>63.49</v>
      </c>
      <c r="H40" s="41">
        <f t="shared" si="3"/>
        <v>6.5116901820105572E-2</v>
      </c>
      <c r="I40" s="38">
        <v>875.7</v>
      </c>
      <c r="J40" s="38">
        <v>1617.8</v>
      </c>
      <c r="K40" s="42">
        <f t="shared" si="4"/>
        <v>13.792723263506064</v>
      </c>
      <c r="L40" s="42">
        <f t="shared" si="5"/>
        <v>25.481178138289494</v>
      </c>
      <c r="M40" s="43">
        <f t="shared" si="6"/>
        <v>715.14592206972713</v>
      </c>
      <c r="N40" s="44">
        <f t="shared" si="7"/>
        <v>1.2245053393657173</v>
      </c>
      <c r="O40" s="44">
        <f t="shared" si="8"/>
        <v>2.2621956583600062</v>
      </c>
      <c r="Q40" s="53">
        <v>2020</v>
      </c>
      <c r="R40" s="46">
        <v>11784</v>
      </c>
      <c r="S40" s="13">
        <v>163029</v>
      </c>
      <c r="U40" s="37">
        <v>2020</v>
      </c>
      <c r="V40" s="46">
        <v>38.799999999999997</v>
      </c>
      <c r="W40" s="43">
        <v>130</v>
      </c>
      <c r="X40" s="13">
        <v>69605</v>
      </c>
      <c r="Z40" s="37">
        <v>2020</v>
      </c>
      <c r="AA40" s="60">
        <v>0.11899999999999999</v>
      </c>
      <c r="AB40" s="13">
        <v>5357</v>
      </c>
      <c r="AD40" s="54">
        <v>2020</v>
      </c>
      <c r="AE40" s="13">
        <v>451355</v>
      </c>
      <c r="AH40" s="58"/>
    </row>
    <row r="41" spans="1:37" ht="14.4" x14ac:dyDescent="0.3">
      <c r="B41" s="37" t="s">
        <v>106</v>
      </c>
      <c r="C41" s="61">
        <v>486326</v>
      </c>
      <c r="D41" s="47">
        <v>53739</v>
      </c>
      <c r="E41" s="47">
        <v>6445</v>
      </c>
      <c r="F41" s="47">
        <v>693727</v>
      </c>
      <c r="G41" s="48">
        <v>76.37</v>
      </c>
      <c r="H41" s="41">
        <f t="shared" si="3"/>
        <v>0.11049995270662066</v>
      </c>
      <c r="I41" s="38">
        <v>1035</v>
      </c>
      <c r="J41" s="38">
        <v>2369</v>
      </c>
      <c r="K41" s="42">
        <f t="shared" si="4"/>
        <v>13.552442058399894</v>
      </c>
      <c r="L41" s="42">
        <f t="shared" si="5"/>
        <v>31.02003404478198</v>
      </c>
      <c r="M41" s="43">
        <f t="shared" si="6"/>
        <v>1086.3801396431343</v>
      </c>
      <c r="N41" s="44">
        <f t="shared" si="7"/>
        <v>0.95270519243842933</v>
      </c>
      <c r="O41" s="44">
        <f t="shared" si="8"/>
        <v>2.1806363293590718</v>
      </c>
      <c r="Q41" s="53">
        <v>2021</v>
      </c>
      <c r="R41" s="38">
        <v>12711</v>
      </c>
      <c r="S41" s="13">
        <v>157702</v>
      </c>
      <c r="U41" s="37">
        <v>2021</v>
      </c>
      <c r="V41" s="38">
        <v>42.6</v>
      </c>
      <c r="W41" s="43">
        <v>138</v>
      </c>
      <c r="X41" s="13">
        <v>90287</v>
      </c>
      <c r="Z41" s="37">
        <v>2021</v>
      </c>
      <c r="AA41" s="60">
        <v>0.12640000000000001</v>
      </c>
      <c r="AB41" s="13">
        <v>4705</v>
      </c>
      <c r="AD41" s="54">
        <v>2021</v>
      </c>
      <c r="AE41" s="13">
        <v>320008</v>
      </c>
    </row>
    <row r="42" spans="1:37" ht="14.4" x14ac:dyDescent="0.3">
      <c r="B42" s="37" t="s">
        <v>107</v>
      </c>
      <c r="C42" s="61">
        <v>721634</v>
      </c>
      <c r="D42" s="47">
        <v>67845</v>
      </c>
      <c r="E42" s="47">
        <v>6765</v>
      </c>
      <c r="F42" s="47">
        <v>772720</v>
      </c>
      <c r="G42" s="48">
        <v>92</v>
      </c>
      <c r="H42" s="41">
        <f t="shared" si="3"/>
        <v>9.4015803024802044E-2</v>
      </c>
      <c r="I42" s="38">
        <v>1877</v>
      </c>
      <c r="J42" s="38">
        <v>2751</v>
      </c>
      <c r="K42" s="42">
        <f t="shared" si="4"/>
        <v>20.402173913043477</v>
      </c>
      <c r="L42" s="42">
        <f t="shared" si="5"/>
        <v>29.902173913043477</v>
      </c>
      <c r="M42" s="43">
        <f t="shared" si="6"/>
        <v>1152.2320768662232</v>
      </c>
      <c r="N42" s="44">
        <f t="shared" si="7"/>
        <v>1.629012104145686</v>
      </c>
      <c r="O42" s="44">
        <f t="shared" si="8"/>
        <v>2.387539850029186</v>
      </c>
      <c r="Q42" s="53">
        <v>2022</v>
      </c>
      <c r="R42" s="38">
        <v>15196</v>
      </c>
      <c r="S42" s="13">
        <v>199704</v>
      </c>
      <c r="U42" s="37">
        <v>2022</v>
      </c>
      <c r="V42" s="38">
        <v>41</v>
      </c>
      <c r="W42" s="43">
        <v>168</v>
      </c>
      <c r="X42" s="13">
        <v>95804</v>
      </c>
      <c r="Z42" s="37">
        <v>2022</v>
      </c>
      <c r="AA42" s="60">
        <v>8.4000000000000005E-2</v>
      </c>
      <c r="AB42" s="13">
        <v>5880</v>
      </c>
      <c r="AD42" s="54">
        <v>2022</v>
      </c>
      <c r="AE42" s="13">
        <v>500900</v>
      </c>
    </row>
    <row r="43" spans="1:37" ht="14.4" x14ac:dyDescent="0.3">
      <c r="B43" s="37" t="s">
        <v>108</v>
      </c>
      <c r="C43" s="61">
        <v>891311</v>
      </c>
      <c r="D43" s="47">
        <v>74088</v>
      </c>
      <c r="E43" s="47">
        <v>6766</v>
      </c>
      <c r="F43" s="47">
        <v>822215</v>
      </c>
      <c r="G43" s="48">
        <v>98.59</v>
      </c>
      <c r="H43" s="41">
        <f t="shared" si="3"/>
        <v>8.312250157352484E-2</v>
      </c>
      <c r="I43" s="38">
        <v>2180</v>
      </c>
      <c r="J43" s="38">
        <v>2856</v>
      </c>
      <c r="K43" s="42">
        <f t="shared" si="4"/>
        <v>22.111776042194947</v>
      </c>
      <c r="L43" s="42">
        <f t="shared" si="5"/>
        <v>28.968455218582005</v>
      </c>
      <c r="M43" s="43">
        <f t="shared" si="6"/>
        <v>1225.2157848063848</v>
      </c>
      <c r="N43" s="44">
        <f t="shared" si="7"/>
        <v>1.7792784153074679</v>
      </c>
      <c r="O43" s="44">
        <f t="shared" si="8"/>
        <v>2.3310179606046462</v>
      </c>
      <c r="Q43" s="53">
        <v>2023</v>
      </c>
      <c r="R43" s="3">
        <v>18040</v>
      </c>
      <c r="S43" s="62">
        <v>260364</v>
      </c>
      <c r="T43" s="57"/>
      <c r="U43" s="37">
        <v>2023</v>
      </c>
      <c r="V43" s="43">
        <v>43.9</v>
      </c>
      <c r="W43" s="43">
        <v>178.8</v>
      </c>
      <c r="X43" s="63">
        <v>115099</v>
      </c>
      <c r="Z43" s="37">
        <v>2023</v>
      </c>
      <c r="AA43" s="60">
        <v>0.107</v>
      </c>
      <c r="AB43" s="13">
        <v>6223</v>
      </c>
      <c r="AD43" s="54">
        <v>2023</v>
      </c>
      <c r="AE43" s="13">
        <v>594649</v>
      </c>
    </row>
    <row r="44" spans="1:37" ht="14.4" x14ac:dyDescent="0.3">
      <c r="B44" s="37" t="s">
        <v>109</v>
      </c>
      <c r="C44" s="61">
        <v>914472</v>
      </c>
      <c r="D44" s="47">
        <v>79020</v>
      </c>
      <c r="E44" s="47">
        <v>6766</v>
      </c>
      <c r="F44" s="47">
        <v>786715</v>
      </c>
      <c r="G44" s="48">
        <v>102.9</v>
      </c>
      <c r="H44" s="41">
        <f t="shared" si="3"/>
        <v>8.6410518856782928E-2</v>
      </c>
      <c r="I44" s="38">
        <v>2095</v>
      </c>
      <c r="J44" s="38">
        <v>3024</v>
      </c>
      <c r="K44" s="42">
        <f t="shared" si="4"/>
        <v>20.359572400388725</v>
      </c>
      <c r="L44" s="42">
        <f t="shared" si="5"/>
        <v>29.387755102040813</v>
      </c>
      <c r="M44" s="43">
        <f t="shared" si="6"/>
        <v>1172.7475613360921</v>
      </c>
      <c r="N44" s="44">
        <f t="shared" si="7"/>
        <v>1.7864032031012718</v>
      </c>
      <c r="O44" s="44">
        <f t="shared" si="8"/>
        <v>2.578560041135201</v>
      </c>
      <c r="Q44" s="53">
        <v>2024</v>
      </c>
      <c r="R44" s="3">
        <v>18836</v>
      </c>
      <c r="S44" s="3">
        <v>306786</v>
      </c>
      <c r="U44" s="37">
        <v>2024</v>
      </c>
      <c r="V44" s="44">
        <v>48.2</v>
      </c>
      <c r="W44" s="43">
        <v>181.7</v>
      </c>
      <c r="X44" s="63">
        <v>128521</v>
      </c>
      <c r="Y44" s="3"/>
      <c r="Z44" s="37">
        <v>2024</v>
      </c>
      <c r="AA44" s="60">
        <v>0.113</v>
      </c>
      <c r="AB44" s="13">
        <v>10826</v>
      </c>
      <c r="AD44" s="54">
        <v>2024</v>
      </c>
      <c r="AE44" s="13">
        <v>564749</v>
      </c>
    </row>
    <row r="45" spans="1:37" ht="14.4" x14ac:dyDescent="0.3">
      <c r="B45" s="37" t="s">
        <v>110</v>
      </c>
      <c r="C45" s="61">
        <v>980136</v>
      </c>
      <c r="D45" s="47">
        <v>81309</v>
      </c>
      <c r="E45" s="47">
        <v>13532</v>
      </c>
      <c r="F45" s="47">
        <v>829668</v>
      </c>
      <c r="G45" s="48">
        <v>51.47</v>
      </c>
      <c r="H45" s="41">
        <f t="shared" si="3"/>
        <v>8.2956854967065799E-2</v>
      </c>
      <c r="I45" s="38">
        <v>1156</v>
      </c>
      <c r="J45" s="38">
        <v>1608</v>
      </c>
      <c r="K45" s="42">
        <f t="shared" si="4"/>
        <v>22.459685253545754</v>
      </c>
      <c r="L45" s="42">
        <f t="shared" si="5"/>
        <v>31.241499902856035</v>
      </c>
      <c r="M45" s="43">
        <f t="shared" si="6"/>
        <v>623.1155778894472</v>
      </c>
      <c r="N45" s="44">
        <f t="shared" si="7"/>
        <v>1.8551935483870969</v>
      </c>
      <c r="O45" s="44">
        <f t="shared" si="8"/>
        <v>2.5805806451612905</v>
      </c>
      <c r="Q45" s="53">
        <v>2025</v>
      </c>
      <c r="R45" s="3">
        <v>19340</v>
      </c>
      <c r="S45" s="62">
        <f>S44+X62-Y62</f>
        <v>315328</v>
      </c>
      <c r="U45" s="37">
        <v>2025</v>
      </c>
      <c r="V45" s="44">
        <v>48.82</v>
      </c>
      <c r="W45" s="43">
        <v>206</v>
      </c>
      <c r="X45" s="63">
        <v>150270</v>
      </c>
      <c r="Y45" s="64"/>
      <c r="Z45" s="37">
        <v>2025</v>
      </c>
      <c r="AA45" s="57">
        <v>0.11899999999999999</v>
      </c>
      <c r="AB45" s="3">
        <v>9497</v>
      </c>
      <c r="AD45" s="37">
        <v>2025</v>
      </c>
      <c r="AE45" s="3">
        <f>AE44+X61-Y61</f>
        <v>562420</v>
      </c>
    </row>
    <row r="46" spans="1:37" ht="14.4" x14ac:dyDescent="0.3">
      <c r="B46" s="37" t="s">
        <v>111</v>
      </c>
      <c r="C46" s="61">
        <f>C45+C61-D61</f>
        <v>992579</v>
      </c>
      <c r="D46" s="47">
        <f>D45+C67-D67</f>
        <v>94701</v>
      </c>
      <c r="E46" s="47">
        <v>13532</v>
      </c>
      <c r="F46" s="47">
        <f>F45+H67</f>
        <v>852972</v>
      </c>
      <c r="G46" s="48">
        <f>N56</f>
        <v>60.230000000000004</v>
      </c>
      <c r="H46" s="41">
        <f t="shared" si="3"/>
        <v>9.5409030414707538E-2</v>
      </c>
      <c r="I46" s="38">
        <v>1115</v>
      </c>
      <c r="J46" s="38">
        <v>1525</v>
      </c>
      <c r="K46" s="42">
        <f t="shared" si="4"/>
        <v>18.512369251203719</v>
      </c>
      <c r="L46" s="42">
        <f t="shared" si="5"/>
        <v>25.319608168686699</v>
      </c>
      <c r="M46" s="43">
        <f t="shared" si="6"/>
        <v>640.33697901271057</v>
      </c>
      <c r="N46" s="44">
        <f t="shared" si="7"/>
        <v>1.7412706692640774</v>
      </c>
      <c r="O46" s="44">
        <f t="shared" si="8"/>
        <v>2.3815585386795677</v>
      </c>
      <c r="Y46" s="64"/>
    </row>
    <row r="47" spans="1:37" ht="14.4" x14ac:dyDescent="0.3">
      <c r="Q47" s="65" t="s">
        <v>26</v>
      </c>
      <c r="R47" s="65" t="s">
        <v>112</v>
      </c>
      <c r="S47" s="65" t="s">
        <v>88</v>
      </c>
      <c r="T47" s="3"/>
      <c r="U47" s="65" t="s">
        <v>26</v>
      </c>
      <c r="V47" s="4" t="s">
        <v>99</v>
      </c>
      <c r="W47" s="65" t="s">
        <v>100</v>
      </c>
      <c r="X47" s="65" t="s">
        <v>88</v>
      </c>
      <c r="Y47" s="57"/>
      <c r="Z47" s="65" t="s">
        <v>26</v>
      </c>
      <c r="AA47" s="65" t="s">
        <v>113</v>
      </c>
      <c r="AB47" s="65" t="s">
        <v>88</v>
      </c>
      <c r="AD47" s="65" t="s">
        <v>26</v>
      </c>
      <c r="AE47" s="65" t="s">
        <v>88</v>
      </c>
    </row>
    <row r="48" spans="1:37" ht="14.4" x14ac:dyDescent="0.3">
      <c r="A48" s="4" t="s">
        <v>114</v>
      </c>
      <c r="B48" s="4" t="s">
        <v>53</v>
      </c>
      <c r="C48" s="4" t="s">
        <v>54</v>
      </c>
      <c r="D48" s="4" t="s">
        <v>55</v>
      </c>
      <c r="E48" s="4" t="s">
        <v>10</v>
      </c>
      <c r="F48" s="4" t="s">
        <v>56</v>
      </c>
      <c r="G48" s="4" t="s">
        <v>57</v>
      </c>
      <c r="H48" s="4" t="s">
        <v>58</v>
      </c>
      <c r="I48" s="4" t="s">
        <v>59</v>
      </c>
      <c r="J48" s="4" t="s">
        <v>60</v>
      </c>
      <c r="K48" s="4" t="s">
        <v>61</v>
      </c>
      <c r="L48" s="4" t="s">
        <v>62</v>
      </c>
      <c r="M48" s="4" t="s">
        <v>63</v>
      </c>
      <c r="N48" s="4" t="s">
        <v>64</v>
      </c>
      <c r="O48" s="4" t="s">
        <v>65</v>
      </c>
      <c r="Q48" s="13" t="s">
        <v>115</v>
      </c>
      <c r="R48" s="13"/>
      <c r="S48" s="13"/>
      <c r="T48" s="3"/>
      <c r="U48" s="13" t="s">
        <v>115</v>
      </c>
      <c r="V48" s="13"/>
      <c r="W48" s="13"/>
      <c r="X48" s="60"/>
      <c r="Z48" s="43"/>
      <c r="AA48" s="13"/>
      <c r="AB48" s="13"/>
      <c r="AD48" s="13" t="s">
        <v>115</v>
      </c>
      <c r="AE48" s="13"/>
    </row>
    <row r="49" spans="1:33" ht="14.4" x14ac:dyDescent="0.3">
      <c r="B49" s="13" t="s">
        <v>116</v>
      </c>
      <c r="C49" s="66">
        <f t="shared" ref="C49:F49" si="10">(C45/C15)^(1/30)-1</f>
        <v>0.17722998396567058</v>
      </c>
      <c r="D49" s="66">
        <f t="shared" si="10"/>
        <v>0.15547797812826025</v>
      </c>
      <c r="E49" s="66">
        <f t="shared" si="10"/>
        <v>0.11965532547892077</v>
      </c>
      <c r="F49" s="66">
        <f t="shared" si="10"/>
        <v>0.17406876609970956</v>
      </c>
      <c r="G49" s="66">
        <f>((16*G45)/G15)^(1/30)-1</f>
        <v>0.12609832596560744</v>
      </c>
      <c r="H49" s="66">
        <f>MEDIAN(H15:H45)</f>
        <v>9.4015803024802044E-2</v>
      </c>
      <c r="I49" s="66">
        <f t="shared" ref="I49:J49" si="11">((16*I45)/I15)^(1/30)-1</f>
        <v>0.15685130254275204</v>
      </c>
      <c r="J49" s="66">
        <f t="shared" si="11"/>
        <v>0.14590161236260135</v>
      </c>
      <c r="K49" s="67">
        <f t="shared" ref="K49:L49" si="12">MEDIAN(K15:K45)</f>
        <v>10.008450704225352</v>
      </c>
      <c r="L49" s="67">
        <f t="shared" si="12"/>
        <v>17.394968099193452</v>
      </c>
      <c r="M49" s="66">
        <f>((16*M45)/M15)^(1/30)-1</f>
        <v>0.14823852057952536</v>
      </c>
      <c r="N49" s="67">
        <f t="shared" ref="N49:O49" si="13">MEDIAN(N15:N45)</f>
        <v>1.2087765646670008</v>
      </c>
      <c r="O49" s="67">
        <f t="shared" si="13"/>
        <v>2.2366358356397864</v>
      </c>
      <c r="Q49" s="13" t="s">
        <v>117</v>
      </c>
      <c r="R49" s="13"/>
      <c r="S49" s="13"/>
      <c r="T49" s="3"/>
      <c r="U49" s="13" t="s">
        <v>117</v>
      </c>
      <c r="V49" s="13"/>
      <c r="W49" s="13"/>
      <c r="X49" s="60"/>
      <c r="Y49" s="58"/>
      <c r="Z49" s="43"/>
      <c r="AA49" s="13"/>
      <c r="AB49" s="13"/>
      <c r="AC49" s="60"/>
      <c r="AD49" s="13" t="s">
        <v>117</v>
      </c>
      <c r="AE49" s="13"/>
    </row>
    <row r="50" spans="1:33" ht="14.4" x14ac:dyDescent="0.3">
      <c r="A50" s="68"/>
      <c r="B50" s="13" t="s">
        <v>118</v>
      </c>
      <c r="C50" s="66">
        <f t="shared" ref="C50:F50" si="14">(C45/C25)^(1/20)-1</f>
        <v>0.14307744077752815</v>
      </c>
      <c r="D50" s="66">
        <f t="shared" si="14"/>
        <v>0.12560429618804103</v>
      </c>
      <c r="E50" s="66">
        <f t="shared" si="14"/>
        <v>0.12038978543670331</v>
      </c>
      <c r="F50" s="66">
        <f t="shared" si="14"/>
        <v>0.16414043560923997</v>
      </c>
      <c r="G50" s="66">
        <f>((8*G45)/G25)^(1/20)-1</f>
        <v>0.10624851175855654</v>
      </c>
      <c r="H50" s="66">
        <f>MEDIAN(H25:H45)</f>
        <v>8.6410518856782928E-2</v>
      </c>
      <c r="I50" s="66">
        <f t="shared" ref="I50:J50" si="15">((8*I45)/I25)^(1/20)-1</f>
        <v>0.17273320738262532</v>
      </c>
      <c r="J50" s="66">
        <f t="shared" si="15"/>
        <v>0.16554404916859911</v>
      </c>
      <c r="K50" s="67">
        <f t="shared" ref="K50:L50" si="16">MEDIAN(K25:K45)</f>
        <v>12.79947489333771</v>
      </c>
      <c r="L50" s="67">
        <f t="shared" si="16"/>
        <v>18.332046332046332</v>
      </c>
      <c r="M50" s="66">
        <f>((8*M45)/M25)^(1/20)-1</f>
        <v>0.15184261469116311</v>
      </c>
      <c r="N50" s="67">
        <f t="shared" ref="N50:O50" si="17">MEDIAN(N25:N45)</f>
        <v>1.3564623674802125</v>
      </c>
      <c r="O50" s="67">
        <f t="shared" si="17"/>
        <v>2.2366358356397864</v>
      </c>
      <c r="Q50" s="54" t="s">
        <v>119</v>
      </c>
      <c r="R50" s="60">
        <f t="shared" ref="R50:S50" si="18">(R45/R35)^(1/10)-1</f>
        <v>0.22123416316903621</v>
      </c>
      <c r="S50" s="60">
        <f t="shared" si="18"/>
        <v>0.33421677145438311</v>
      </c>
      <c r="T50" s="57"/>
      <c r="U50" s="54" t="s">
        <v>119</v>
      </c>
      <c r="V50" s="60"/>
      <c r="W50" s="60"/>
      <c r="X50" s="60"/>
      <c r="Y50" s="58"/>
      <c r="Z50" s="43"/>
      <c r="AA50" s="13"/>
      <c r="AB50" s="13"/>
      <c r="AD50" s="54" t="s">
        <v>119</v>
      </c>
      <c r="AE50" s="69">
        <v>0.104</v>
      </c>
    </row>
    <row r="51" spans="1:33" ht="14.4" x14ac:dyDescent="0.3">
      <c r="B51" s="13" t="s">
        <v>120</v>
      </c>
      <c r="C51" s="66">
        <f t="shared" ref="C51:F51" si="19">(C45/C35)^(1/10)-1</f>
        <v>9.822185814723694E-2</v>
      </c>
      <c r="D51" s="66">
        <f t="shared" si="19"/>
        <v>0.13184061638811251</v>
      </c>
      <c r="E51" s="66">
        <f t="shared" si="19"/>
        <v>0.16481558478630731</v>
      </c>
      <c r="F51" s="66">
        <f t="shared" si="19"/>
        <v>0.14429459773882436</v>
      </c>
      <c r="G51" s="66">
        <f>((4*G45)/G35)^(1/10)-1</f>
        <v>9.8987474806035758E-2</v>
      </c>
      <c r="H51" s="66">
        <f>MEDIAN(H35:H45)</f>
        <v>8.6271621705633961E-2</v>
      </c>
      <c r="I51" s="66">
        <f t="shared" ref="I51:J51" si="20">((4*I45)/I35)^(1/10)-1</f>
        <v>0.19225616097885756</v>
      </c>
      <c r="J51" s="66">
        <f t="shared" si="20"/>
        <v>0.18863628240071173</v>
      </c>
      <c r="K51" s="67">
        <f t="shared" ref="K51:L51" si="21">MEDIAN(K35:K45)</f>
        <v>13.792723263506064</v>
      </c>
      <c r="L51" s="67">
        <f t="shared" si="21"/>
        <v>26.36668640221038</v>
      </c>
      <c r="M51" s="66">
        <f>((4*M45)/M35)^(1/10)-1</f>
        <v>0.1287566447980808</v>
      </c>
      <c r="N51" s="67">
        <f t="shared" ref="N51:O51" si="22">MEDIAN(N35:N45)</f>
        <v>1.3564623674802125</v>
      </c>
      <c r="O51" s="67">
        <f t="shared" si="22"/>
        <v>2.1806363293590718</v>
      </c>
      <c r="Q51" s="54" t="s">
        <v>121</v>
      </c>
      <c r="R51" s="60">
        <f t="shared" ref="R51:S51" si="23">(R45/R40)^(1/5)-1</f>
        <v>0.10416187407337696</v>
      </c>
      <c r="S51" s="60">
        <f t="shared" si="23"/>
        <v>0.1410364928281671</v>
      </c>
      <c r="U51" s="54" t="s">
        <v>121</v>
      </c>
      <c r="V51" s="60">
        <f t="shared" ref="V51:X51" si="24">(V45/V40)^(1/5)-1</f>
        <v>4.7015738390604911E-2</v>
      </c>
      <c r="W51" s="60">
        <f t="shared" si="24"/>
        <v>9.6439754233448083E-2</v>
      </c>
      <c r="X51" s="60">
        <f t="shared" si="24"/>
        <v>0.16639693489980778</v>
      </c>
      <c r="Y51" s="58"/>
      <c r="Z51" s="43"/>
      <c r="AA51" s="13"/>
      <c r="AB51" s="13"/>
      <c r="AD51" s="54" t="s">
        <v>121</v>
      </c>
      <c r="AE51" s="69">
        <v>7.0000000000000007E-2</v>
      </c>
    </row>
    <row r="52" spans="1:33" ht="14.4" x14ac:dyDescent="0.3">
      <c r="B52" s="13" t="s">
        <v>122</v>
      </c>
      <c r="C52" s="66">
        <f t="shared" ref="C52:F52" si="25">(C45/C40)^(1/5)-1</f>
        <v>9.8613633255465682E-2</v>
      </c>
      <c r="D52" s="66">
        <f t="shared" si="25"/>
        <v>0.15312581300102379</v>
      </c>
      <c r="E52" s="66">
        <f t="shared" si="25"/>
        <v>0.16377292041479752</v>
      </c>
      <c r="F52" s="66">
        <f t="shared" si="25"/>
        <v>0.13167290481413096</v>
      </c>
      <c r="G52" s="66">
        <f>((2*G45)/G40)^(1/5)-1</f>
        <v>0.10147784789918224</v>
      </c>
      <c r="H52" s="66">
        <f>MEDIAN(H40:H45)</f>
        <v>8.4766510215153884E-2</v>
      </c>
      <c r="I52" s="66">
        <f t="shared" ref="I52:J52" si="26">((2*I45)/I40)^(1/5)-1</f>
        <v>0.2143014007871511</v>
      </c>
      <c r="J52" s="66">
        <f t="shared" si="26"/>
        <v>0.14730329748266136</v>
      </c>
      <c r="K52" s="67">
        <f t="shared" ref="K52:L52" si="27">MEDIAN(K40:K45)</f>
        <v>20.380873156716099</v>
      </c>
      <c r="L52" s="67">
        <f t="shared" si="27"/>
        <v>29.644964507542145</v>
      </c>
      <c r="M52" s="66">
        <f>((2*M45)/M40)^(1/5)-1</f>
        <v>0.1174826463012959</v>
      </c>
      <c r="N52" s="67">
        <f t="shared" ref="N52:O52" si="28">MEDIAN(N40:N45)</f>
        <v>1.7041452597265769</v>
      </c>
      <c r="O52" s="67">
        <f t="shared" si="28"/>
        <v>2.3592789053169163</v>
      </c>
      <c r="Q52" s="54" t="s">
        <v>25</v>
      </c>
      <c r="R52" s="60">
        <f t="shared" ref="R52:S52" si="29">(R45/R44)-1</f>
        <v>2.6757273306434515E-2</v>
      </c>
      <c r="S52" s="60">
        <f t="shared" si="29"/>
        <v>2.7843513067741021E-2</v>
      </c>
      <c r="U52" s="54" t="s">
        <v>25</v>
      </c>
      <c r="V52" s="60">
        <f t="shared" ref="V52:X52" si="30">(V45/V44)-1</f>
        <v>1.2863070539419041E-2</v>
      </c>
      <c r="W52" s="60">
        <f t="shared" si="30"/>
        <v>0.13373692900385259</v>
      </c>
      <c r="X52" s="60">
        <f t="shared" si="30"/>
        <v>0.16922526279751948</v>
      </c>
      <c r="Z52" s="54" t="s">
        <v>25</v>
      </c>
      <c r="AA52" s="60">
        <f t="shared" ref="AA52:AB52" si="31">(AA45/AA44)-1</f>
        <v>5.3097345132743223E-2</v>
      </c>
      <c r="AB52" s="60">
        <f t="shared" si="31"/>
        <v>-0.12276002216885273</v>
      </c>
      <c r="AD52" s="54" t="s">
        <v>25</v>
      </c>
      <c r="AE52" s="60">
        <f>(AE44/AE43)-1</f>
        <v>-5.0281762855062362E-2</v>
      </c>
    </row>
    <row r="53" spans="1:33" ht="14.4" x14ac:dyDescent="0.3">
      <c r="B53" s="54" t="s">
        <v>25</v>
      </c>
      <c r="C53" s="70">
        <f t="shared" ref="C53:F53" si="32">(C45/C44)-1</f>
        <v>7.1805369655932649E-2</v>
      </c>
      <c r="D53" s="70">
        <f t="shared" si="32"/>
        <v>2.8967350037965023E-2</v>
      </c>
      <c r="E53" s="70">
        <f t="shared" si="32"/>
        <v>1</v>
      </c>
      <c r="F53" s="70">
        <f t="shared" si="32"/>
        <v>5.459791665342606E-2</v>
      </c>
      <c r="G53" s="70">
        <f>((2*G45)/G44)-1</f>
        <v>3.8872691933899972E-4</v>
      </c>
      <c r="H53" s="71">
        <f>H45</f>
        <v>8.2956854967065799E-2</v>
      </c>
      <c r="I53" s="70">
        <f t="shared" ref="I53:J53" si="33">((2*I45)/I44)-1</f>
        <v>0.1035799522673031</v>
      </c>
      <c r="J53" s="70">
        <f t="shared" si="33"/>
        <v>6.3492063492063489E-2</v>
      </c>
      <c r="K53" s="72">
        <f t="shared" ref="K53:L53" si="34">K45</f>
        <v>22.459685253545754</v>
      </c>
      <c r="L53" s="72">
        <f t="shared" si="34"/>
        <v>31.241499902856035</v>
      </c>
      <c r="M53" s="70">
        <f>((2*M45)/M44)-1</f>
        <v>6.2659345340342121E-2</v>
      </c>
      <c r="N53" s="72">
        <f t="shared" ref="N53:O53" si="35">N45</f>
        <v>1.8551935483870969</v>
      </c>
      <c r="O53" s="72">
        <f t="shared" si="35"/>
        <v>2.5805806451612905</v>
      </c>
      <c r="S53" s="73"/>
      <c r="Y53" s="73"/>
      <c r="AA53" s="3"/>
      <c r="AB53" s="57"/>
    </row>
    <row r="54" spans="1:33" ht="14.4" x14ac:dyDescent="0.3">
      <c r="K54" s="74">
        <f>MEDIAN(K49:L53)</f>
        <v>19.356459744381215</v>
      </c>
      <c r="L54" s="75"/>
      <c r="N54" s="74">
        <f>MEDIAN(N49:O53)</f>
        <v>2.0179149388730844</v>
      </c>
      <c r="O54" s="75"/>
      <c r="Q54" s="3"/>
      <c r="R54" s="3"/>
      <c r="S54" s="3"/>
      <c r="T54" s="3"/>
      <c r="V54" s="3"/>
      <c r="W54" s="3"/>
      <c r="X54" s="3"/>
      <c r="Y54" s="3"/>
    </row>
    <row r="55" spans="1:33" ht="18" x14ac:dyDescent="0.35">
      <c r="B55" s="27" t="s">
        <v>123</v>
      </c>
      <c r="C55" s="27" t="s">
        <v>124</v>
      </c>
      <c r="D55" s="27" t="s">
        <v>125</v>
      </c>
      <c r="E55" s="27" t="s">
        <v>126</v>
      </c>
      <c r="F55" s="27" t="s">
        <v>127</v>
      </c>
      <c r="G55" s="27" t="s">
        <v>128</v>
      </c>
      <c r="I55" s="65" t="s">
        <v>129</v>
      </c>
      <c r="J55" s="27" t="s">
        <v>130</v>
      </c>
      <c r="K55" s="27" t="s">
        <v>131</v>
      </c>
      <c r="L55" s="27" t="s">
        <v>132</v>
      </c>
      <c r="M55" s="27" t="s">
        <v>127</v>
      </c>
      <c r="N55" s="65" t="s">
        <v>133</v>
      </c>
      <c r="P55" s="76" t="s">
        <v>134</v>
      </c>
      <c r="Q55" s="77" t="s">
        <v>135</v>
      </c>
      <c r="R55" s="77" t="s">
        <v>136</v>
      </c>
      <c r="S55" s="77" t="s">
        <v>137</v>
      </c>
      <c r="V55" s="3"/>
      <c r="W55" s="3"/>
      <c r="X55" s="3"/>
      <c r="Y55" s="3"/>
    </row>
    <row r="56" spans="1:33" ht="14.4" x14ac:dyDescent="0.3">
      <c r="B56" s="78" t="s">
        <v>6</v>
      </c>
      <c r="C56" s="79">
        <v>5.8000000000000003E-2</v>
      </c>
      <c r="D56" s="79">
        <v>6.2E-2</v>
      </c>
      <c r="E56" s="79">
        <v>7.1999999999999995E-2</v>
      </c>
      <c r="F56" s="79">
        <v>5.2999999999999999E-2</v>
      </c>
      <c r="G56" s="79">
        <v>7.4999999999999997E-2</v>
      </c>
      <c r="H56" s="57"/>
      <c r="I56" s="78" t="s">
        <v>57</v>
      </c>
      <c r="J56" s="80">
        <v>12.24</v>
      </c>
      <c r="K56" s="80">
        <v>13.7</v>
      </c>
      <c r="L56" s="80">
        <v>14.34</v>
      </c>
      <c r="M56" s="80">
        <v>19.95</v>
      </c>
      <c r="N56" s="81">
        <f>SUM(J56:M56)</f>
        <v>60.230000000000004</v>
      </c>
      <c r="P56" s="82">
        <f>51.47*2</f>
        <v>102.94</v>
      </c>
      <c r="Q56" s="83">
        <f>N56</f>
        <v>60.230000000000004</v>
      </c>
      <c r="R56" s="84">
        <f>E78</f>
        <v>59.190499999999993</v>
      </c>
      <c r="S56" s="85">
        <f ca="1">R58/15</f>
        <v>1.5538529550068565</v>
      </c>
      <c r="V56" s="3"/>
      <c r="W56" s="3"/>
      <c r="X56" s="3"/>
      <c r="Y56" s="3"/>
    </row>
    <row r="57" spans="1:33" ht="18" x14ac:dyDescent="0.35">
      <c r="B57" s="78" t="s">
        <v>7</v>
      </c>
      <c r="C57" s="79">
        <v>-3.7999999999999999E-2</v>
      </c>
      <c r="D57" s="79">
        <v>-4.9000000000000002E-2</v>
      </c>
      <c r="E57" s="79">
        <v>-4.5999999999999999E-2</v>
      </c>
      <c r="F57" s="79">
        <v>0.755</v>
      </c>
      <c r="G57" s="86">
        <v>0.15</v>
      </c>
      <c r="H57" s="57"/>
      <c r="P57" s="76" t="s">
        <v>138</v>
      </c>
      <c r="Q57" s="77" t="s">
        <v>139</v>
      </c>
      <c r="R57" s="77" t="s">
        <v>140</v>
      </c>
      <c r="S57" s="75"/>
      <c r="Y57" s="3"/>
      <c r="Z57" s="57"/>
    </row>
    <row r="58" spans="1:33" ht="15" customHeight="1" x14ac:dyDescent="0.3">
      <c r="B58" s="78" t="s">
        <v>141</v>
      </c>
      <c r="C58" s="60">
        <v>7.6999999999999999E-2</v>
      </c>
      <c r="D58" s="60">
        <v>7.8E-2</v>
      </c>
      <c r="E58" s="60">
        <v>0.08</v>
      </c>
      <c r="F58" s="60">
        <v>0.12520000000000001</v>
      </c>
      <c r="G58" s="60">
        <v>9.6000000000000002E-2</v>
      </c>
      <c r="H58" s="57"/>
      <c r="P58" s="87">
        <f>(2*C4)/P56</f>
        <v>24.771711676704879</v>
      </c>
      <c r="Q58" s="88">
        <f ca="1">C3/Q56</f>
        <v>22.905528806242732</v>
      </c>
      <c r="R58" s="84">
        <f ca="1">C3/R56</f>
        <v>23.307794325102847</v>
      </c>
      <c r="S58" s="75"/>
    </row>
    <row r="60" spans="1:33" ht="14.4" x14ac:dyDescent="0.3">
      <c r="A60" s="27" t="s">
        <v>142</v>
      </c>
      <c r="B60" s="27" t="s">
        <v>143</v>
      </c>
      <c r="C60" s="26" t="s">
        <v>127</v>
      </c>
      <c r="D60" s="26" t="s">
        <v>144</v>
      </c>
      <c r="E60" s="27" t="s">
        <v>114</v>
      </c>
      <c r="G60" s="27" t="s">
        <v>143</v>
      </c>
      <c r="H60" s="26" t="s">
        <v>132</v>
      </c>
      <c r="I60" s="26" t="s">
        <v>145</v>
      </c>
      <c r="J60" s="27" t="s">
        <v>114</v>
      </c>
      <c r="L60" s="27" t="s">
        <v>143</v>
      </c>
      <c r="M60" s="26" t="s">
        <v>126</v>
      </c>
      <c r="N60" s="26" t="s">
        <v>146</v>
      </c>
      <c r="O60" s="27" t="s">
        <v>114</v>
      </c>
      <c r="Q60" s="27" t="s">
        <v>147</v>
      </c>
      <c r="R60" s="26" t="s">
        <v>127</v>
      </c>
      <c r="S60" s="26" t="s">
        <v>144</v>
      </c>
      <c r="T60" s="27" t="s">
        <v>148</v>
      </c>
      <c r="U60" s="27" t="s">
        <v>149</v>
      </c>
      <c r="W60" s="26" t="s">
        <v>150</v>
      </c>
      <c r="X60" s="26" t="s">
        <v>127</v>
      </c>
      <c r="Y60" s="26" t="s">
        <v>144</v>
      </c>
      <c r="Z60" s="26" t="s">
        <v>148</v>
      </c>
      <c r="AA60" s="26" t="s">
        <v>114</v>
      </c>
      <c r="AC60" s="27" t="s">
        <v>151</v>
      </c>
      <c r="AD60" s="26" t="s">
        <v>126</v>
      </c>
      <c r="AE60" s="26" t="s">
        <v>146</v>
      </c>
      <c r="AF60" s="27" t="s">
        <v>148</v>
      </c>
      <c r="AG60" s="27" t="s">
        <v>114</v>
      </c>
    </row>
    <row r="61" spans="1:33" ht="14.4" x14ac:dyDescent="0.3">
      <c r="B61" s="27" t="s">
        <v>6</v>
      </c>
      <c r="C61" s="89">
        <v>248660</v>
      </c>
      <c r="D61" s="89">
        <v>236217</v>
      </c>
      <c r="E61" s="90">
        <f t="shared" ref="E61:E63" si="36">(C61/D61)-1</f>
        <v>5.2676141005939536E-2</v>
      </c>
      <c r="G61" s="27" t="s">
        <v>6</v>
      </c>
      <c r="H61" s="89">
        <v>264573</v>
      </c>
      <c r="I61" s="89">
        <v>240715</v>
      </c>
      <c r="J61" s="90">
        <f t="shared" ref="J61:J63" si="37">(H61/I61)-1</f>
        <v>9.9113059011694427E-2</v>
      </c>
      <c r="K61" s="36"/>
      <c r="L61" s="27" t="s">
        <v>6</v>
      </c>
      <c r="M61" s="89">
        <v>980136</v>
      </c>
      <c r="N61" s="89">
        <v>914475</v>
      </c>
      <c r="O61" s="90">
        <v>7.1801853522512893E-2</v>
      </c>
      <c r="Q61" s="27" t="s">
        <v>152</v>
      </c>
      <c r="R61" s="91">
        <v>99282</v>
      </c>
      <c r="S61" s="91">
        <v>109206</v>
      </c>
      <c r="T61" s="90">
        <f t="shared" ref="T61:T68" si="38">R61/$R$70</f>
        <v>0.43807389038666039</v>
      </c>
      <c r="U61" s="90">
        <f t="shared" ref="U61:U67" si="39">(R61/S61)-1</f>
        <v>-9.0874127795176118E-2</v>
      </c>
      <c r="W61" s="13" t="s">
        <v>84</v>
      </c>
      <c r="X61" s="13">
        <v>154804</v>
      </c>
      <c r="Y61" s="13">
        <v>157133</v>
      </c>
      <c r="Z61" s="69">
        <f t="shared" ref="Z61:Z65" si="40">X61/$X$67</f>
        <v>0.50672672161519883</v>
      </c>
      <c r="AA61" s="60">
        <f t="shared" ref="AA61:AA65" si="41">(X61/Y61)^(1/1)-1</f>
        <v>-1.4821838824435329E-2</v>
      </c>
      <c r="AC61" s="13" t="s">
        <v>153</v>
      </c>
      <c r="AD61" s="13">
        <v>12392</v>
      </c>
      <c r="AE61" s="63">
        <v>11101</v>
      </c>
      <c r="AF61" s="69">
        <f t="shared" ref="AF61:AF64" si="42">AD61/$AD$67</f>
        <v>0.15709341683252412</v>
      </c>
      <c r="AG61" s="60">
        <f t="shared" ref="AG61:AG62" si="43">(AD61/AE61)^(1/1)-1</f>
        <v>0.11629582920457615</v>
      </c>
    </row>
    <row r="62" spans="1:33" ht="14.4" x14ac:dyDescent="0.3">
      <c r="B62" s="27" t="s">
        <v>154</v>
      </c>
      <c r="C62" s="89">
        <v>226633</v>
      </c>
      <c r="D62" s="89">
        <v>216966</v>
      </c>
      <c r="E62" s="90">
        <f t="shared" si="36"/>
        <v>4.4555368122194183E-2</v>
      </c>
      <c r="G62" s="27" t="s">
        <v>154</v>
      </c>
      <c r="H62" s="89">
        <v>240375</v>
      </c>
      <c r="I62" s="89">
        <v>217529</v>
      </c>
      <c r="J62" s="90">
        <f t="shared" si="37"/>
        <v>0.10502507711615472</v>
      </c>
      <c r="L62" s="27" t="s">
        <v>154</v>
      </c>
      <c r="M62" s="89">
        <v>892097</v>
      </c>
      <c r="N62" s="89">
        <v>826189</v>
      </c>
      <c r="O62" s="90">
        <v>7.9773514292734493E-2</v>
      </c>
      <c r="Q62" s="27" t="s">
        <v>155</v>
      </c>
      <c r="R62" s="91">
        <v>57582</v>
      </c>
      <c r="S62" s="91">
        <v>50001</v>
      </c>
      <c r="T62" s="90">
        <f t="shared" si="38"/>
        <v>0.25407597304893814</v>
      </c>
      <c r="U62" s="90">
        <f t="shared" si="39"/>
        <v>0.1516169676606467</v>
      </c>
      <c r="W62" s="13" t="s">
        <v>153</v>
      </c>
      <c r="X62" s="13">
        <v>84172</v>
      </c>
      <c r="Y62" s="13">
        <v>75630</v>
      </c>
      <c r="Z62" s="69">
        <f t="shared" si="40"/>
        <v>0.27552389868346111</v>
      </c>
      <c r="AA62" s="60">
        <f t="shared" si="41"/>
        <v>0.11294459870421791</v>
      </c>
      <c r="AC62" s="13" t="s">
        <v>156</v>
      </c>
      <c r="AD62" s="13">
        <v>26109</v>
      </c>
      <c r="AE62" s="63">
        <v>21423</v>
      </c>
      <c r="AF62" s="69">
        <f t="shared" si="42"/>
        <v>0.3309838621756272</v>
      </c>
      <c r="AG62" s="60">
        <f t="shared" si="43"/>
        <v>0.21873687158661248</v>
      </c>
    </row>
    <row r="63" spans="1:33" ht="14.4" x14ac:dyDescent="0.3">
      <c r="B63" s="27" t="s">
        <v>157</v>
      </c>
      <c r="C63" s="92">
        <f t="shared" ref="C63:D63" si="44">C66+R64</f>
        <v>50988</v>
      </c>
      <c r="D63" s="92">
        <f t="shared" si="44"/>
        <v>36830</v>
      </c>
      <c r="E63" s="90">
        <f t="shared" si="36"/>
        <v>0.38441487917458583</v>
      </c>
      <c r="G63" s="27" t="s">
        <v>157</v>
      </c>
      <c r="H63" s="89">
        <f>29103</f>
        <v>29103</v>
      </c>
      <c r="I63" s="89">
        <v>27720</v>
      </c>
      <c r="J63" s="90">
        <f t="shared" si="37"/>
        <v>4.9891774891774876E-2</v>
      </c>
      <c r="L63" s="27" t="s">
        <v>157</v>
      </c>
      <c r="M63" s="92">
        <v>159153</v>
      </c>
      <c r="N63" s="92">
        <v>155172</v>
      </c>
      <c r="O63" s="90">
        <v>2.5655401747737949E-2</v>
      </c>
      <c r="Q63" s="27" t="s">
        <v>158</v>
      </c>
      <c r="R63" s="93">
        <v>40845</v>
      </c>
      <c r="S63" s="93">
        <v>32490</v>
      </c>
      <c r="T63" s="90">
        <f t="shared" si="38"/>
        <v>0.1802252981692869</v>
      </c>
      <c r="U63" s="90">
        <f t="shared" si="39"/>
        <v>0.25715604801477387</v>
      </c>
      <c r="W63" s="13" t="s">
        <v>156</v>
      </c>
      <c r="X63" s="13">
        <v>41949</v>
      </c>
      <c r="Y63" s="13">
        <v>35470</v>
      </c>
      <c r="Z63" s="69">
        <f t="shared" si="40"/>
        <v>0.13731350123405064</v>
      </c>
      <c r="AA63" s="60">
        <f t="shared" si="41"/>
        <v>0.18266140400338315</v>
      </c>
      <c r="AC63" s="13" t="s">
        <v>159</v>
      </c>
      <c r="AD63" s="13">
        <v>243</v>
      </c>
      <c r="AE63" s="63">
        <v>-92</v>
      </c>
      <c r="AF63" s="69">
        <f t="shared" si="42"/>
        <v>3.0805116438269334E-3</v>
      </c>
      <c r="AG63" s="60">
        <v>-3.41</v>
      </c>
    </row>
    <row r="64" spans="1:33" ht="14.4" x14ac:dyDescent="0.3">
      <c r="B64" s="27" t="s">
        <v>160</v>
      </c>
      <c r="C64" s="94">
        <f t="shared" ref="C64:D64" si="45">C63/C61</f>
        <v>0.20505107375532855</v>
      </c>
      <c r="D64" s="94">
        <f t="shared" si="45"/>
        <v>0.15591595863125854</v>
      </c>
      <c r="E64" s="90">
        <f>C64-D64</f>
        <v>4.9135115124070011E-2</v>
      </c>
      <c r="F64" s="57"/>
      <c r="G64" s="27" t="s">
        <v>160</v>
      </c>
      <c r="H64" s="94">
        <f t="shared" ref="H64:I64" si="46">H63/H61</f>
        <v>0.10999988660974476</v>
      </c>
      <c r="I64" s="94">
        <f t="shared" si="46"/>
        <v>0.11515692831772012</v>
      </c>
      <c r="J64" s="90">
        <f>H64-I64</f>
        <v>-5.15704170797536E-3</v>
      </c>
      <c r="L64" s="27" t="s">
        <v>160</v>
      </c>
      <c r="M64" s="94">
        <v>0.16237848625088763</v>
      </c>
      <c r="N64" s="94">
        <v>0.16968424505864022</v>
      </c>
      <c r="O64" s="90">
        <v>-7.3057588077525826E-3</v>
      </c>
      <c r="Q64" s="27" t="s">
        <v>161</v>
      </c>
      <c r="R64" s="93">
        <v>13842</v>
      </c>
      <c r="S64" s="93">
        <v>13596</v>
      </c>
      <c r="T64" s="90">
        <f t="shared" si="38"/>
        <v>6.1076718747931677E-2</v>
      </c>
      <c r="U64" s="90">
        <f t="shared" si="39"/>
        <v>1.8093556928508336E-2</v>
      </c>
      <c r="W64" s="13" t="s">
        <v>162</v>
      </c>
      <c r="X64" s="13">
        <v>18470</v>
      </c>
      <c r="Y64" s="13">
        <v>12080</v>
      </c>
      <c r="Z64" s="69">
        <f t="shared" si="40"/>
        <v>6.0458660940497157E-2</v>
      </c>
      <c r="AA64" s="60">
        <f t="shared" si="41"/>
        <v>0.5289735099337749</v>
      </c>
      <c r="AC64" s="13" t="s">
        <v>162</v>
      </c>
      <c r="AD64" s="13">
        <f t="shared" ref="AD64:AE64" si="47">C67-SUM(AD61:AD63)</f>
        <v>-7610</v>
      </c>
      <c r="AE64" s="63">
        <f t="shared" si="47"/>
        <v>-14690</v>
      </c>
      <c r="AF64" s="69">
        <f t="shared" si="42"/>
        <v>-9.6471990162645946E-2</v>
      </c>
      <c r="AG64" s="60">
        <f>(AD64/AE64)^(1/1)-1</f>
        <v>-0.48196051735874745</v>
      </c>
    </row>
    <row r="65" spans="2:33" ht="14.4" x14ac:dyDescent="0.3">
      <c r="B65" s="27" t="s">
        <v>163</v>
      </c>
      <c r="C65" s="89">
        <v>7036</v>
      </c>
      <c r="D65" s="89">
        <v>5918</v>
      </c>
      <c r="E65" s="90">
        <f t="shared" ref="E65:E69" si="48">(C65/D65)-1</f>
        <v>0.18891517404528546</v>
      </c>
      <c r="G65" s="27" t="s">
        <v>163</v>
      </c>
      <c r="H65" s="89">
        <v>6155</v>
      </c>
      <c r="I65" s="89">
        <v>5761</v>
      </c>
      <c r="J65" s="90">
        <f t="shared" ref="J65:J69" si="49">(H65/I65)-1</f>
        <v>6.8390904356882443E-2</v>
      </c>
      <c r="L65" s="27" t="s">
        <v>163</v>
      </c>
      <c r="M65" s="89">
        <v>24269</v>
      </c>
      <c r="N65" s="89">
        <v>23118</v>
      </c>
      <c r="O65" s="90">
        <v>4.9788043948438387E-2</v>
      </c>
      <c r="Q65" s="27" t="s">
        <v>164</v>
      </c>
      <c r="R65" s="91">
        <v>7232</v>
      </c>
      <c r="S65" s="91">
        <v>7071</v>
      </c>
      <c r="T65" s="90">
        <f t="shared" si="38"/>
        <v>3.1910622018858685E-2</v>
      </c>
      <c r="U65" s="90">
        <f t="shared" si="39"/>
        <v>2.2769056710507662E-2</v>
      </c>
      <c r="W65" s="13" t="s">
        <v>165</v>
      </c>
      <c r="X65" s="13">
        <v>6103</v>
      </c>
      <c r="Y65" s="13">
        <v>6179</v>
      </c>
      <c r="Z65" s="69">
        <f t="shared" si="40"/>
        <v>1.997721752679232E-2</v>
      </c>
      <c r="AA65" s="60">
        <f t="shared" si="41"/>
        <v>-1.2299724874575202E-2</v>
      </c>
    </row>
    <row r="66" spans="2:33" ht="14.4" x14ac:dyDescent="0.3">
      <c r="B66" s="27" t="s">
        <v>166</v>
      </c>
      <c r="C66" s="89">
        <v>37146</v>
      </c>
      <c r="D66" s="89">
        <v>23234</v>
      </c>
      <c r="E66" s="90">
        <f t="shared" si="48"/>
        <v>0.59877765343892575</v>
      </c>
      <c r="G66" s="27" t="s">
        <v>166</v>
      </c>
      <c r="H66" s="89"/>
      <c r="I66" s="89"/>
      <c r="J66" s="90" t="e">
        <f t="shared" si="49"/>
        <v>#DIV/0!</v>
      </c>
      <c r="L66" s="27" t="s">
        <v>166</v>
      </c>
      <c r="M66" s="89">
        <v>106017</v>
      </c>
      <c r="N66" s="89">
        <v>104340</v>
      </c>
      <c r="O66" s="90">
        <v>1.6072455434157584E-2</v>
      </c>
      <c r="Q66" s="27" t="s">
        <v>167</v>
      </c>
      <c r="R66" s="91">
        <v>7036</v>
      </c>
      <c r="S66" s="91">
        <v>5918</v>
      </c>
      <c r="T66" s="90">
        <f t="shared" si="38"/>
        <v>3.1045787683170588E-2</v>
      </c>
      <c r="U66" s="90">
        <f t="shared" si="39"/>
        <v>0.18891517404528546</v>
      </c>
      <c r="W66" s="13"/>
      <c r="X66" s="13"/>
      <c r="Y66" s="13"/>
      <c r="Z66" s="69"/>
      <c r="AA66" s="60"/>
    </row>
    <row r="67" spans="2:33" ht="14.4" x14ac:dyDescent="0.3">
      <c r="B67" s="27" t="s">
        <v>7</v>
      </c>
      <c r="C67" s="89">
        <v>31134</v>
      </c>
      <c r="D67" s="89">
        <v>17742</v>
      </c>
      <c r="E67" s="90">
        <f t="shared" si="48"/>
        <v>0.75481907338518761</v>
      </c>
      <c r="G67" s="27" t="s">
        <v>7</v>
      </c>
      <c r="H67" s="89">
        <v>23304</v>
      </c>
      <c r="I67" s="89">
        <v>24246</v>
      </c>
      <c r="J67" s="90">
        <f t="shared" si="49"/>
        <v>-3.8851769364018796E-2</v>
      </c>
      <c r="L67" s="27" t="s">
        <v>7</v>
      </c>
      <c r="M67" s="89">
        <v>78873</v>
      </c>
      <c r="N67" s="89">
        <v>82689</v>
      </c>
      <c r="O67" s="90">
        <v>-4.6148822697093972E-2</v>
      </c>
      <c r="Q67" s="27" t="s">
        <v>168</v>
      </c>
      <c r="R67" s="91">
        <v>5028</v>
      </c>
      <c r="S67" s="91">
        <v>4433</v>
      </c>
      <c r="T67" s="90">
        <f t="shared" si="38"/>
        <v>2.2185648162447658E-2</v>
      </c>
      <c r="U67" s="90">
        <f t="shared" si="39"/>
        <v>0.13422061809158592</v>
      </c>
      <c r="W67" s="13" t="s">
        <v>169</v>
      </c>
      <c r="X67" s="13">
        <f t="shared" ref="X67:Y67" si="50">SUM(X61:X66)</f>
        <v>305498</v>
      </c>
      <c r="Y67" s="13">
        <f t="shared" si="50"/>
        <v>286492</v>
      </c>
      <c r="Z67" s="69">
        <f>X67/$X$67</f>
        <v>1</v>
      </c>
      <c r="AA67" s="60">
        <f>(X67/Y67)^(1/1)-1</f>
        <v>6.634042137302254E-2</v>
      </c>
      <c r="AC67" s="95" t="s">
        <v>170</v>
      </c>
      <c r="AD67" s="96">
        <v>78883</v>
      </c>
      <c r="AE67" s="96">
        <v>79020</v>
      </c>
      <c r="AF67" s="97">
        <f>AD67/$AD$67</f>
        <v>1</v>
      </c>
      <c r="AG67" s="60">
        <f>(AD67/AE67)^(1/1)-1</f>
        <v>-1.7337382941027268E-3</v>
      </c>
    </row>
    <row r="68" spans="2:33" ht="14.4" x14ac:dyDescent="0.3">
      <c r="B68" s="27" t="s">
        <v>10</v>
      </c>
      <c r="C68" s="89">
        <v>13532</v>
      </c>
      <c r="D68" s="89">
        <v>6766</v>
      </c>
      <c r="E68" s="90">
        <f t="shared" si="48"/>
        <v>1</v>
      </c>
      <c r="F68" s="36"/>
      <c r="G68" s="27" t="s">
        <v>10</v>
      </c>
      <c r="H68" s="89">
        <v>13532</v>
      </c>
      <c r="I68" s="89">
        <v>6766</v>
      </c>
      <c r="J68" s="90">
        <f t="shared" si="49"/>
        <v>1</v>
      </c>
      <c r="L68" s="27" t="s">
        <v>10</v>
      </c>
      <c r="M68" s="89">
        <v>13532</v>
      </c>
      <c r="N68" s="89">
        <v>6766</v>
      </c>
      <c r="O68" s="90">
        <v>1</v>
      </c>
      <c r="Q68" s="27" t="s">
        <v>171</v>
      </c>
      <c r="R68" s="91">
        <v>-4214</v>
      </c>
      <c r="S68" s="91">
        <v>-5749</v>
      </c>
      <c r="T68" s="90">
        <f t="shared" si="38"/>
        <v>-1.8593938217294038E-2</v>
      </c>
      <c r="U68" s="90">
        <v>1.45</v>
      </c>
    </row>
    <row r="69" spans="2:33" ht="14.4" x14ac:dyDescent="0.3">
      <c r="B69" s="27" t="s">
        <v>57</v>
      </c>
      <c r="C69" s="98">
        <v>19.95</v>
      </c>
      <c r="D69" s="89">
        <v>11.19</v>
      </c>
      <c r="E69" s="90">
        <f t="shared" si="48"/>
        <v>0.78284182305630035</v>
      </c>
      <c r="F69" s="36"/>
      <c r="G69" s="27" t="s">
        <v>57</v>
      </c>
      <c r="H69" s="98">
        <v>14.34</v>
      </c>
      <c r="I69" s="89">
        <v>13.7</v>
      </c>
      <c r="J69" s="90">
        <f t="shared" si="49"/>
        <v>4.6715328467153316E-2</v>
      </c>
      <c r="L69" s="27" t="s">
        <v>57</v>
      </c>
      <c r="M69" s="98">
        <v>51.47</v>
      </c>
      <c r="N69" s="89">
        <v>51.45</v>
      </c>
      <c r="O69" s="90">
        <v>3.8872691933899972E-4</v>
      </c>
      <c r="AD69" s="73"/>
      <c r="AE69" s="57"/>
    </row>
    <row r="70" spans="2:33" ht="14.4" x14ac:dyDescent="0.3">
      <c r="B70" s="27" t="s">
        <v>172</v>
      </c>
      <c r="C70" s="94">
        <f t="shared" ref="C70:D70" si="51">C67/C61</f>
        <v>0.12520711011019062</v>
      </c>
      <c r="D70" s="90">
        <f t="shared" si="51"/>
        <v>7.5108904100890286E-2</v>
      </c>
      <c r="E70" s="90">
        <f t="shared" ref="E70:E71" si="52">C70-D70</f>
        <v>5.0098206009300331E-2</v>
      </c>
      <c r="F70" s="57"/>
      <c r="G70" s="27" t="s">
        <v>172</v>
      </c>
      <c r="H70" s="90">
        <f t="shared" ref="H70:I70" si="53">H67/H61</f>
        <v>8.8081550271569664E-2</v>
      </c>
      <c r="I70" s="90">
        <f t="shared" si="53"/>
        <v>0.10072492366491494</v>
      </c>
      <c r="J70" s="90">
        <f t="shared" ref="J70:J71" si="54">H70-I70</f>
        <v>-1.2643373393345272E-2</v>
      </c>
      <c r="L70" s="27" t="s">
        <v>172</v>
      </c>
      <c r="M70" s="94">
        <v>8.0471485589754893E-2</v>
      </c>
      <c r="N70" s="90">
        <v>9.0422373492987776E-2</v>
      </c>
      <c r="O70" s="90">
        <v>-9.9508879032328829E-3</v>
      </c>
      <c r="Q70" s="27" t="s">
        <v>173</v>
      </c>
      <c r="R70" s="99">
        <f t="shared" ref="R70:S70" si="55">SUM(R61:R68)</f>
        <v>226633</v>
      </c>
      <c r="S70" s="99">
        <f t="shared" si="55"/>
        <v>216966</v>
      </c>
      <c r="T70" s="90">
        <f>R70/$R$70</f>
        <v>1</v>
      </c>
      <c r="U70" s="90">
        <f>(R70/S70)-1</f>
        <v>4.4555368122194183E-2</v>
      </c>
      <c r="AD70" s="73"/>
      <c r="AE70" s="57"/>
    </row>
    <row r="71" spans="2:33" ht="14.4" x14ac:dyDescent="0.3">
      <c r="B71" s="27" t="s">
        <v>38</v>
      </c>
      <c r="C71" s="100">
        <f t="shared" ref="C71:D71" si="56">(C61-C62+C65)/C65</f>
        <v>4.1306139852188748</v>
      </c>
      <c r="D71" s="100">
        <f t="shared" si="56"/>
        <v>4.2529570800946264</v>
      </c>
      <c r="E71" s="100">
        <f t="shared" si="52"/>
        <v>-0.12234309487575157</v>
      </c>
      <c r="G71" s="27" t="s">
        <v>38</v>
      </c>
      <c r="H71" s="100">
        <f t="shared" ref="H71:I71" si="57">(H61-H62+H65)/H65</f>
        <v>4.9314378554021125</v>
      </c>
      <c r="I71" s="100">
        <f t="shared" si="57"/>
        <v>5.0246484985245621</v>
      </c>
      <c r="J71" s="100">
        <f t="shared" si="54"/>
        <v>-9.3210643122449532E-2</v>
      </c>
      <c r="L71" s="27" t="s">
        <v>38</v>
      </c>
      <c r="M71" s="100">
        <v>4.6276319584655319</v>
      </c>
      <c r="N71" s="100">
        <v>4.8189289730945584</v>
      </c>
      <c r="O71" s="100">
        <v>-0.19129701462902649</v>
      </c>
      <c r="AD71" s="73"/>
      <c r="AE71" s="57"/>
    </row>
    <row r="72" spans="2:33" ht="14.4" x14ac:dyDescent="0.3">
      <c r="AD72" s="73"/>
      <c r="AE72" s="57"/>
    </row>
    <row r="73" spans="2:33" ht="14.4" x14ac:dyDescent="0.3">
      <c r="B73" s="101" t="s">
        <v>174</v>
      </c>
      <c r="C73" s="101" t="s">
        <v>175</v>
      </c>
      <c r="D73" s="101" t="s">
        <v>55</v>
      </c>
      <c r="E73" s="101" t="s">
        <v>57</v>
      </c>
      <c r="F73" s="101" t="s">
        <v>141</v>
      </c>
      <c r="AD73" s="73"/>
      <c r="AE73" s="57"/>
    </row>
    <row r="74" spans="2:33" ht="14.4" x14ac:dyDescent="0.3">
      <c r="B74" s="53" t="s">
        <v>176</v>
      </c>
      <c r="C74" s="102">
        <v>7.4999999999999997E-2</v>
      </c>
      <c r="D74" s="102">
        <f>(D78/D45)-1</f>
        <v>0.1533103567870715</v>
      </c>
      <c r="E74" s="102">
        <v>0.15</v>
      </c>
      <c r="F74" s="60">
        <v>8.8999999999999996E-2</v>
      </c>
      <c r="X74" s="3"/>
      <c r="Y74" s="3"/>
      <c r="AD74" s="73"/>
      <c r="AE74" s="57"/>
    </row>
    <row r="75" spans="2:33" ht="14.4" x14ac:dyDescent="0.3">
      <c r="B75" s="53" t="s">
        <v>177</v>
      </c>
      <c r="C75" s="102">
        <v>0.12</v>
      </c>
      <c r="D75" s="102">
        <v>0.12</v>
      </c>
      <c r="E75" s="102">
        <v>0.12</v>
      </c>
      <c r="F75" s="60">
        <f>AVERAGE(H49:H53)</f>
        <v>8.688426175388772E-2</v>
      </c>
      <c r="X75" s="73"/>
      <c r="Y75" s="57"/>
    </row>
    <row r="76" spans="2:33" ht="14.4" x14ac:dyDescent="0.3">
      <c r="X76" s="73"/>
      <c r="Y76" s="57"/>
      <c r="AD76" s="73"/>
      <c r="AE76" s="57"/>
    </row>
    <row r="77" spans="2:33" ht="27.6" x14ac:dyDescent="0.3">
      <c r="B77" s="101" t="s">
        <v>178</v>
      </c>
      <c r="C77" s="101" t="s">
        <v>175</v>
      </c>
      <c r="D77" s="101" t="s">
        <v>55</v>
      </c>
      <c r="E77" s="101" t="s">
        <v>57</v>
      </c>
      <c r="F77" s="101" t="s">
        <v>179</v>
      </c>
      <c r="G77" s="101" t="s">
        <v>180</v>
      </c>
      <c r="H77" s="101" t="s">
        <v>181</v>
      </c>
      <c r="I77" s="103"/>
      <c r="J77" s="101" t="s">
        <v>63</v>
      </c>
      <c r="K77" s="101" t="s">
        <v>179</v>
      </c>
      <c r="L77" s="101" t="s">
        <v>180</v>
      </c>
      <c r="M77" s="101" t="s">
        <v>181</v>
      </c>
    </row>
    <row r="78" spans="2:33" ht="14.4" x14ac:dyDescent="0.3">
      <c r="B78" s="53" t="s">
        <v>182</v>
      </c>
      <c r="C78" s="104">
        <f>FV(C74,1,0,-C45,0)</f>
        <v>1053646.2</v>
      </c>
      <c r="D78" s="104">
        <f t="shared" ref="D78:D79" si="58">C78*F74</f>
        <v>93774.511799999993</v>
      </c>
      <c r="E78" s="104">
        <f>FV(E74,1,0,-G45,0)</f>
        <v>59.190499999999993</v>
      </c>
      <c r="F78" s="105">
        <f t="shared" ref="F78:F80" si="59">E78*AVERAGE($K$49:$K$53)</f>
        <v>940.43295579874325</v>
      </c>
      <c r="G78" s="106">
        <f t="shared" ref="G78:G80" si="60">E78*$K$54</f>
        <v>1145.7185304997961</v>
      </c>
      <c r="H78" s="105">
        <f t="shared" ref="H78:H80" si="61">E78*AVERAGE($L$49:$L$53)</f>
        <v>1455.8514941732008</v>
      </c>
      <c r="I78" s="103"/>
      <c r="J78" s="107">
        <f>(E78*90%)+M45</f>
        <v>676.38702788944715</v>
      </c>
      <c r="K78" s="105">
        <f t="shared" ref="K78:K80" si="62">J78*AVERAGE($N$49:$N$53)</f>
        <v>1012.0156967993503</v>
      </c>
      <c r="L78" s="106">
        <f t="shared" ref="L78:L80" si="63">J78*$N$54</f>
        <v>1364.891488038081</v>
      </c>
      <c r="M78" s="105">
        <f t="shared" ref="M78:M80" si="64">J78*AVERAGE($O$49:$O$53)</f>
        <v>1568.3747951882083</v>
      </c>
    </row>
    <row r="79" spans="2:33" ht="14.4" x14ac:dyDescent="0.3">
      <c r="B79" s="53" t="s">
        <v>183</v>
      </c>
      <c r="C79" s="104">
        <f>FV(C75,4,0,-C78,0)</f>
        <v>1657932.6942904324</v>
      </c>
      <c r="D79" s="104">
        <f t="shared" si="58"/>
        <v>144048.25818105825</v>
      </c>
      <c r="E79" s="104">
        <f>(D79*E78)/D78</f>
        <v>90.923303808294833</v>
      </c>
      <c r="F79" s="105">
        <f t="shared" si="59"/>
        <v>1444.6114047257895</v>
      </c>
      <c r="G79" s="106">
        <f t="shared" si="60"/>
        <v>1759.9532699914023</v>
      </c>
      <c r="H79" s="105">
        <f t="shared" si="61"/>
        <v>2236.3525853721444</v>
      </c>
      <c r="I79" s="103"/>
      <c r="J79" s="107">
        <f>FV(10%,4,0,-J78,0)</f>
        <v>990.29824753293985</v>
      </c>
      <c r="K79" s="105">
        <f t="shared" si="62"/>
        <v>1481.6921816839292</v>
      </c>
      <c r="L79" s="106">
        <f t="shared" si="63"/>
        <v>1998.337627636555</v>
      </c>
      <c r="M79" s="105">
        <f t="shared" si="64"/>
        <v>2296.2575376350565</v>
      </c>
    </row>
    <row r="80" spans="2:33" ht="14.4" x14ac:dyDescent="0.3">
      <c r="B80" s="53" t="s">
        <v>184</v>
      </c>
      <c r="C80" s="104">
        <f t="shared" ref="C80:E80" si="65">FV(12%,5,0,-C79,0)</f>
        <v>2921843.8950881124</v>
      </c>
      <c r="D80" s="104">
        <f t="shared" si="65"/>
        <v>253862.24978483445</v>
      </c>
      <c r="E80" s="104">
        <f t="shared" si="65"/>
        <v>160.23792827561533</v>
      </c>
      <c r="F80" s="105">
        <f t="shared" si="59"/>
        <v>2545.8988945743649</v>
      </c>
      <c r="G80" s="106">
        <f t="shared" si="60"/>
        <v>3101.6390081899926</v>
      </c>
      <c r="H80" s="105">
        <f t="shared" si="61"/>
        <v>3941.2173795334179</v>
      </c>
      <c r="I80" s="103"/>
      <c r="J80" s="107">
        <f>FV(10%,5,0,-J79,0)</f>
        <v>1594.8852306342756</v>
      </c>
      <c r="K80" s="105">
        <f t="shared" si="62"/>
        <v>2386.2800755237859</v>
      </c>
      <c r="L80" s="106">
        <f t="shared" si="63"/>
        <v>3218.3427326849492</v>
      </c>
      <c r="M80" s="105">
        <f t="shared" si="64"/>
        <v>3698.145726936636</v>
      </c>
    </row>
    <row r="82" spans="2:22" ht="22.8" x14ac:dyDescent="0.3">
      <c r="B82" s="108" t="s">
        <v>3</v>
      </c>
      <c r="C82" s="108" t="s">
        <v>4</v>
      </c>
      <c r="D82" s="108" t="s">
        <v>185</v>
      </c>
      <c r="E82" s="108" t="s">
        <v>186</v>
      </c>
      <c r="F82" s="108" t="s">
        <v>187</v>
      </c>
      <c r="G82" s="108" t="s">
        <v>188</v>
      </c>
      <c r="H82" s="108" t="s">
        <v>189</v>
      </c>
    </row>
    <row r="83" spans="2:22" ht="14.4" x14ac:dyDescent="0.3">
      <c r="B83" s="6" t="s">
        <v>24</v>
      </c>
      <c r="C83" s="10">
        <f ca="1">IFERROR(__xludf.DUMMYFUNCTION("GOOGLEFINANCE(""NSE:""&amp;B83,""price"")"),1379.6)</f>
        <v>1379.6</v>
      </c>
      <c r="D83" s="109">
        <v>2.5000000000000001E-2</v>
      </c>
      <c r="E83" s="109">
        <f ca="1">IF(C83&gt;=H78, D83/2, IF(C83&lt;=F78, D83, D83/2 + ((H78 - C83) / (H78 - F78)) * D83/2))</f>
        <v>1.4349261534462971E-2</v>
      </c>
      <c r="F83" s="110">
        <f ca="1">IF(C83&gt;=M78, D83/2, IF(C83&lt;=K78, D83, D83/2 + ((M78 - C83) / (M78 - K78)) * D83/2))</f>
        <v>1.6741298374891217E-2</v>
      </c>
      <c r="G83" s="111">
        <f ca="1">D83-((R58-15)%*D83)</f>
        <v>2.2923051418724291E-2</v>
      </c>
      <c r="H83" s="112">
        <f ca="1">AVERAGE(E83:G83)</f>
        <v>1.8004537109359491E-2</v>
      </c>
    </row>
    <row r="85" spans="2:22" ht="18" x14ac:dyDescent="0.35">
      <c r="B85" s="113" t="s">
        <v>190</v>
      </c>
      <c r="C85" s="114"/>
      <c r="D85" s="114"/>
      <c r="E85" s="114"/>
      <c r="U85" s="3"/>
      <c r="V85" s="57"/>
    </row>
    <row r="86" spans="2:22" ht="14.4" x14ac:dyDescent="0.3">
      <c r="B86" s="115" t="s">
        <v>191</v>
      </c>
      <c r="C86" s="116">
        <v>2016</v>
      </c>
      <c r="D86" s="116">
        <v>2022</v>
      </c>
      <c r="E86" s="117" t="s">
        <v>114</v>
      </c>
    </row>
    <row r="87" spans="2:22" ht="14.4" x14ac:dyDescent="0.3">
      <c r="B87" s="118" t="s">
        <v>192</v>
      </c>
      <c r="C87" s="119">
        <v>46.53</v>
      </c>
      <c r="D87" s="119">
        <v>50.57</v>
      </c>
      <c r="E87" s="120">
        <f t="shared" ref="E87:E90" si="66">(D87/C87)-1</f>
        <v>8.6825703846980407E-2</v>
      </c>
      <c r="N87" s="121"/>
    </row>
    <row r="88" spans="2:22" ht="14.4" x14ac:dyDescent="0.3">
      <c r="B88" s="118" t="s">
        <v>193</v>
      </c>
      <c r="C88" s="119">
        <f>2.95+0.09+10.06</f>
        <v>13.100000000000001</v>
      </c>
      <c r="D88" s="119">
        <f>5.68+0.11+8.37+0.74+0.1</f>
        <v>15</v>
      </c>
      <c r="E88" s="120">
        <f t="shared" si="66"/>
        <v>0.14503816793893121</v>
      </c>
      <c r="J88" s="3"/>
      <c r="K88" s="3"/>
      <c r="L88" s="62"/>
      <c r="M88" s="73"/>
      <c r="N88" s="57"/>
    </row>
    <row r="89" spans="2:22" ht="14.4" x14ac:dyDescent="0.3">
      <c r="B89" s="118" t="s">
        <v>194</v>
      </c>
      <c r="C89" s="119">
        <f>7.39+12.75</f>
        <v>20.14</v>
      </c>
      <c r="D89" s="119">
        <f>22.61+0.92+0.05</f>
        <v>23.580000000000002</v>
      </c>
      <c r="E89" s="120">
        <f t="shared" si="66"/>
        <v>0.17080436941410126</v>
      </c>
      <c r="J89" s="3"/>
      <c r="K89" s="3"/>
      <c r="L89" s="62"/>
      <c r="M89" s="73"/>
      <c r="N89" s="57"/>
    </row>
    <row r="90" spans="2:22" ht="14.4" x14ac:dyDescent="0.3">
      <c r="B90" s="118" t="s">
        <v>83</v>
      </c>
      <c r="C90" s="119">
        <v>10.050000000000001</v>
      </c>
      <c r="D90" s="119">
        <v>10.75</v>
      </c>
      <c r="E90" s="120">
        <f t="shared" si="66"/>
        <v>6.9651741293532243E-2</v>
      </c>
      <c r="J90" s="3"/>
      <c r="K90" s="3"/>
      <c r="L90" s="62"/>
      <c r="M90" s="73"/>
      <c r="N90" s="57"/>
    </row>
    <row r="91" spans="2:22" ht="14.4" x14ac:dyDescent="0.3">
      <c r="B91" s="118" t="s">
        <v>195</v>
      </c>
      <c r="C91" s="119">
        <v>10.050000000000001</v>
      </c>
    </row>
    <row r="92" spans="2:22" ht="14.4" x14ac:dyDescent="0.3">
      <c r="J92" s="122"/>
      <c r="K92" s="122"/>
      <c r="L92" s="122"/>
      <c r="M92" s="123"/>
      <c r="N92" s="124"/>
    </row>
    <row r="96" spans="2:22" ht="14.4" x14ac:dyDescent="0.3">
      <c r="B96" s="3" t="s">
        <v>196</v>
      </c>
      <c r="C96" s="3" t="s">
        <v>197</v>
      </c>
      <c r="F96" s="3" t="s">
        <v>198</v>
      </c>
    </row>
    <row r="97" spans="2:6" ht="14.4" x14ac:dyDescent="0.3">
      <c r="B97" s="3" t="s">
        <v>199</v>
      </c>
      <c r="C97" s="3" t="s">
        <v>200</v>
      </c>
      <c r="F97" s="3" t="s">
        <v>201</v>
      </c>
    </row>
    <row r="98" spans="2:6" ht="14.4" x14ac:dyDescent="0.3">
      <c r="B98" s="3" t="s">
        <v>202</v>
      </c>
      <c r="C98" s="3" t="s">
        <v>203</v>
      </c>
      <c r="F98" s="3" t="s">
        <v>204</v>
      </c>
    </row>
    <row r="99" spans="2:6" ht="14.4" x14ac:dyDescent="0.3">
      <c r="B99" s="3" t="s">
        <v>205</v>
      </c>
      <c r="C99" s="3" t="s">
        <v>206</v>
      </c>
      <c r="D99" s="3" t="s">
        <v>207</v>
      </c>
    </row>
    <row r="100" spans="2:6" ht="14.4" x14ac:dyDescent="0.3">
      <c r="C100" s="3" t="s">
        <v>208</v>
      </c>
      <c r="F100" s="3" t="s">
        <v>209</v>
      </c>
    </row>
    <row r="153" spans="3:37" ht="14.4" x14ac:dyDescent="0.3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3:37" ht="14.4" x14ac:dyDescent="0.3">
      <c r="C154" s="3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</row>
  </sheetData>
  <mergeCells count="3">
    <mergeCell ref="K54:L54"/>
    <mergeCell ref="N54:O54"/>
    <mergeCell ref="S56:S58"/>
  </mergeCells>
  <conditionalFormatting sqref="C12:C46">
    <cfRule type="colorScale" priority="8">
      <colorScale>
        <cfvo type="min"/>
        <cfvo type="max"/>
        <color rgb="FFFFFFFF"/>
        <color rgb="FF57BB8A"/>
      </colorScale>
    </cfRule>
  </conditionalFormatting>
  <conditionalFormatting sqref="C73:E75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6:F56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7:F57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8:F58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46">
    <cfRule type="colorScale" priority="9">
      <colorScale>
        <cfvo type="min"/>
        <cfvo type="max"/>
        <color rgb="FFFFFFFF"/>
        <color rgb="FF57BB8A"/>
      </colorScale>
    </cfRule>
  </conditionalFormatting>
  <conditionalFormatting sqref="E12:E46">
    <cfRule type="colorScale" priority="37">
      <colorScale>
        <cfvo type="min"/>
        <cfvo type="max"/>
        <color rgb="FFFFFFFF"/>
        <color rgb="FF57BB8A"/>
      </colorScale>
    </cfRule>
  </conditionalFormatting>
  <conditionalFormatting sqref="F12:F46">
    <cfRule type="colorScale" priority="1">
      <colorScale>
        <cfvo type="min"/>
        <cfvo type="max"/>
        <color rgb="FFFFFFFF"/>
        <color rgb="FF57BB8A"/>
      </colorScale>
    </cfRule>
  </conditionalFormatting>
  <conditionalFormatting sqref="F73:F75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46">
    <cfRule type="colorScale" priority="3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2:H46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2:J46">
    <cfRule type="colorScale" priority="3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56:M56">
    <cfRule type="colorScale" priority="6">
      <colorScale>
        <cfvo type="min"/>
        <cfvo type="max"/>
        <color rgb="FFFFFFFF"/>
        <color rgb="FF57BB8A"/>
      </colorScale>
    </cfRule>
  </conditionalFormatting>
  <conditionalFormatting sqref="K12:L4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2:M46">
    <cfRule type="colorScale" priority="3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12:O46">
    <cfRule type="colorScale" priority="3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P59:P62 L58 Q59:R59 U59 V59:V63 W59 E60:E71 I60:I63 J60:K71 N60:N68 O60:O71 I65:I68 W68:W75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59:P62 U59 I60:I63 N60:N68 I65:I68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56:R56">
    <cfRule type="colorScale" priority="14">
      <colorScale>
        <cfvo type="min"/>
        <cfvo type="max"/>
        <color rgb="FFFFFFFF"/>
        <color rgb="FF57BB8A"/>
      </colorScale>
    </cfRule>
  </conditionalFormatting>
  <conditionalFormatting sqref="P58:R58">
    <cfRule type="colorScale" priority="15">
      <colorScale>
        <cfvo type="min"/>
        <cfvo type="max"/>
        <color rgb="FFFFFFFF"/>
        <color rgb="FFE67C73"/>
      </colorScale>
    </cfRule>
  </conditionalFormatting>
  <conditionalFormatting sqref="R30:R45">
    <cfRule type="colorScale" priority="29">
      <colorScale>
        <cfvo type="min"/>
        <cfvo type="max"/>
        <color rgb="FFFFFFFF"/>
        <color rgb="FF57BB8A"/>
      </colorScale>
    </cfRule>
  </conditionalFormatting>
  <conditionalFormatting sqref="S30:S45">
    <cfRule type="colorScale" priority="30">
      <colorScale>
        <cfvo type="min"/>
        <cfvo type="max"/>
        <color rgb="FFFFFFFF"/>
        <color rgb="FF57BB8A"/>
      </colorScale>
    </cfRule>
  </conditionalFormatting>
  <conditionalFormatting sqref="S9:T9">
    <cfRule type="colorScale" priority="2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T60:T68 E63:E71 J63:J66 O63:O66 J68:J71 O68:O71">
    <cfRule type="colorScale" priority="4">
      <colorScale>
        <cfvo type="min"/>
        <cfvo type="max"/>
        <color rgb="FFFFFFFF"/>
        <color rgb="FF57BB8A"/>
      </colorScale>
    </cfRule>
  </conditionalFormatting>
  <conditionalFormatting sqref="U11 U9">
    <cfRule type="colorScale" priority="2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U60:U68 F63:F71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8:V8 Z60:Z67 AF60:AF65 AG60 J63:J66 O63:O66 AA65 AG65 U66:U70 K67:K71 AF67 J68:J71 O68:O71 X72:X76 R76 R85:R86 M88:M92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V9">
    <cfRule type="colorScale" priority="2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V34:V46">
    <cfRule type="colorScale" priority="18">
      <colorScale>
        <cfvo type="min"/>
        <cfvo type="max"/>
        <color rgb="FFFFFFFF"/>
        <color rgb="FF57BB8A"/>
      </colorScale>
    </cfRule>
  </conditionalFormatting>
  <conditionalFormatting sqref="W36:W46">
    <cfRule type="colorScale" priority="17">
      <colorScale>
        <cfvo type="min"/>
        <cfvo type="max"/>
        <color rgb="FFFFFFFF"/>
        <color rgb="FF57BB8A"/>
      </colorScale>
    </cfRule>
  </conditionalFormatting>
  <conditionalFormatting sqref="X34:X46">
    <cfRule type="colorScale" priority="16">
      <colorScale>
        <cfvo type="min"/>
        <cfvo type="max"/>
        <color rgb="FFFFFFFF"/>
        <color rgb="FF57BB8A"/>
      </colorScale>
    </cfRule>
  </conditionalFormatting>
  <conditionalFormatting sqref="X61:Y65 M66:O66 I67:J67 I69:J71 M71:O71 P76:Q76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34:AA47">
    <cfRule type="colorScale" priority="7">
      <colorScale>
        <cfvo type="min"/>
        <cfvo type="max"/>
        <color rgb="FFFFFFFF"/>
        <color rgb="FF57BB8A"/>
      </colorScale>
    </cfRule>
  </conditionalFormatting>
  <conditionalFormatting sqref="AA60:AA67 AG60:AG64 L63 K64:K66 L67:L71 AG67 K69:K71 Y72:Y76 S76 N82:N92 S85:S86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B34:AB48">
    <cfRule type="colorScale" priority="32">
      <colorScale>
        <cfvo type="min"/>
        <cfvo type="max"/>
        <color rgb="FFFFFFFF"/>
        <color rgb="FF57BB8A"/>
      </colorScale>
    </cfRule>
  </conditionalFormatting>
  <conditionalFormatting sqref="AD61:AE63 K88:L90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E37:AE45">
    <cfRule type="colorScale" priority="31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Reliance FAIRVALUE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2025-08-11T08:55:58Z</dcterms:created>
  <dcterms:modified xsi:type="dcterms:W3CDTF">2025-08-11T08:56:29Z</dcterms:modified>
</cp:coreProperties>
</file>