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D887FDFD-D61A-4EF6-940F-38C30BF0F022}" xr6:coauthVersionLast="47" xr6:coauthVersionMax="47" xr10:uidLastSave="{00000000-0000-0000-0000-000000000000}"/>
  <bookViews>
    <workbookView xWindow="-108" yWindow="-108" windowWidth="23256" windowHeight="12456" xr2:uid="{AB7E84F5-0AF7-442F-BD6E-E4DDEA81EB89}"/>
  </bookViews>
  <sheets>
    <sheet name="Reliance FAIRVALU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 s="1"/>
  <c r="D3" i="1"/>
  <c r="D5" i="1" s="1"/>
  <c r="K3" i="1"/>
  <c r="L3" i="1"/>
  <c r="L5" i="1" s="1"/>
  <c r="V3" i="1"/>
  <c r="V5" i="1" s="1"/>
  <c r="D4" i="1"/>
  <c r="E4" i="1"/>
  <c r="F4" i="1"/>
  <c r="G4" i="1"/>
  <c r="K4" i="1"/>
  <c r="L4" i="1"/>
  <c r="V4" i="1"/>
  <c r="H5" i="1"/>
  <c r="I5" i="1"/>
  <c r="J5" i="1"/>
  <c r="K5" i="1"/>
  <c r="M5" i="1"/>
  <c r="N5" i="1"/>
  <c r="O5" i="1"/>
  <c r="P5" i="1"/>
  <c r="Q5" i="1"/>
  <c r="R5" i="1"/>
  <c r="S5" i="1"/>
  <c r="T5" i="1"/>
  <c r="U5" i="1"/>
  <c r="D9" i="1"/>
  <c r="F9" i="1"/>
  <c r="G9" i="1"/>
  <c r="N9" i="1"/>
  <c r="G12" i="1"/>
  <c r="H12" i="1"/>
  <c r="K12" i="1"/>
  <c r="L12" i="1"/>
  <c r="G13" i="1"/>
  <c r="K13" i="1" s="1"/>
  <c r="H13" i="1"/>
  <c r="G14" i="1"/>
  <c r="H14" i="1"/>
  <c r="K14" i="1"/>
  <c r="L14" i="1"/>
  <c r="G15" i="1"/>
  <c r="K15" i="1" s="1"/>
  <c r="H15" i="1"/>
  <c r="G48" i="1" s="1"/>
  <c r="G16" i="1"/>
  <c r="H16" i="1"/>
  <c r="K16" i="1"/>
  <c r="L16" i="1"/>
  <c r="G17" i="1"/>
  <c r="K17" i="1" s="1"/>
  <c r="H17" i="1"/>
  <c r="G18" i="1"/>
  <c r="H18" i="1"/>
  <c r="K18" i="1"/>
  <c r="L18" i="1"/>
  <c r="G19" i="1"/>
  <c r="K19" i="1" s="1"/>
  <c r="H19" i="1"/>
  <c r="G20" i="1"/>
  <c r="K20" i="1" s="1"/>
  <c r="H20" i="1"/>
  <c r="L20" i="1"/>
  <c r="H21" i="1"/>
  <c r="K21" i="1"/>
  <c r="L21" i="1"/>
  <c r="H22" i="1"/>
  <c r="K22" i="1"/>
  <c r="L22" i="1"/>
  <c r="H23" i="1"/>
  <c r="K23" i="1"/>
  <c r="L23" i="1"/>
  <c r="H24" i="1"/>
  <c r="G49" i="1" s="1"/>
  <c r="K24" i="1"/>
  <c r="L24" i="1"/>
  <c r="H25" i="1"/>
  <c r="K25" i="1"/>
  <c r="L25" i="1"/>
  <c r="H26" i="1"/>
  <c r="K26" i="1"/>
  <c r="J49" i="1" s="1"/>
  <c r="L26" i="1"/>
  <c r="K49" i="1" s="1"/>
  <c r="H27" i="1"/>
  <c r="K27" i="1"/>
  <c r="L27" i="1"/>
  <c r="H28" i="1"/>
  <c r="K28" i="1"/>
  <c r="L28" i="1"/>
  <c r="H29" i="1"/>
  <c r="K29" i="1"/>
  <c r="L29" i="1"/>
  <c r="H30" i="1"/>
  <c r="K30" i="1"/>
  <c r="L30" i="1"/>
  <c r="H31" i="1"/>
  <c r="K31" i="1"/>
  <c r="L31" i="1"/>
  <c r="H32" i="1"/>
  <c r="K32" i="1"/>
  <c r="L32" i="1"/>
  <c r="O32" i="1"/>
  <c r="O31" i="1" s="1"/>
  <c r="H33" i="1"/>
  <c r="K33" i="1"/>
  <c r="L33" i="1"/>
  <c r="H34" i="1"/>
  <c r="K34" i="1"/>
  <c r="L34" i="1"/>
  <c r="H35" i="1"/>
  <c r="K35" i="1"/>
  <c r="L35" i="1"/>
  <c r="H36" i="1"/>
  <c r="G50" i="1" s="1"/>
  <c r="K36" i="1"/>
  <c r="J50" i="1" s="1"/>
  <c r="L50" i="1" s="1"/>
  <c r="L36" i="1"/>
  <c r="H37" i="1"/>
  <c r="K37" i="1"/>
  <c r="L37" i="1"/>
  <c r="H38" i="1"/>
  <c r="K38" i="1"/>
  <c r="L38" i="1"/>
  <c r="H39" i="1"/>
  <c r="K39" i="1"/>
  <c r="L39" i="1"/>
  <c r="H40" i="1"/>
  <c r="K40" i="1"/>
  <c r="L40" i="1"/>
  <c r="H41" i="1"/>
  <c r="K41" i="1"/>
  <c r="J51" i="1" s="1"/>
  <c r="L51" i="1" s="1"/>
  <c r="L41" i="1"/>
  <c r="K51" i="1" s="1"/>
  <c r="H42" i="1"/>
  <c r="K42" i="1"/>
  <c r="L42" i="1"/>
  <c r="H43" i="1"/>
  <c r="K43" i="1"/>
  <c r="L43" i="1"/>
  <c r="H44" i="1"/>
  <c r="K44" i="1"/>
  <c r="J52" i="1" s="1"/>
  <c r="L52" i="1" s="1"/>
  <c r="L44" i="1"/>
  <c r="C45" i="1"/>
  <c r="E3" i="1" s="1"/>
  <c r="D45" i="1"/>
  <c r="F3" i="1" s="1"/>
  <c r="P45" i="1"/>
  <c r="U45" i="1"/>
  <c r="Y45" i="1"/>
  <c r="AB45" i="1"/>
  <c r="C48" i="1"/>
  <c r="D48" i="1"/>
  <c r="E48" i="1"/>
  <c r="F48" i="1"/>
  <c r="H48" i="1"/>
  <c r="I48" i="1"/>
  <c r="C49" i="1"/>
  <c r="D49" i="1"/>
  <c r="E49" i="1"/>
  <c r="F49" i="1"/>
  <c r="H49" i="1"/>
  <c r="I49" i="1"/>
  <c r="C50" i="1"/>
  <c r="D50" i="1"/>
  <c r="E50" i="1"/>
  <c r="F50" i="1"/>
  <c r="H50" i="1"/>
  <c r="I50" i="1"/>
  <c r="K50" i="1"/>
  <c r="O50" i="1"/>
  <c r="P50" i="1"/>
  <c r="C51" i="1"/>
  <c r="D51" i="1"/>
  <c r="E51" i="1"/>
  <c r="F51" i="1"/>
  <c r="G51" i="1"/>
  <c r="H51" i="1"/>
  <c r="I51" i="1"/>
  <c r="O51" i="1"/>
  <c r="P51" i="1"/>
  <c r="S51" i="1"/>
  <c r="T51" i="1"/>
  <c r="U51" i="1"/>
  <c r="C52" i="1"/>
  <c r="D52" i="1"/>
  <c r="E52" i="1"/>
  <c r="F52" i="1"/>
  <c r="G52" i="1"/>
  <c r="H52" i="1"/>
  <c r="I52" i="1"/>
  <c r="K52" i="1"/>
  <c r="O52" i="1"/>
  <c r="P52" i="1"/>
  <c r="S52" i="1"/>
  <c r="T52" i="1"/>
  <c r="U52" i="1"/>
  <c r="X52" i="1"/>
  <c r="Y52" i="1"/>
  <c r="AB52" i="1"/>
  <c r="G55" i="1"/>
  <c r="G45" i="1" s="1"/>
  <c r="J55" i="1"/>
  <c r="K55" i="1"/>
  <c r="Q55" i="1"/>
  <c r="U55" i="1"/>
  <c r="Q56" i="1"/>
  <c r="U56" i="1"/>
  <c r="I57" i="1"/>
  <c r="L60" i="1"/>
  <c r="B9" i="1" s="1"/>
  <c r="R60" i="1"/>
  <c r="W60" i="1"/>
  <c r="L61" i="1"/>
  <c r="R61" i="1"/>
  <c r="W61" i="1"/>
  <c r="L62" i="1"/>
  <c r="R62" i="1"/>
  <c r="L63" i="1"/>
  <c r="R63" i="1"/>
  <c r="L64" i="1"/>
  <c r="R64" i="1"/>
  <c r="W64" i="1"/>
  <c r="L65" i="1"/>
  <c r="R65" i="1"/>
  <c r="L66" i="1"/>
  <c r="R66" i="1"/>
  <c r="W66" i="1"/>
  <c r="L67" i="1"/>
  <c r="R67" i="1"/>
  <c r="W67" i="1"/>
  <c r="C68" i="1"/>
  <c r="C69" i="1" s="1"/>
  <c r="C70" i="1" s="1"/>
  <c r="D68" i="1"/>
  <c r="D69" i="1" s="1"/>
  <c r="D70" i="1" s="1"/>
  <c r="E68" i="1"/>
  <c r="F68" i="1" s="1"/>
  <c r="L68" i="1"/>
  <c r="R68" i="1"/>
  <c r="W68" i="1"/>
  <c r="E69" i="1"/>
  <c r="F69" i="1" s="1"/>
  <c r="J69" i="1"/>
  <c r="L69" i="1" s="1"/>
  <c r="K69" i="1"/>
  <c r="P69" i="1"/>
  <c r="Q69" i="1"/>
  <c r="R69" i="1"/>
  <c r="U69" i="1"/>
  <c r="W69" i="1" s="1"/>
  <c r="V69" i="1"/>
  <c r="J70" i="1"/>
  <c r="L70" i="1" s="1"/>
  <c r="K70" i="1"/>
  <c r="P70" i="1"/>
  <c r="R70" i="1" s="1"/>
  <c r="Q70" i="1"/>
  <c r="U70" i="1"/>
  <c r="V70" i="1"/>
  <c r="W70" i="1"/>
  <c r="L73" i="1"/>
  <c r="M73" i="1"/>
  <c r="S73" i="1"/>
  <c r="Y73" i="1"/>
  <c r="L74" i="1"/>
  <c r="M74" i="1"/>
  <c r="R74" i="1"/>
  <c r="S74" i="1"/>
  <c r="Y74" i="1"/>
  <c r="E75" i="1"/>
  <c r="M75" i="1"/>
  <c r="R75" i="1"/>
  <c r="S75" i="1"/>
  <c r="C76" i="1"/>
  <c r="D76" i="1"/>
  <c r="E76" i="1" s="1"/>
  <c r="M76" i="1"/>
  <c r="R76" i="1"/>
  <c r="S76" i="1"/>
  <c r="V76" i="1"/>
  <c r="Y76" i="1" s="1"/>
  <c r="W76" i="1"/>
  <c r="X76" i="1"/>
  <c r="C77" i="1"/>
  <c r="D77" i="1"/>
  <c r="E77" i="1"/>
  <c r="L77" i="1"/>
  <c r="M77" i="1"/>
  <c r="S77" i="1"/>
  <c r="E78" i="1"/>
  <c r="M78" i="1"/>
  <c r="L79" i="1"/>
  <c r="M79" i="1"/>
  <c r="P79" i="1"/>
  <c r="R73" i="1" s="1"/>
  <c r="Q79" i="1"/>
  <c r="R79" i="1"/>
  <c r="V79" i="1"/>
  <c r="X75" i="1" s="1"/>
  <c r="W79" i="1"/>
  <c r="X79" i="1"/>
  <c r="Y79" i="1"/>
  <c r="L80" i="1"/>
  <c r="J82" i="1"/>
  <c r="L82" i="1" s="1"/>
  <c r="K82" i="1"/>
  <c r="R83" i="1"/>
  <c r="S83" i="1"/>
  <c r="R84" i="1"/>
  <c r="S84" i="1"/>
  <c r="P85" i="1"/>
  <c r="R85" i="1" s="1"/>
  <c r="Q85" i="1"/>
  <c r="O9" i="1" l="1"/>
  <c r="K57" i="1"/>
  <c r="L55" i="1" s="1"/>
  <c r="P9" i="1" s="1"/>
  <c r="J57" i="1"/>
  <c r="F5" i="1"/>
  <c r="I9" i="1"/>
  <c r="J9" i="1"/>
  <c r="K9" i="1"/>
  <c r="E5" i="1"/>
  <c r="E9" i="1"/>
  <c r="J48" i="1"/>
  <c r="G3" i="1"/>
  <c r="K45" i="1"/>
  <c r="L45" i="1"/>
  <c r="L49" i="1"/>
  <c r="F65" i="1"/>
  <c r="S85" i="1"/>
  <c r="M82" i="1"/>
  <c r="L78" i="1"/>
  <c r="L76" i="1"/>
  <c r="L75" i="1"/>
  <c r="E70" i="1"/>
  <c r="F70" i="1" s="1"/>
  <c r="H45" i="1"/>
  <c r="O30" i="1"/>
  <c r="C9" i="1"/>
  <c r="S79" i="1"/>
  <c r="X73" i="1"/>
  <c r="R77" i="1"/>
  <c r="X74" i="1"/>
  <c r="D64" i="1"/>
  <c r="L19" i="1"/>
  <c r="L17" i="1"/>
  <c r="L15" i="1"/>
  <c r="L13" i="1"/>
  <c r="H9" i="1"/>
  <c r="G5" i="1" l="1"/>
  <c r="L9" i="1"/>
  <c r="M9" i="1"/>
  <c r="K48" i="1"/>
  <c r="L48" i="1" s="1"/>
</calcChain>
</file>

<file path=xl/sharedStrings.xml><?xml version="1.0" encoding="utf-8"?>
<sst xmlns="http://schemas.openxmlformats.org/spreadsheetml/2006/main" count="332" uniqueCount="221">
  <si>
    <t>Cost of Goods Sold /Average Inventories of Finished Goods, Stock-in-Process and Stock-in-Trade</t>
  </si>
  <si>
    <t>Inventory turnover</t>
  </si>
  <si>
    <t>Value of Sales &amp; Services /Average Trade Receivables</t>
  </si>
  <si>
    <t>Debtors turnover</t>
  </si>
  <si>
    <t>DEBTORRATIO</t>
  </si>
  <si>
    <t>Total Debt /Total Assets</t>
  </si>
  <si>
    <t>Total debts to total assets</t>
  </si>
  <si>
    <t>DEBT2ASSET</t>
  </si>
  <si>
    <t>Total Current Liabilities/ Total Liabilities</t>
  </si>
  <si>
    <t>Current liability ratio</t>
  </si>
  <si>
    <t>CLR</t>
  </si>
  <si>
    <t>Bad Debts /AverageTrade Receivables</t>
  </si>
  <si>
    <t>Bad debts to Account receivable ratio</t>
  </si>
  <si>
    <t>BADDEBTS2AR</t>
  </si>
  <si>
    <t>Non-Current Borrowings/Current Assets Less Current Liabilities</t>
  </si>
  <si>
    <t>LONGTERM_DEBT_TO_WORKING_CAPITAL</t>
  </si>
  <si>
    <t>LD2WC</t>
  </si>
  <si>
    <t>CURRENT_ASSETS/CURRENT_LIABILITIES</t>
  </si>
  <si>
    <t>CURRENT_RATIO</t>
  </si>
  <si>
    <t>CR</t>
  </si>
  <si>
    <t>TOTALDEBT/TOTALEQUITY</t>
  </si>
  <si>
    <t>DEBT_EQUITY_RATIO</t>
  </si>
  <si>
    <t>D2E</t>
  </si>
  <si>
    <t>EBIT&amp;E/IE</t>
  </si>
  <si>
    <t>INTEREST_COVERAGE_RATIO</t>
  </si>
  <si>
    <t>ICR</t>
  </si>
  <si>
    <t>EARNING_BEFORE_INTEREST,tAX &amp;EXCEPTIONALITEMS/(INTEREST_EXP+PRINCIPAL_REPAYMENT)</t>
  </si>
  <si>
    <t>DEBT_SERVICE_COVERAGE_RATIO</t>
  </si>
  <si>
    <t>DSCR</t>
  </si>
  <si>
    <t>NETDEBT</t>
  </si>
  <si>
    <t>CASH &amp; CASH EQ</t>
  </si>
  <si>
    <t>GROSS DEBT</t>
  </si>
  <si>
    <t>Change %</t>
  </si>
  <si>
    <t>CHANGE</t>
  </si>
  <si>
    <t>Q1_FY_24</t>
  </si>
  <si>
    <t>Q2_FY_25</t>
  </si>
  <si>
    <t>DEBT</t>
  </si>
  <si>
    <t>Total</t>
  </si>
  <si>
    <t>Inventory</t>
  </si>
  <si>
    <t>TOTAL</t>
  </si>
  <si>
    <t>GROSS VALUE</t>
  </si>
  <si>
    <t>Excise</t>
  </si>
  <si>
    <t>others</t>
  </si>
  <si>
    <t>Finance</t>
  </si>
  <si>
    <t>RETAIL</t>
  </si>
  <si>
    <t>Oil&amp;GAS</t>
  </si>
  <si>
    <t>Employee</t>
  </si>
  <si>
    <t>FII</t>
  </si>
  <si>
    <t>Others</t>
  </si>
  <si>
    <t>D&amp;A</t>
  </si>
  <si>
    <t>MF</t>
  </si>
  <si>
    <t>Media</t>
  </si>
  <si>
    <t>DigitalServices</t>
  </si>
  <si>
    <t>Otherexp</t>
  </si>
  <si>
    <t>PROMOTER</t>
  </si>
  <si>
    <t>Retail</t>
  </si>
  <si>
    <t>StockinTrade</t>
  </si>
  <si>
    <t>Growth</t>
  </si>
  <si>
    <t>ANNUAL</t>
  </si>
  <si>
    <t>O2C</t>
  </si>
  <si>
    <t>RawMaterial</t>
  </si>
  <si>
    <t>SHP</t>
  </si>
  <si>
    <t>Share</t>
  </si>
  <si>
    <t>H1_FY_24</t>
  </si>
  <si>
    <t>H1_FY_25</t>
  </si>
  <si>
    <t>PROFITS</t>
  </si>
  <si>
    <t>SEGMENT</t>
  </si>
  <si>
    <t>Growth %</t>
  </si>
  <si>
    <t>MajorCost</t>
  </si>
  <si>
    <t>EST_FY_35</t>
  </si>
  <si>
    <t>Margin</t>
  </si>
  <si>
    <t>EST_FY_30</t>
  </si>
  <si>
    <t>EPS</t>
  </si>
  <si>
    <t>EST_FY_25</t>
  </si>
  <si>
    <t>Equity</t>
  </si>
  <si>
    <t>FairValue</t>
  </si>
  <si>
    <t>Net Profit</t>
  </si>
  <si>
    <t>Total Income</t>
  </si>
  <si>
    <t>Expectation</t>
  </si>
  <si>
    <t>Profit</t>
  </si>
  <si>
    <t>PBT</t>
  </si>
  <si>
    <t>LongTerm</t>
  </si>
  <si>
    <t>Interest</t>
  </si>
  <si>
    <t>FY_2025</t>
  </si>
  <si>
    <t>EBITDA %</t>
  </si>
  <si>
    <t>MARGIN</t>
  </si>
  <si>
    <t>Estimates</t>
  </si>
  <si>
    <t>EBITDA</t>
  </si>
  <si>
    <t>Expenditure</t>
  </si>
  <si>
    <t>Sales</t>
  </si>
  <si>
    <t>Q1_FY_25</t>
  </si>
  <si>
    <t>RESULT</t>
  </si>
  <si>
    <t>Q2_FY_24</t>
  </si>
  <si>
    <t>FY_25</t>
  </si>
  <si>
    <t>FY_24</t>
  </si>
  <si>
    <t>9M_FY_24</t>
  </si>
  <si>
    <t>Trend</t>
  </si>
  <si>
    <t>ARPU</t>
  </si>
  <si>
    <t>MLN.SQ.FT</t>
  </si>
  <si>
    <t>F_PE_25</t>
  </si>
  <si>
    <t>T_PE_25</t>
  </si>
  <si>
    <t>PE_24</t>
  </si>
  <si>
    <t>H1_FY24</t>
  </si>
  <si>
    <t>H1_FY25</t>
  </si>
  <si>
    <t>SUBSRCIBER</t>
  </si>
  <si>
    <t>STORE</t>
  </si>
  <si>
    <t>F_PEG</t>
  </si>
  <si>
    <t>F_EPS_25</t>
  </si>
  <si>
    <t>T_EPS_25</t>
  </si>
  <si>
    <t>EPS_24</t>
  </si>
  <si>
    <t>EST_FY24</t>
  </si>
  <si>
    <t>Q4_FY24</t>
  </si>
  <si>
    <t>Q3_FY24</t>
  </si>
  <si>
    <t>Q2_FY24</t>
  </si>
  <si>
    <t>YEAR</t>
  </si>
  <si>
    <t>LAST YEAR</t>
  </si>
  <si>
    <t>5 YEAR</t>
  </si>
  <si>
    <t>Growth 5 Years</t>
  </si>
  <si>
    <t>10 YEAR</t>
  </si>
  <si>
    <t>Growth 10 Years</t>
  </si>
  <si>
    <t>20 YEAR</t>
  </si>
  <si>
    <t>Growth 20 Years</t>
  </si>
  <si>
    <t>30 YEAR</t>
  </si>
  <si>
    <t>Growth 30 Years</t>
  </si>
  <si>
    <t>REVENUE</t>
  </si>
  <si>
    <t>GROWTH</t>
  </si>
  <si>
    <t>MSHARE</t>
  </si>
  <si>
    <t>SUBSCRIBER CR</t>
  </si>
  <si>
    <t>Int PE</t>
  </si>
  <si>
    <t>LPE</t>
  </si>
  <si>
    <t>HPE</t>
  </si>
  <si>
    <t>Low Price Gr</t>
  </si>
  <si>
    <t>High Price Gr</t>
  </si>
  <si>
    <t>Reserves</t>
  </si>
  <si>
    <t>EQUITY</t>
  </si>
  <si>
    <t>Actual Growth</t>
  </si>
  <si>
    <t>TRAIL_2025</t>
  </si>
  <si>
    <t>TRAIL_FY25</t>
  </si>
  <si>
    <t>FY_2024</t>
  </si>
  <si>
    <t>FY_2023</t>
  </si>
  <si>
    <t>FY_2022</t>
  </si>
  <si>
    <t>FY_2021</t>
  </si>
  <si>
    <t>FY_2020</t>
  </si>
  <si>
    <t>FY_2019</t>
  </si>
  <si>
    <t>2018 (Bonus)*2</t>
  </si>
  <si>
    <t>FY_2017</t>
  </si>
  <si>
    <t>VIEWER SHARE</t>
  </si>
  <si>
    <t>Years</t>
  </si>
  <si>
    <t>FY_2016</t>
  </si>
  <si>
    <t>MEDIA</t>
  </si>
  <si>
    <t>in Cr</t>
  </si>
  <si>
    <t>JIO</t>
  </si>
  <si>
    <t>FY_2015</t>
  </si>
  <si>
    <t>FY_2014</t>
  </si>
  <si>
    <t>FY_2013</t>
  </si>
  <si>
    <t>FY_2012</t>
  </si>
  <si>
    <t>FY_2011</t>
  </si>
  <si>
    <t>2010 (Bonus)*2</t>
  </si>
  <si>
    <t>REVENUE CR</t>
  </si>
  <si>
    <t xml:space="preserve">STORE </t>
  </si>
  <si>
    <t>FY_2009</t>
  </si>
  <si>
    <t>FY_2008</t>
  </si>
  <si>
    <t>FY_2007</t>
  </si>
  <si>
    <t>FY_2006</t>
  </si>
  <si>
    <t>FY_2005</t>
  </si>
  <si>
    <t>FY_2004</t>
  </si>
  <si>
    <t>FY_2003</t>
  </si>
  <si>
    <t>FY_2002</t>
  </si>
  <si>
    <t>FY_2001</t>
  </si>
  <si>
    <t>FY_2000</t>
  </si>
  <si>
    <t>FY_1999</t>
  </si>
  <si>
    <t>FY_1998</t>
  </si>
  <si>
    <t>FY_1997</t>
  </si>
  <si>
    <t>FY_1996</t>
  </si>
  <si>
    <t>FY_1995</t>
  </si>
  <si>
    <t>FY_1994</t>
  </si>
  <si>
    <t>FY_1993</t>
  </si>
  <si>
    <t>FY_1992</t>
  </si>
  <si>
    <t>Low P/E</t>
  </si>
  <si>
    <t>High P/E</t>
  </si>
  <si>
    <t>Low Price</t>
  </si>
  <si>
    <t>High Price</t>
  </si>
  <si>
    <t>NPM %</t>
  </si>
  <si>
    <t>PEG</t>
  </si>
  <si>
    <t>PBV</t>
  </si>
  <si>
    <t>BOOKVALUE</t>
  </si>
  <si>
    <t>YIELD</t>
  </si>
  <si>
    <t>TRAIL_PE.</t>
  </si>
  <si>
    <t>ROPE</t>
  </si>
  <si>
    <t>ROA</t>
  </si>
  <si>
    <t>ROE</t>
  </si>
  <si>
    <t>DEBTRATIO</t>
  </si>
  <si>
    <t>DEBT2EQUITY</t>
  </si>
  <si>
    <t>TRADE CYC</t>
  </si>
  <si>
    <t>CUR.RATIO</t>
  </si>
  <si>
    <t>P-MARGIN</t>
  </si>
  <si>
    <t>SALES GROWTH</t>
  </si>
  <si>
    <t>VALUATIONS</t>
  </si>
  <si>
    <t>PROFITABILITY</t>
  </si>
  <si>
    <t>SOLVENCY</t>
  </si>
  <si>
    <t>LIQUIDITY</t>
  </si>
  <si>
    <t>RELIANCE</t>
  </si>
  <si>
    <t>NET CF</t>
  </si>
  <si>
    <t>CFF</t>
  </si>
  <si>
    <t>CFI</t>
  </si>
  <si>
    <t>CFO</t>
  </si>
  <si>
    <t>PPE</t>
  </si>
  <si>
    <t>TRADE REC</t>
  </si>
  <si>
    <t>LIABILITIES</t>
  </si>
  <si>
    <t>ASSETS</t>
  </si>
  <si>
    <t>CUR.LIABILITIES</t>
  </si>
  <si>
    <t>CUR.ASSETS</t>
  </si>
  <si>
    <t>LEASE</t>
  </si>
  <si>
    <t>TOTAL EQU</t>
  </si>
  <si>
    <t>FV</t>
  </si>
  <si>
    <t>TRAIL_EPS</t>
  </si>
  <si>
    <t>Marketcap</t>
  </si>
  <si>
    <t>Price</t>
  </si>
  <si>
    <t>Company</t>
  </si>
  <si>
    <t>CASHFLOW</t>
  </si>
  <si>
    <t>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</si>
</sst>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#,##0.0"/>
    <numFmt numFmtId="166" formatCode="0.0"/>
    <numFmt numFmtId="167" formatCode="_ * #,##0.0_ ;_ * \-#,##0.0_ ;_ * &quot;-&quot;??_ ;_ @_ "/>
    <numFmt numFmtId="168" formatCode="_ * #,##0_ ;_ * \-#,##0_ ;_ * &quot;-&quot;??_ ;_ @_ "/>
  </numFmts>
  <fonts count="1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1"/>
      <color rgb="FFFFFFFF"/>
      <name val="Times New Roman"/>
    </font>
    <font>
      <i/>
      <sz val="11"/>
      <color theme="1"/>
      <name val="Calibri"/>
      <scheme val="minor"/>
    </font>
    <font>
      <sz val="11"/>
      <color theme="1"/>
      <name val="Calibri"/>
    </font>
    <font>
      <b/>
      <i/>
      <sz val="11"/>
      <color theme="1"/>
      <name val="Calibri"/>
    </font>
    <font>
      <b/>
      <sz val="11"/>
      <color rgb="FFFFFFFF"/>
      <name val="Calibri"/>
    </font>
    <font>
      <b/>
      <sz val="14"/>
      <color rgb="FFFFFFFF"/>
      <name val="Calibri"/>
    </font>
    <font>
      <sz val="29"/>
      <color theme="1"/>
      <name val="Calibri"/>
      <scheme val="minor"/>
    </font>
    <font>
      <sz val="11"/>
      <color rgb="FF000000"/>
      <name val="Calibri"/>
    </font>
    <font>
      <b/>
      <sz val="11"/>
      <color theme="1"/>
      <name val="Calibri"/>
      <scheme val="minor"/>
    </font>
    <font>
      <sz val="11"/>
      <color theme="1"/>
      <name val="Times New Roman"/>
    </font>
    <font>
      <sz val="11"/>
      <color rgb="FFFFFFFF"/>
      <name val="Arial"/>
    </font>
    <font>
      <sz val="11"/>
      <color rgb="FF000000"/>
      <name val="Times New Roman"/>
    </font>
    <font>
      <b/>
      <sz val="11"/>
      <color theme="1"/>
      <name val="Times New Roman"/>
    </font>
    <font>
      <sz val="11"/>
      <color rgb="FF9C0006"/>
      <name val="Times New Roman"/>
    </font>
    <font>
      <sz val="11"/>
      <color theme="1"/>
      <name val="Arial"/>
    </font>
  </fonts>
  <fills count="20">
    <fill>
      <patternFill patternType="none"/>
    </fill>
    <fill>
      <patternFill patternType="gray125"/>
    </fill>
    <fill>
      <patternFill patternType="solid">
        <fgColor rgb="FF6BC498"/>
        <bgColor rgb="FF6BC498"/>
      </patternFill>
    </fill>
    <fill>
      <patternFill patternType="solid">
        <fgColor rgb="FF1C4587"/>
        <bgColor rgb="FF1C4587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073763"/>
        <bgColor rgb="FF073763"/>
      </patternFill>
    </fill>
    <fill>
      <patternFill patternType="solid">
        <fgColor rgb="FFCCCCCC"/>
        <bgColor rgb="FFCCCCCC"/>
      </patternFill>
    </fill>
    <fill>
      <patternFill patternType="solid">
        <fgColor rgb="FF0C343D"/>
        <bgColor rgb="FF0C343D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92D3B3"/>
        <bgColor rgb="FF92D3B3"/>
      </patternFill>
    </fill>
    <fill>
      <patternFill patternType="solid">
        <fgColor rgb="FF57BB8A"/>
        <bgColor rgb="FF57BB8A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  <fill>
      <patternFill patternType="solid">
        <fgColor rgb="FF20124D"/>
        <bgColor rgb="FF20124D"/>
      </patternFill>
    </fill>
    <fill>
      <patternFill patternType="solid">
        <fgColor rgb="FFE6B8AF"/>
        <bgColor rgb="FFE6B8AF"/>
      </patternFill>
    </fill>
    <fill>
      <patternFill patternType="solid">
        <fgColor rgb="FFE5B8B7"/>
        <bgColor rgb="FFE5B8B7"/>
      </patternFill>
    </fill>
    <fill>
      <patternFill patternType="solid">
        <fgColor rgb="FF4F81BD"/>
        <bgColor rgb="FF4F81BD"/>
      </patternFill>
    </fill>
    <fill>
      <patternFill patternType="solid">
        <fgColor rgb="FFB7B7B7"/>
        <bgColor rgb="FFB7B7B7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1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9" fontId="2" fillId="0" borderId="0" xfId="0" applyNumberFormat="1" applyFont="1"/>
    <xf numFmtId="0" fontId="2" fillId="0" borderId="0" xfId="0" applyFont="1"/>
    <xf numFmtId="10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164" fontId="1" fillId="0" borderId="0" xfId="0" applyNumberFormat="1" applyFont="1"/>
    <xf numFmtId="9" fontId="1" fillId="0" borderId="0" xfId="0" applyNumberFormat="1" applyFont="1"/>
    <xf numFmtId="3" fontId="1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4" borderId="1" xfId="0" applyNumberFormat="1" applyFont="1" applyFill="1" applyBorder="1"/>
    <xf numFmtId="3" fontId="2" fillId="4" borderId="1" xfId="0" applyNumberFormat="1" applyFont="1" applyFill="1" applyBorder="1"/>
    <xf numFmtId="0" fontId="4" fillId="4" borderId="1" xfId="0" applyFont="1" applyFill="1" applyBorder="1"/>
    <xf numFmtId="164" fontId="1" fillId="0" borderId="1" xfId="0" applyNumberFormat="1" applyFont="1" applyBorder="1"/>
    <xf numFmtId="9" fontId="2" fillId="5" borderId="1" xfId="0" applyNumberFormat="1" applyFont="1" applyFill="1" applyBorder="1"/>
    <xf numFmtId="3" fontId="2" fillId="5" borderId="1" xfId="0" applyNumberFormat="1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9" fontId="1" fillId="0" borderId="1" xfId="0" applyNumberFormat="1" applyFont="1" applyBorder="1"/>
    <xf numFmtId="1" fontId="5" fillId="0" borderId="3" xfId="0" applyNumberFormat="1" applyFont="1" applyBorder="1" applyAlignment="1">
      <alignment horizontal="right"/>
    </xf>
    <xf numFmtId="0" fontId="5" fillId="0" borderId="4" xfId="0" applyFont="1" applyBorder="1"/>
    <xf numFmtId="9" fontId="6" fillId="0" borderId="3" xfId="0" applyNumberFormat="1" applyFont="1" applyBorder="1" applyAlignment="1">
      <alignment horizontal="right"/>
    </xf>
    <xf numFmtId="3" fontId="1" fillId="0" borderId="1" xfId="0" applyNumberFormat="1" applyFont="1" applyBorder="1"/>
    <xf numFmtId="1" fontId="4" fillId="4" borderId="1" xfId="0" applyNumberFormat="1" applyFont="1" applyFill="1" applyBorder="1"/>
    <xf numFmtId="0" fontId="7" fillId="6" borderId="3" xfId="0" applyFont="1" applyFill="1" applyBorder="1"/>
    <xf numFmtId="0" fontId="7" fillId="6" borderId="3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5" fillId="0" borderId="5" xfId="0" applyFont="1" applyBorder="1"/>
    <xf numFmtId="0" fontId="8" fillId="6" borderId="5" xfId="0" applyFont="1" applyFill="1" applyBorder="1"/>
    <xf numFmtId="165" fontId="2" fillId="4" borderId="1" xfId="0" applyNumberFormat="1" applyFont="1" applyFill="1" applyBorder="1"/>
    <xf numFmtId="1" fontId="1" fillId="7" borderId="1" xfId="0" applyNumberFormat="1" applyFont="1" applyFill="1" applyBorder="1"/>
    <xf numFmtId="3" fontId="1" fillId="7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3" fillId="8" borderId="1" xfId="0" applyFont="1" applyFill="1" applyBorder="1" applyAlignment="1">
      <alignment horizontal="left" vertical="center" wrapText="1"/>
    </xf>
    <xf numFmtId="9" fontId="2" fillId="9" borderId="1" xfId="0" applyNumberFormat="1" applyFont="1" applyFill="1" applyBorder="1"/>
    <xf numFmtId="10" fontId="2" fillId="4" borderId="1" xfId="0" applyNumberFormat="1" applyFont="1" applyFill="1" applyBorder="1"/>
    <xf numFmtId="9" fontId="2" fillId="4" borderId="1" xfId="0" applyNumberFormat="1" applyFont="1" applyFill="1" applyBorder="1"/>
    <xf numFmtId="10" fontId="1" fillId="0" borderId="0" xfId="0" applyNumberFormat="1" applyFont="1"/>
    <xf numFmtId="0" fontId="5" fillId="10" borderId="1" xfId="0" applyFont="1" applyFill="1" applyBorder="1"/>
    <xf numFmtId="9" fontId="5" fillId="10" borderId="1" xfId="0" applyNumberFormat="1" applyFont="1" applyFill="1" applyBorder="1" applyAlignment="1">
      <alignment horizontal="right"/>
    </xf>
    <xf numFmtId="164" fontId="5" fillId="10" borderId="1" xfId="0" applyNumberFormat="1" applyFont="1" applyFill="1" applyBorder="1" applyAlignment="1">
      <alignment horizontal="right"/>
    </xf>
    <xf numFmtId="0" fontId="0" fillId="0" borderId="0" xfId="0"/>
    <xf numFmtId="1" fontId="5" fillId="10" borderId="3" xfId="0" applyNumberFormat="1" applyFont="1" applyFill="1" applyBorder="1" applyAlignment="1">
      <alignment horizontal="center"/>
    </xf>
    <xf numFmtId="1" fontId="5" fillId="11" borderId="3" xfId="0" applyNumberFormat="1" applyFont="1" applyFill="1" applyBorder="1" applyAlignment="1">
      <alignment horizontal="center"/>
    </xf>
    <xf numFmtId="1" fontId="5" fillId="12" borderId="4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8" fillId="6" borderId="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66" fontId="9" fillId="5" borderId="0" xfId="0" applyNumberFormat="1" applyFont="1" applyFill="1" applyAlignment="1">
      <alignment horizontal="center" vertical="center"/>
    </xf>
    <xf numFmtId="166" fontId="5" fillId="11" borderId="3" xfId="0" applyNumberFormat="1" applyFont="1" applyFill="1" applyBorder="1" applyAlignment="1">
      <alignment horizontal="center"/>
    </xf>
    <xf numFmtId="166" fontId="5" fillId="12" borderId="4" xfId="0" applyNumberFormat="1" applyFont="1" applyFill="1" applyBorder="1" applyAlignment="1">
      <alignment horizontal="center"/>
    </xf>
    <xf numFmtId="166" fontId="10" fillId="10" borderId="3" xfId="0" applyNumberFormat="1" applyFont="1" applyFill="1" applyBorder="1" applyAlignment="1">
      <alignment horizontal="right"/>
    </xf>
    <xf numFmtId="0" fontId="5" fillId="10" borderId="3" xfId="0" applyFont="1" applyFill="1" applyBorder="1" applyAlignment="1">
      <alignment horizontal="right"/>
    </xf>
    <xf numFmtId="0" fontId="3" fillId="6" borderId="15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1" fillId="0" borderId="4" xfId="0" applyFont="1" applyBorder="1"/>
    <xf numFmtId="0" fontId="12" fillId="10" borderId="1" xfId="0" applyFont="1" applyFill="1" applyBorder="1" applyAlignment="1">
      <alignment horizontal="left" vertical="center"/>
    </xf>
    <xf numFmtId="166" fontId="1" fillId="0" borderId="1" xfId="0" applyNumberFormat="1" applyFont="1" applyBorder="1"/>
    <xf numFmtId="1" fontId="1" fillId="0" borderId="1" xfId="0" applyNumberFormat="1" applyFont="1" applyBorder="1"/>
    <xf numFmtId="166" fontId="2" fillId="13" borderId="1" xfId="0" applyNumberFormat="1" applyFont="1" applyFill="1" applyBorder="1"/>
    <xf numFmtId="164" fontId="2" fillId="13" borderId="1" xfId="0" applyNumberFormat="1" applyFont="1" applyFill="1" applyBorder="1"/>
    <xf numFmtId="0" fontId="1" fillId="14" borderId="0" xfId="0" applyFont="1" applyFill="1"/>
    <xf numFmtId="165" fontId="1" fillId="0" borderId="0" xfId="0" applyNumberFormat="1" applyFont="1"/>
    <xf numFmtId="0" fontId="13" fillId="15" borderId="1" xfId="0" applyFont="1" applyFill="1" applyBorder="1"/>
    <xf numFmtId="166" fontId="12" fillId="0" borderId="1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168" fontId="12" fillId="0" borderId="1" xfId="0" applyNumberFormat="1" applyFont="1" applyBorder="1" applyAlignment="1">
      <alignment horizontal="right" vertical="center" wrapText="1"/>
    </xf>
    <xf numFmtId="1" fontId="14" fillId="16" borderId="1" xfId="0" applyNumberFormat="1" applyFont="1" applyFill="1" applyBorder="1" applyAlignment="1">
      <alignment horizontal="right" vertical="center" wrapText="1"/>
    </xf>
    <xf numFmtId="0" fontId="15" fillId="10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 wrapText="1"/>
    </xf>
    <xf numFmtId="1" fontId="12" fillId="0" borderId="1" xfId="0" applyNumberFormat="1" applyFont="1" applyBorder="1" applyAlignment="1">
      <alignment horizontal="right" vertical="center" wrapText="1"/>
    </xf>
    <xf numFmtId="168" fontId="12" fillId="17" borderId="1" xfId="0" applyNumberFormat="1" applyFont="1" applyFill="1" applyBorder="1" applyAlignment="1">
      <alignment horizontal="right" vertical="center" wrapText="1"/>
    </xf>
    <xf numFmtId="0" fontId="13" fillId="15" borderId="0" xfId="0" applyFont="1" applyFill="1"/>
    <xf numFmtId="1" fontId="16" fillId="17" borderId="1" xfId="0" applyNumberFormat="1" applyFont="1" applyFill="1" applyBorder="1" applyAlignment="1">
      <alignment horizontal="right" vertical="center" wrapText="1"/>
    </xf>
    <xf numFmtId="0" fontId="7" fillId="18" borderId="1" xfId="0" applyFont="1" applyFill="1" applyBorder="1"/>
    <xf numFmtId="168" fontId="12" fillId="17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right" vertical="center"/>
    </xf>
    <xf numFmtId="168" fontId="14" fillId="0" borderId="1" xfId="0" applyNumberFormat="1" applyFont="1" applyBorder="1" applyAlignment="1">
      <alignment horizontal="right" vertical="center"/>
    </xf>
    <xf numFmtId="43" fontId="12" fillId="0" borderId="1" xfId="0" applyNumberFormat="1" applyFont="1" applyBorder="1" applyAlignment="1">
      <alignment horizontal="right" vertical="center"/>
    </xf>
    <xf numFmtId="43" fontId="14" fillId="0" borderId="1" xfId="0" applyNumberFormat="1" applyFont="1" applyBorder="1" applyAlignment="1">
      <alignment horizontal="right" vertical="center"/>
    </xf>
    <xf numFmtId="0" fontId="5" fillId="0" borderId="0" xfId="0" applyFont="1"/>
    <xf numFmtId="166" fontId="17" fillId="19" borderId="1" xfId="0" applyNumberFormat="1" applyFont="1" applyFill="1" applyBorder="1" applyAlignment="1">
      <alignment horizontal="right"/>
    </xf>
    <xf numFmtId="1" fontId="17" fillId="19" borderId="1" xfId="0" applyNumberFormat="1" applyFont="1" applyFill="1" applyBorder="1" applyAlignment="1">
      <alignment horizontal="right"/>
    </xf>
    <xf numFmtId="164" fontId="17" fillId="19" borderId="1" xfId="0" applyNumberFormat="1" applyFont="1" applyFill="1" applyBorder="1" applyAlignment="1">
      <alignment horizontal="right"/>
    </xf>
    <xf numFmtId="3" fontId="17" fillId="19" borderId="1" xfId="0" applyNumberFormat="1" applyFont="1" applyFill="1" applyBorder="1" applyAlignment="1">
      <alignment horizontal="right"/>
    </xf>
    <xf numFmtId="9" fontId="17" fillId="19" borderId="1" xfId="0" applyNumberFormat="1" applyFont="1" applyFill="1" applyBorder="1" applyAlignment="1">
      <alignment horizontal="right"/>
    </xf>
    <xf numFmtId="165" fontId="17" fillId="19" borderId="1" xfId="0" applyNumberFormat="1" applyFont="1" applyFill="1" applyBorder="1" applyAlignment="1">
      <alignment horizontal="right"/>
    </xf>
    <xf numFmtId="3" fontId="13" fillId="15" borderId="0" xfId="0" applyNumberFormat="1" applyFont="1" applyFill="1"/>
    <xf numFmtId="164" fontId="13" fillId="15" borderId="0" xfId="0" applyNumberFormat="1" applyFont="1" applyFill="1"/>
    <xf numFmtId="166" fontId="13" fillId="15" borderId="0" xfId="0" applyNumberFormat="1" applyFont="1" applyFill="1"/>
    <xf numFmtId="9" fontId="13" fillId="15" borderId="0" xfId="0" applyNumberFormat="1" applyFont="1" applyFill="1"/>
    <xf numFmtId="165" fontId="13" fillId="15" borderId="0" xfId="0" applyNumberFormat="1" applyFont="1" applyFill="1"/>
    <xf numFmtId="164" fontId="6" fillId="5" borderId="18" xfId="0" applyNumberFormat="1" applyFont="1" applyFill="1" applyBorder="1" applyAlignment="1">
      <alignment horizontal="right"/>
    </xf>
    <xf numFmtId="164" fontId="6" fillId="5" borderId="18" xfId="0" applyNumberFormat="1" applyFont="1" applyFill="1" applyBorder="1"/>
    <xf numFmtId="9" fontId="6" fillId="5" borderId="18" xfId="0" applyNumberFormat="1" applyFont="1" applyFill="1" applyBorder="1"/>
    <xf numFmtId="0" fontId="6" fillId="5" borderId="18" xfId="0" applyFont="1" applyFill="1" applyBorder="1"/>
    <xf numFmtId="1" fontId="1" fillId="0" borderId="19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/>
    <xf numFmtId="1" fontId="5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13" fillId="15" borderId="1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82</xdr:row>
      <xdr:rowOff>57150</xdr:rowOff>
    </xdr:from>
    <xdr:ext cx="10010775" cy="42957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4F3E0C6B-F63F-4A99-9B54-444F146AAD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5053310"/>
          <a:ext cx="10010775" cy="429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5697-6A1E-4614-9B18-88141C72A46C}">
  <sheetPr>
    <outlinePr summaryBelow="0" summaryRight="0"/>
  </sheetPr>
  <dimension ref="A1:AI154"/>
  <sheetViews>
    <sheetView showGridLines="0" tabSelected="1" workbookViewId="0"/>
  </sheetViews>
  <sheetFormatPr defaultColWidth="14.44140625" defaultRowHeight="15" customHeight="1" x14ac:dyDescent="0.3"/>
  <cols>
    <col min="1" max="1" width="5.109375" customWidth="1"/>
    <col min="18" max="18" width="15.5546875" customWidth="1"/>
  </cols>
  <sheetData>
    <row r="1" spans="1:22" ht="14.4" x14ac:dyDescent="0.3">
      <c r="A1" s="102"/>
      <c r="B1" s="102"/>
      <c r="C1" s="102"/>
      <c r="D1" s="102"/>
      <c r="E1" s="94" t="s">
        <v>220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2" t="s">
        <v>219</v>
      </c>
    </row>
    <row r="2" spans="1:22" thickBot="1" x14ac:dyDescent="0.35">
      <c r="A2" s="102"/>
      <c r="B2" s="94" t="s">
        <v>218</v>
      </c>
      <c r="C2" s="94" t="s">
        <v>217</v>
      </c>
      <c r="D2" s="94" t="s">
        <v>216</v>
      </c>
      <c r="E2" s="94" t="s">
        <v>89</v>
      </c>
      <c r="F2" s="94" t="s">
        <v>79</v>
      </c>
      <c r="G2" s="94" t="s">
        <v>215</v>
      </c>
      <c r="H2" s="94" t="s">
        <v>214</v>
      </c>
      <c r="I2" s="94" t="s">
        <v>74</v>
      </c>
      <c r="J2" s="94" t="s">
        <v>213</v>
      </c>
      <c r="K2" s="94" t="s">
        <v>36</v>
      </c>
      <c r="L2" s="94" t="s">
        <v>212</v>
      </c>
      <c r="M2" s="94" t="s">
        <v>211</v>
      </c>
      <c r="N2" s="94" t="s">
        <v>210</v>
      </c>
      <c r="O2" s="94" t="s">
        <v>209</v>
      </c>
      <c r="P2" s="94" t="s">
        <v>208</v>
      </c>
      <c r="Q2" s="94" t="s">
        <v>207</v>
      </c>
      <c r="R2" s="126" t="s">
        <v>206</v>
      </c>
      <c r="S2" s="82" t="s">
        <v>205</v>
      </c>
      <c r="T2" s="82" t="s">
        <v>204</v>
      </c>
      <c r="U2" s="82" t="s">
        <v>203</v>
      </c>
      <c r="V2" s="82" t="s">
        <v>202</v>
      </c>
    </row>
    <row r="3" spans="1:22" ht="15.6" thickTop="1" thickBot="1" x14ac:dyDescent="0.35">
      <c r="A3" s="102"/>
      <c r="B3" s="122" t="s">
        <v>201</v>
      </c>
      <c r="C3" s="123">
        <f ca="1">IFERROR(__xludf.DUMMYFUNCTION("GOOGLEFINANCE(""nse:""&amp;B3,""price"")"),2717)</f>
        <v>2717</v>
      </c>
      <c r="D3" s="123">
        <f ca="1">IFERROR(__xludf.DUMMYFUNCTION("GOOGLEFINANCE(""nse:""&amp;B3,""MARKETCAP"")/10000000"),1838377.4967014)</f>
        <v>1838377.4967014</v>
      </c>
      <c r="E3" s="125">
        <f>C45</f>
        <v>940383</v>
      </c>
      <c r="F3" s="125">
        <f>D45</f>
        <v>77567</v>
      </c>
      <c r="G3" s="125">
        <f>G45</f>
        <v>100.38000000000001</v>
      </c>
      <c r="H3" s="120">
        <v>10</v>
      </c>
      <c r="I3" s="124">
        <v>6766</v>
      </c>
      <c r="J3" s="119">
        <v>954324</v>
      </c>
      <c r="K3" s="119">
        <f>P83</f>
        <v>336337</v>
      </c>
      <c r="L3" s="120">
        <f>16978+4210</f>
        <v>21188</v>
      </c>
      <c r="M3" s="124">
        <v>478412</v>
      </c>
      <c r="N3" s="124">
        <v>442760</v>
      </c>
      <c r="O3" s="124">
        <v>1815123</v>
      </c>
      <c r="P3" s="124">
        <v>860799</v>
      </c>
      <c r="Q3" s="124">
        <v>30121</v>
      </c>
      <c r="R3" s="118">
        <v>69137</v>
      </c>
      <c r="S3" s="8">
        <v>91810</v>
      </c>
      <c r="T3" s="62">
        <v>-80539</v>
      </c>
      <c r="U3" s="54">
        <v>-18143</v>
      </c>
      <c r="V3" s="2">
        <f>SUM(S3:U3)</f>
        <v>-6872</v>
      </c>
    </row>
    <row r="4" spans="1:22" ht="15.6" thickTop="1" thickBot="1" x14ac:dyDescent="0.35">
      <c r="A4" s="102"/>
      <c r="B4" s="119" t="s">
        <v>115</v>
      </c>
      <c r="C4" s="123">
        <v>2971</v>
      </c>
      <c r="D4" s="119">
        <f>C4*(I3/H3)</f>
        <v>2010178.6</v>
      </c>
      <c r="E4" s="122">
        <f>C44</f>
        <v>914472</v>
      </c>
      <c r="F4" s="121">
        <f>D44</f>
        <v>79020</v>
      </c>
      <c r="G4" s="121">
        <f>G44</f>
        <v>102.9</v>
      </c>
      <c r="H4" s="119">
        <v>10</v>
      </c>
      <c r="I4" s="119">
        <v>6765</v>
      </c>
      <c r="J4" s="120">
        <v>925788</v>
      </c>
      <c r="K4" s="119">
        <f>Q83</f>
        <v>324622</v>
      </c>
      <c r="L4" s="120">
        <f>16230+4196</f>
        <v>20426</v>
      </c>
      <c r="M4" s="120">
        <v>470100</v>
      </c>
      <c r="N4" s="119">
        <v>397367</v>
      </c>
      <c r="O4" s="119">
        <v>1755986</v>
      </c>
      <c r="P4" s="119">
        <v>830198</v>
      </c>
      <c r="Q4" s="119">
        <v>31628</v>
      </c>
      <c r="R4" s="118">
        <v>65811</v>
      </c>
      <c r="S4" s="8">
        <v>70845</v>
      </c>
      <c r="T4" s="62">
        <v>-40501</v>
      </c>
      <c r="U4" s="54">
        <v>-30550</v>
      </c>
      <c r="V4" s="2">
        <f>SUM(S4:U4)</f>
        <v>-206</v>
      </c>
    </row>
    <row r="5" spans="1:22" thickTop="1" x14ac:dyDescent="0.3">
      <c r="A5" s="102"/>
      <c r="B5" s="117" t="s">
        <v>125</v>
      </c>
      <c r="C5" s="115">
        <f ca="1">(C3/C4)-1</f>
        <v>-8.5493099966341246E-2</v>
      </c>
      <c r="D5" s="115">
        <f ca="1">(D3/D4)-1</f>
        <v>-8.5465591613899439E-2</v>
      </c>
      <c r="E5" s="115">
        <f>(E3/E4)-1</f>
        <v>2.8334383119439366E-2</v>
      </c>
      <c r="F5" s="116">
        <f>(F3/F4)-1</f>
        <v>-1.8387749936724873E-2</v>
      </c>
      <c r="G5" s="115">
        <f>(G3/G4)-1</f>
        <v>-2.4489795918367308E-2</v>
      </c>
      <c r="H5" s="115">
        <f>(H3/H4)-1</f>
        <v>0</v>
      </c>
      <c r="I5" s="115">
        <f>(I3/I4)-1</f>
        <v>1.4781966001486957E-4</v>
      </c>
      <c r="J5" s="115">
        <f>(J3/J4)-1</f>
        <v>3.0823471464309415E-2</v>
      </c>
      <c r="K5" s="115">
        <f>(K3/K4)-1</f>
        <v>3.6088127113997226E-2</v>
      </c>
      <c r="L5" s="114">
        <f>(L3/L4)-1</f>
        <v>3.7305395084695991E-2</v>
      </c>
      <c r="M5" s="114">
        <f>(M3/M4)-1</f>
        <v>1.7681344394809617E-2</v>
      </c>
      <c r="N5" s="114">
        <f>(N3/N4)-1</f>
        <v>0.11423444825564277</v>
      </c>
      <c r="O5" s="114">
        <f>(O3/O4)-1</f>
        <v>3.3677375559941769E-2</v>
      </c>
      <c r="P5" s="114">
        <f>(P3/P4)-1</f>
        <v>3.6859881618601875E-2</v>
      </c>
      <c r="Q5" s="114">
        <f>(Q3/Q4)-1</f>
        <v>-4.7647653977488269E-2</v>
      </c>
      <c r="R5" s="114">
        <f>(R3/R4)-1</f>
        <v>5.0538663749221335E-2</v>
      </c>
      <c r="S5" s="114">
        <f>(S3/S4)-1</f>
        <v>0.29592772955042701</v>
      </c>
      <c r="T5" s="114">
        <f>(T3/T4)-1</f>
        <v>0.98856818350164199</v>
      </c>
      <c r="U5" s="114">
        <f>(U3/U4)-1</f>
        <v>-0.40612111292962361</v>
      </c>
      <c r="V5" s="114">
        <f>(V3/V4)-1</f>
        <v>32.359223300970875</v>
      </c>
    </row>
    <row r="6" spans="1:22" ht="14.4" x14ac:dyDescent="0.3">
      <c r="A6" s="102"/>
      <c r="B6" s="102"/>
      <c r="C6" s="102"/>
      <c r="D6" s="102"/>
      <c r="E6" s="102"/>
      <c r="F6" s="102"/>
      <c r="G6" s="102"/>
      <c r="H6" s="102"/>
      <c r="I6" s="102"/>
      <c r="K6" s="102"/>
      <c r="L6" s="102"/>
      <c r="M6" s="102"/>
      <c r="N6" s="102"/>
      <c r="O6" s="102"/>
      <c r="P6" s="102"/>
      <c r="Q6" s="102"/>
    </row>
    <row r="7" spans="1:22" ht="14.4" x14ac:dyDescent="0.3">
      <c r="A7" s="102"/>
      <c r="B7" s="94" t="s">
        <v>125</v>
      </c>
      <c r="C7" s="94" t="s">
        <v>200</v>
      </c>
      <c r="D7" s="102"/>
      <c r="E7" s="102"/>
      <c r="F7" s="94" t="s">
        <v>199</v>
      </c>
      <c r="G7" s="102"/>
      <c r="H7" s="102"/>
      <c r="I7" s="94" t="s">
        <v>198</v>
      </c>
      <c r="J7" s="102"/>
      <c r="L7" s="94" t="s">
        <v>197</v>
      </c>
      <c r="M7" s="102"/>
      <c r="N7" s="102"/>
      <c r="O7" s="102"/>
      <c r="P7" s="102"/>
    </row>
    <row r="8" spans="1:22" ht="14.4" x14ac:dyDescent="0.3">
      <c r="A8" s="102"/>
      <c r="B8" s="112" t="s">
        <v>196</v>
      </c>
      <c r="C8" s="112" t="s">
        <v>195</v>
      </c>
      <c r="D8" s="111" t="s">
        <v>194</v>
      </c>
      <c r="E8" s="94" t="s">
        <v>193</v>
      </c>
      <c r="F8" s="112" t="s">
        <v>192</v>
      </c>
      <c r="G8" s="112" t="s">
        <v>191</v>
      </c>
      <c r="H8" s="113" t="s">
        <v>25</v>
      </c>
      <c r="I8" s="111" t="s">
        <v>190</v>
      </c>
      <c r="J8" s="112" t="s">
        <v>189</v>
      </c>
      <c r="K8" s="94" t="s">
        <v>188</v>
      </c>
      <c r="L8" s="109" t="s">
        <v>187</v>
      </c>
      <c r="M8" s="111" t="s">
        <v>186</v>
      </c>
      <c r="N8" s="110" t="s">
        <v>185</v>
      </c>
      <c r="O8" s="109" t="s">
        <v>184</v>
      </c>
      <c r="P8" s="109" t="s">
        <v>183</v>
      </c>
    </row>
    <row r="9" spans="1:22" ht="14.4" x14ac:dyDescent="0.3">
      <c r="A9" s="102"/>
      <c r="B9" s="105">
        <f>L60</f>
        <v>5.8124171409215553E-2</v>
      </c>
      <c r="C9" s="105">
        <f>J69</f>
        <v>7.7483898596135664E-2</v>
      </c>
      <c r="D9" s="103">
        <f>M3/N3</f>
        <v>1.0805221790586321</v>
      </c>
      <c r="E9" s="108">
        <f>(Q3/E3)*365</f>
        <v>11.691156688285517</v>
      </c>
      <c r="F9" s="107">
        <f>(K3+L3)/(I3+J3)</f>
        <v>0.37199950056706449</v>
      </c>
      <c r="G9" s="107">
        <f>P3/O3</f>
        <v>0.47423728309321189</v>
      </c>
      <c r="H9" s="104">
        <f>J70</f>
        <v>4.3022203602848768</v>
      </c>
      <c r="I9" s="105">
        <f>F3/J3</f>
        <v>8.1279523516122401E-2</v>
      </c>
      <c r="J9" s="107">
        <f>F3/$O$3</f>
        <v>4.2733743112725694E-2</v>
      </c>
      <c r="K9" s="106">
        <f>F3/I3</f>
        <v>11.464232929352645</v>
      </c>
      <c r="L9" s="103">
        <f ca="1">C3/G3</f>
        <v>27.067144849571626</v>
      </c>
      <c r="M9" s="105">
        <f ca="1">G3/C3</f>
        <v>3.694516010305484E-2</v>
      </c>
      <c r="N9" s="104">
        <f>(J3)/(I3/H3)</f>
        <v>1410.4699970440438</v>
      </c>
      <c r="O9" s="103">
        <f ca="1">C3/N9</f>
        <v>1.9263082558963203</v>
      </c>
      <c r="P9" s="103">
        <f ca="1">L55</f>
        <v>-6.876113540654357</v>
      </c>
    </row>
    <row r="10" spans="1:22" ht="14.4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22" ht="14.4" x14ac:dyDescent="0.3">
      <c r="B11" s="94" t="s">
        <v>147</v>
      </c>
      <c r="C11" s="94" t="s">
        <v>77</v>
      </c>
      <c r="D11" s="94" t="s">
        <v>76</v>
      </c>
      <c r="E11" s="94" t="s">
        <v>74</v>
      </c>
      <c r="F11" s="94" t="s">
        <v>133</v>
      </c>
      <c r="G11" s="94" t="s">
        <v>72</v>
      </c>
      <c r="H11" s="94" t="s">
        <v>182</v>
      </c>
      <c r="I11" s="94" t="s">
        <v>181</v>
      </c>
      <c r="J11" s="94" t="s">
        <v>180</v>
      </c>
      <c r="K11" s="94" t="s">
        <v>179</v>
      </c>
      <c r="L11" s="94" t="s">
        <v>178</v>
      </c>
    </row>
    <row r="12" spans="1:22" ht="14.4" x14ac:dyDescent="0.3">
      <c r="B12" s="89" t="s">
        <v>177</v>
      </c>
      <c r="C12" s="84">
        <v>2943.61</v>
      </c>
      <c r="D12" s="98">
        <v>169.39</v>
      </c>
      <c r="E12" s="98">
        <v>157.94</v>
      </c>
      <c r="F12" s="98">
        <v>1710.74</v>
      </c>
      <c r="G12" s="101">
        <f>D12/15.8</f>
        <v>10.720886075949366</v>
      </c>
      <c r="H12" s="85">
        <f>D12/C12</f>
        <v>5.754498727752657E-2</v>
      </c>
      <c r="I12" s="84">
        <v>455</v>
      </c>
      <c r="J12" s="84">
        <v>118</v>
      </c>
      <c r="K12" s="83">
        <f>I12/G12</f>
        <v>42.440521872601693</v>
      </c>
      <c r="L12" s="83">
        <f>J12/G12</f>
        <v>11.006552925202197</v>
      </c>
    </row>
    <row r="13" spans="1:22" ht="14.4" x14ac:dyDescent="0.3">
      <c r="B13" s="89" t="s">
        <v>176</v>
      </c>
      <c r="C13" s="84">
        <v>4208.08</v>
      </c>
      <c r="D13" s="98">
        <v>357.87</v>
      </c>
      <c r="E13" s="98">
        <v>250.98</v>
      </c>
      <c r="F13" s="98">
        <v>2361.79</v>
      </c>
      <c r="G13" s="100">
        <f>D13/25.1</f>
        <v>14.257768924302788</v>
      </c>
      <c r="H13" s="85">
        <f>D13/C13</f>
        <v>8.5043535294005823E-2</v>
      </c>
      <c r="I13" s="84">
        <v>475</v>
      </c>
      <c r="J13" s="84">
        <v>161.25</v>
      </c>
      <c r="K13" s="83">
        <f>I13/G13</f>
        <v>33.315170313242241</v>
      </c>
      <c r="L13" s="83">
        <f>J13/G13</f>
        <v>11.309623606337498</v>
      </c>
      <c r="N13" s="9"/>
    </row>
    <row r="14" spans="1:22" ht="14.4" x14ac:dyDescent="0.3">
      <c r="B14" s="89" t="s">
        <v>175</v>
      </c>
      <c r="C14" s="84">
        <v>5486.83</v>
      </c>
      <c r="D14" s="98">
        <v>575.49</v>
      </c>
      <c r="E14" s="98">
        <v>323.82</v>
      </c>
      <c r="F14" s="98">
        <v>4011.07</v>
      </c>
      <c r="G14" s="100">
        <f>D14/32.4</f>
        <v>17.76203703703704</v>
      </c>
      <c r="H14" s="85">
        <f>D14/C14</f>
        <v>0.10488569902840074</v>
      </c>
      <c r="I14" s="84">
        <v>433</v>
      </c>
      <c r="J14" s="84">
        <v>162.5</v>
      </c>
      <c r="K14" s="83">
        <f>I14/G14</f>
        <v>24.377834540999839</v>
      </c>
      <c r="L14" s="83">
        <f>J14/G14</f>
        <v>9.1487254339780009</v>
      </c>
    </row>
    <row r="15" spans="1:22" ht="14.4" x14ac:dyDescent="0.3">
      <c r="B15" s="89" t="s">
        <v>174</v>
      </c>
      <c r="C15" s="90">
        <v>7335.79</v>
      </c>
      <c r="D15" s="87">
        <v>1064.8499999999999</v>
      </c>
      <c r="E15" s="98">
        <v>455.86</v>
      </c>
      <c r="F15" s="98">
        <v>6731.29</v>
      </c>
      <c r="G15" s="100">
        <f>1065/45.6</f>
        <v>23.355263157894736</v>
      </c>
      <c r="H15" s="85">
        <f>D15/C15</f>
        <v>0.14515819018810516</v>
      </c>
      <c r="I15" s="84">
        <v>432.5</v>
      </c>
      <c r="J15" s="84">
        <v>233.75</v>
      </c>
      <c r="K15" s="83">
        <f>I15/G15</f>
        <v>18.518309859154929</v>
      </c>
      <c r="L15" s="83">
        <f>J15/G15</f>
        <v>10.008450704225352</v>
      </c>
    </row>
    <row r="16" spans="1:22" ht="14.4" x14ac:dyDescent="0.3">
      <c r="B16" s="89" t="s">
        <v>173</v>
      </c>
      <c r="C16" s="84">
        <v>8205.6</v>
      </c>
      <c r="D16" s="87">
        <v>1305.27</v>
      </c>
      <c r="E16" s="98">
        <v>458.23</v>
      </c>
      <c r="F16" s="98">
        <v>7747.07</v>
      </c>
      <c r="G16" s="100">
        <f>D16/45.8</f>
        <v>28.49934497816594</v>
      </c>
      <c r="H16" s="85">
        <f>D16/C16</f>
        <v>0.15907063468850541</v>
      </c>
      <c r="I16" s="84">
        <v>300</v>
      </c>
      <c r="J16" s="84">
        <v>150</v>
      </c>
      <c r="K16" s="83">
        <f>I16/G16</f>
        <v>10.526557723689351</v>
      </c>
      <c r="L16" s="83">
        <f>J16/G16</f>
        <v>5.2632788618446753</v>
      </c>
    </row>
    <row r="17" spans="2:28" ht="14.4" x14ac:dyDescent="0.3">
      <c r="B17" s="89" t="s">
        <v>172</v>
      </c>
      <c r="C17" s="84">
        <v>8924.66</v>
      </c>
      <c r="D17" s="87">
        <v>1322.7</v>
      </c>
      <c r="E17" s="98">
        <v>458.45</v>
      </c>
      <c r="F17" s="98">
        <v>8012.49</v>
      </c>
      <c r="G17" s="100">
        <f>D17/45.8</f>
        <v>28.879912663755462</v>
      </c>
      <c r="H17" s="85">
        <f>D17/C17</f>
        <v>0.14820732666566569</v>
      </c>
      <c r="I17" s="84">
        <v>317</v>
      </c>
      <c r="J17" s="84">
        <v>165.5</v>
      </c>
      <c r="K17" s="83">
        <f>I17/G17</f>
        <v>10.976487487714522</v>
      </c>
      <c r="L17" s="83">
        <f>J17/G17</f>
        <v>5.7306267483178344</v>
      </c>
    </row>
    <row r="18" spans="2:28" ht="14.4" x14ac:dyDescent="0.3">
      <c r="B18" s="89" t="s">
        <v>171</v>
      </c>
      <c r="C18" s="84">
        <v>14107.66</v>
      </c>
      <c r="D18" s="98">
        <v>1652.67</v>
      </c>
      <c r="E18" s="98">
        <v>931.9</v>
      </c>
      <c r="F18" s="98">
        <v>10862.75</v>
      </c>
      <c r="G18" s="100">
        <f>D18/93.2</f>
        <v>17.732510729613733</v>
      </c>
      <c r="H18" s="85">
        <f>D18/C18</f>
        <v>0.11714699673794238</v>
      </c>
      <c r="I18" s="84">
        <v>436.5</v>
      </c>
      <c r="J18" s="84">
        <v>144.5</v>
      </c>
      <c r="K18" s="83">
        <f>I18/G18</f>
        <v>24.615803517943693</v>
      </c>
      <c r="L18" s="83">
        <f>J18/G18</f>
        <v>8.148874245917213</v>
      </c>
    </row>
    <row r="19" spans="2:28" ht="14.4" x14ac:dyDescent="0.3">
      <c r="B19" s="89" t="s">
        <v>170</v>
      </c>
      <c r="C19" s="90">
        <v>15008.38</v>
      </c>
      <c r="D19" s="98">
        <v>1703.69</v>
      </c>
      <c r="E19" s="98">
        <v>933.39</v>
      </c>
      <c r="F19" s="98">
        <v>11183</v>
      </c>
      <c r="G19" s="86">
        <f>D19/93.3</f>
        <v>18.260342979635585</v>
      </c>
      <c r="H19" s="85">
        <f>D19/C19</f>
        <v>0.11351591577505368</v>
      </c>
      <c r="I19" s="84">
        <v>204.9</v>
      </c>
      <c r="J19" s="84">
        <v>100</v>
      </c>
      <c r="K19" s="83">
        <f>I19/G19</f>
        <v>11.221037864869782</v>
      </c>
      <c r="L19" s="83">
        <f>J19/G19</f>
        <v>5.4763483967153643</v>
      </c>
    </row>
    <row r="20" spans="2:28" ht="14.4" x14ac:dyDescent="0.3">
      <c r="B20" s="89" t="s">
        <v>169</v>
      </c>
      <c r="C20" s="90">
        <v>21332.37</v>
      </c>
      <c r="D20" s="99">
        <v>2403.25</v>
      </c>
      <c r="E20" s="98">
        <v>1053.45</v>
      </c>
      <c r="F20" s="98">
        <v>12636.35</v>
      </c>
      <c r="G20" s="86">
        <f>D20/105.3</f>
        <v>22.822886989553655</v>
      </c>
      <c r="H20" s="85">
        <f>D20/C20</f>
        <v>0.11265743093711576</v>
      </c>
      <c r="I20" s="84">
        <v>380</v>
      </c>
      <c r="J20" s="84">
        <v>116.1</v>
      </c>
      <c r="K20" s="83">
        <f>I20/G20</f>
        <v>16.649953188390722</v>
      </c>
      <c r="L20" s="83">
        <f>J20/G20</f>
        <v>5.0869988557162173</v>
      </c>
    </row>
    <row r="21" spans="2:28" ht="14.4" x14ac:dyDescent="0.3">
      <c r="B21" s="89" t="s">
        <v>168</v>
      </c>
      <c r="C21" s="84">
        <v>28708.82</v>
      </c>
      <c r="D21" s="99">
        <v>2645.62</v>
      </c>
      <c r="E21" s="98">
        <v>1053.49</v>
      </c>
      <c r="F21" s="98">
        <v>13711.88</v>
      </c>
      <c r="G21" s="86">
        <v>25.11</v>
      </c>
      <c r="H21" s="85">
        <f>D21/C21</f>
        <v>9.2153561170399897E-2</v>
      </c>
      <c r="I21" s="84">
        <v>472.75</v>
      </c>
      <c r="J21" s="84">
        <v>279.10000000000002</v>
      </c>
      <c r="K21" s="83">
        <f>I21/G21</f>
        <v>18.827160493827162</v>
      </c>
      <c r="L21" s="83">
        <f>J21/G21</f>
        <v>11.115093588211868</v>
      </c>
    </row>
    <row r="22" spans="2:28" ht="14.4" x14ac:dyDescent="0.3">
      <c r="B22" s="89" t="s">
        <v>167</v>
      </c>
      <c r="C22" s="90">
        <v>42019.77</v>
      </c>
      <c r="D22" s="99">
        <v>3278.87</v>
      </c>
      <c r="E22" s="98">
        <v>1053.56</v>
      </c>
      <c r="F22" s="98">
        <v>26580.91</v>
      </c>
      <c r="G22" s="86">
        <v>20.39</v>
      </c>
      <c r="H22" s="85">
        <f>D22/C22</f>
        <v>7.8031602743184936E-2</v>
      </c>
      <c r="I22" s="84">
        <v>406.5</v>
      </c>
      <c r="J22" s="84">
        <v>204.1</v>
      </c>
      <c r="K22" s="83">
        <f>I22/G22</f>
        <v>19.936243256498283</v>
      </c>
      <c r="L22" s="83">
        <f>J22/G22</f>
        <v>10.009808729769494</v>
      </c>
    </row>
    <row r="23" spans="2:28" ht="14.4" x14ac:dyDescent="0.3">
      <c r="B23" s="89" t="s">
        <v>166</v>
      </c>
      <c r="C23" s="84">
        <v>49231.85</v>
      </c>
      <c r="D23" s="98">
        <v>4003.31</v>
      </c>
      <c r="E23" s="98">
        <v>1395.92</v>
      </c>
      <c r="F23" s="98">
        <v>29139.85</v>
      </c>
      <c r="G23" s="86">
        <v>28.53</v>
      </c>
      <c r="H23" s="85">
        <f>D23/C23</f>
        <v>8.1315449246778262E-2</v>
      </c>
      <c r="I23" s="84">
        <v>312.95</v>
      </c>
      <c r="J23" s="84">
        <v>218.05</v>
      </c>
      <c r="K23" s="83">
        <f>I23/G23</f>
        <v>10.969155275148966</v>
      </c>
      <c r="L23" s="83">
        <f>J23/G23</f>
        <v>7.6428321065545042</v>
      </c>
    </row>
    <row r="24" spans="2:28" ht="14.4" x14ac:dyDescent="0.3">
      <c r="B24" s="89" t="s">
        <v>165</v>
      </c>
      <c r="C24" s="84">
        <v>52576.73</v>
      </c>
      <c r="D24" s="98">
        <v>5168.99</v>
      </c>
      <c r="E24" s="98">
        <v>1395.95</v>
      </c>
      <c r="F24" s="98">
        <v>33621.599999999999</v>
      </c>
      <c r="G24" s="86">
        <v>36.85</v>
      </c>
      <c r="H24" s="85">
        <f>D24/C24</f>
        <v>9.8313265203066061E-2</v>
      </c>
      <c r="I24" s="84">
        <v>610.45000000000005</v>
      </c>
      <c r="J24" s="84">
        <v>258</v>
      </c>
      <c r="K24" s="83">
        <f>I24/G24</f>
        <v>16.565807327001359</v>
      </c>
      <c r="L24" s="83">
        <f>J24/G24</f>
        <v>7.0013568521031209</v>
      </c>
    </row>
    <row r="25" spans="2:28" ht="14.4" x14ac:dyDescent="0.3">
      <c r="B25" s="89" t="s">
        <v>164</v>
      </c>
      <c r="C25" s="84">
        <v>67573.009999999995</v>
      </c>
      <c r="D25" s="98">
        <v>7628.23</v>
      </c>
      <c r="E25" s="98">
        <v>1393.09</v>
      </c>
      <c r="F25" s="98">
        <v>39700.58</v>
      </c>
      <c r="G25" s="86">
        <v>54.65</v>
      </c>
      <c r="H25" s="85">
        <f>D25/C25</f>
        <v>0.11288871104010315</v>
      </c>
      <c r="I25" s="84">
        <v>600.9</v>
      </c>
      <c r="J25" s="84">
        <v>382</v>
      </c>
      <c r="K25" s="83">
        <f>I25/G25</f>
        <v>10.995425434583714</v>
      </c>
      <c r="L25" s="83">
        <f>J25/G25</f>
        <v>6.9899359560841718</v>
      </c>
      <c r="O25" s="1"/>
    </row>
    <row r="26" spans="2:28" ht="14.4" x14ac:dyDescent="0.3">
      <c r="B26" s="89" t="s">
        <v>163</v>
      </c>
      <c r="C26" s="84">
        <v>86349.61</v>
      </c>
      <c r="D26" s="98">
        <v>9398.23</v>
      </c>
      <c r="E26" s="98">
        <v>1393.17</v>
      </c>
      <c r="F26" s="98">
        <v>49634.86</v>
      </c>
      <c r="G26" s="86">
        <v>67.44</v>
      </c>
      <c r="H26" s="85">
        <f>D26/C26</f>
        <v>0.10883928717222927</v>
      </c>
      <c r="I26" s="84">
        <v>937.5</v>
      </c>
      <c r="J26" s="84">
        <v>512.1</v>
      </c>
      <c r="K26" s="83">
        <f>I26/G26</f>
        <v>13.901245551601424</v>
      </c>
      <c r="L26" s="83">
        <f>J26/G26</f>
        <v>7.5934163701067625</v>
      </c>
      <c r="O26" s="1"/>
    </row>
    <row r="27" spans="2:28" ht="14.4" x14ac:dyDescent="0.3">
      <c r="B27" s="89" t="s">
        <v>162</v>
      </c>
      <c r="C27" s="84">
        <v>115117.95</v>
      </c>
      <c r="D27" s="98">
        <v>12074.83</v>
      </c>
      <c r="E27" s="98">
        <v>1393.21</v>
      </c>
      <c r="F27" s="98">
        <v>66765.73</v>
      </c>
      <c r="G27" s="86">
        <v>83.07</v>
      </c>
      <c r="H27" s="85">
        <f>D27/C27</f>
        <v>0.10489094011837424</v>
      </c>
      <c r="I27" s="84">
        <v>1445</v>
      </c>
      <c r="J27" s="84">
        <v>796</v>
      </c>
      <c r="K27" s="83">
        <f>I27/G27</f>
        <v>17.394968099193452</v>
      </c>
      <c r="L27" s="83">
        <f>J27/G27</f>
        <v>9.5822800048152175</v>
      </c>
    </row>
    <row r="28" spans="2:28" ht="14.4" x14ac:dyDescent="0.3">
      <c r="B28" s="89" t="s">
        <v>161</v>
      </c>
      <c r="C28" s="84">
        <v>144637.54</v>
      </c>
      <c r="D28" s="98">
        <v>19521.38</v>
      </c>
      <c r="E28" s="98">
        <v>1453.39</v>
      </c>
      <c r="F28" s="98">
        <v>82374.69</v>
      </c>
      <c r="G28" s="86">
        <v>134.61000000000001</v>
      </c>
      <c r="H28" s="85">
        <f>D28/C28</f>
        <v>0.13496758863570274</v>
      </c>
      <c r="I28" s="84">
        <v>3252.1</v>
      </c>
      <c r="J28" s="84">
        <v>1305</v>
      </c>
      <c r="K28" s="83">
        <f>I28/G28</f>
        <v>24.159423519797933</v>
      </c>
      <c r="L28" s="83">
        <f>J28/G28</f>
        <v>9.694673501225763</v>
      </c>
      <c r="N28" s="94" t="s">
        <v>44</v>
      </c>
      <c r="AA28" s="96" t="s">
        <v>59</v>
      </c>
    </row>
    <row r="29" spans="2:28" ht="14.4" x14ac:dyDescent="0.3">
      <c r="B29" s="89" t="s">
        <v>160</v>
      </c>
      <c r="C29" s="92">
        <v>155407.79</v>
      </c>
      <c r="D29" s="97">
        <v>14968.72</v>
      </c>
      <c r="E29" s="87">
        <v>1374.68</v>
      </c>
      <c r="F29" s="87">
        <v>119812.61</v>
      </c>
      <c r="G29" s="86">
        <v>54.11</v>
      </c>
      <c r="H29" s="85">
        <f>D29/C29</f>
        <v>9.6318981178485322E-2</v>
      </c>
      <c r="I29" s="84">
        <v>2706.6</v>
      </c>
      <c r="J29" s="84">
        <v>930</v>
      </c>
      <c r="K29" s="83">
        <f>I29/G29</f>
        <v>50.020328959526886</v>
      </c>
      <c r="L29" s="83">
        <f>J29/G29</f>
        <v>17.187211236370356</v>
      </c>
      <c r="N29" s="94" t="s">
        <v>147</v>
      </c>
      <c r="O29" s="94" t="s">
        <v>159</v>
      </c>
      <c r="P29" s="94" t="s">
        <v>158</v>
      </c>
      <c r="AA29" s="94" t="s">
        <v>147</v>
      </c>
      <c r="AB29" s="94" t="s">
        <v>124</v>
      </c>
    </row>
    <row r="30" spans="2:28" ht="14.4" x14ac:dyDescent="0.3">
      <c r="B30" s="89" t="s">
        <v>157</v>
      </c>
      <c r="C30" s="92">
        <v>220557.74</v>
      </c>
      <c r="D30" s="87">
        <v>24503.14</v>
      </c>
      <c r="E30" s="87">
        <v>2978.02</v>
      </c>
      <c r="F30" s="87">
        <v>138024.95999999999</v>
      </c>
      <c r="G30" s="86">
        <v>82.29</v>
      </c>
      <c r="H30" s="85">
        <f>D30/C30</f>
        <v>0.11109625987281153</v>
      </c>
      <c r="I30" s="84">
        <v>1059</v>
      </c>
      <c r="J30" s="84">
        <v>961</v>
      </c>
      <c r="K30" s="83">
        <f>I30/G30</f>
        <v>12.869121399927087</v>
      </c>
      <c r="L30" s="83">
        <f>J30/G30</f>
        <v>11.678211204277554</v>
      </c>
      <c r="N30" s="38">
        <v>2010</v>
      </c>
      <c r="O30" s="8">
        <f>O32-300</f>
        <v>982</v>
      </c>
      <c r="P30" s="8">
        <v>4565</v>
      </c>
      <c r="AA30" s="75">
        <v>2010</v>
      </c>
      <c r="AB30" s="8"/>
    </row>
    <row r="31" spans="2:28" ht="14.4" x14ac:dyDescent="0.3">
      <c r="B31" s="89" t="s">
        <v>156</v>
      </c>
      <c r="C31" s="92">
        <v>268354</v>
      </c>
      <c r="D31" s="93">
        <v>19294</v>
      </c>
      <c r="E31" s="87">
        <v>2981</v>
      </c>
      <c r="F31" s="87">
        <v>151112</v>
      </c>
      <c r="G31" s="86">
        <v>64.75</v>
      </c>
      <c r="H31" s="85">
        <f>D31/C31</f>
        <v>7.189756813760928E-2</v>
      </c>
      <c r="I31" s="84">
        <v>1187</v>
      </c>
      <c r="J31" s="84">
        <v>840.55</v>
      </c>
      <c r="K31" s="83">
        <f>I31/G31</f>
        <v>18.332046332046332</v>
      </c>
      <c r="L31" s="83">
        <f>J31/G31</f>
        <v>12.981467181467181</v>
      </c>
      <c r="N31" s="38">
        <v>2011</v>
      </c>
      <c r="O31" s="8">
        <f>O32-150</f>
        <v>1132</v>
      </c>
      <c r="P31" s="8">
        <v>6102</v>
      </c>
      <c r="AA31" s="75">
        <v>2011</v>
      </c>
      <c r="AB31" s="8"/>
    </row>
    <row r="32" spans="2:28" ht="14.4" x14ac:dyDescent="0.3">
      <c r="B32" s="89" t="s">
        <v>155</v>
      </c>
      <c r="C32" s="92">
        <v>364695</v>
      </c>
      <c r="D32" s="87">
        <v>19717</v>
      </c>
      <c r="E32" s="87">
        <v>2979</v>
      </c>
      <c r="F32" s="87">
        <v>166466</v>
      </c>
      <c r="G32" s="86">
        <v>66.150000000000006</v>
      </c>
      <c r="H32" s="85">
        <f>D32/C32</f>
        <v>5.4064355146080975E-2</v>
      </c>
      <c r="I32" s="84">
        <v>1065.55</v>
      </c>
      <c r="J32" s="84">
        <v>687.55</v>
      </c>
      <c r="K32" s="83">
        <f>I32/G32</f>
        <v>16.108087679516249</v>
      </c>
      <c r="L32" s="83">
        <f>J32/G32</f>
        <v>10.393801965230535</v>
      </c>
      <c r="N32" s="38">
        <v>2012</v>
      </c>
      <c r="O32" s="8">
        <f>O33-184</f>
        <v>1282</v>
      </c>
      <c r="P32" s="8">
        <v>7635</v>
      </c>
      <c r="AA32" s="75">
        <v>2012</v>
      </c>
      <c r="AB32" s="8"/>
    </row>
    <row r="33" spans="2:35" ht="14.4" x14ac:dyDescent="0.3">
      <c r="B33" s="89" t="s">
        <v>154</v>
      </c>
      <c r="C33" s="92">
        <v>404929</v>
      </c>
      <c r="D33" s="87">
        <v>20886</v>
      </c>
      <c r="E33" s="87">
        <v>2936</v>
      </c>
      <c r="F33" s="87">
        <v>179094</v>
      </c>
      <c r="G33" s="86">
        <v>70.650000000000006</v>
      </c>
      <c r="H33" s="85">
        <f>D33/C33</f>
        <v>5.1579412687162443E-2</v>
      </c>
      <c r="I33" s="84">
        <v>954.8</v>
      </c>
      <c r="J33" s="84">
        <v>671</v>
      </c>
      <c r="K33" s="83">
        <f>I33/G33</f>
        <v>13.514508138711959</v>
      </c>
      <c r="L33" s="83">
        <f>J33/G33</f>
        <v>9.497523000707714</v>
      </c>
      <c r="N33" s="38">
        <v>2013</v>
      </c>
      <c r="O33" s="8">
        <v>1466</v>
      </c>
      <c r="P33" s="8">
        <v>10845</v>
      </c>
      <c r="AA33" s="38">
        <v>2013</v>
      </c>
      <c r="AB33" s="8"/>
      <c r="AE33" s="2"/>
    </row>
    <row r="34" spans="2:35" ht="14.4" x14ac:dyDescent="0.3">
      <c r="B34" s="89" t="s">
        <v>153</v>
      </c>
      <c r="C34" s="92">
        <v>443461</v>
      </c>
      <c r="D34" s="87">
        <v>22493</v>
      </c>
      <c r="E34" s="87">
        <v>2940</v>
      </c>
      <c r="F34" s="87">
        <v>195730</v>
      </c>
      <c r="G34" s="86">
        <v>76.55</v>
      </c>
      <c r="H34" s="85">
        <f>D34/C34</f>
        <v>5.0721483963640547E-2</v>
      </c>
      <c r="I34" s="84">
        <v>939.3</v>
      </c>
      <c r="J34" s="84">
        <v>765</v>
      </c>
      <c r="K34" s="83">
        <f>I34/G34</f>
        <v>12.270411495754409</v>
      </c>
      <c r="L34" s="83">
        <f>J34/G34</f>
        <v>9.9934683213585895</v>
      </c>
      <c r="N34" s="38">
        <v>2014</v>
      </c>
      <c r="O34" s="8">
        <v>1691</v>
      </c>
      <c r="P34" s="8">
        <v>14556</v>
      </c>
      <c r="AA34" s="38">
        <v>2014</v>
      </c>
      <c r="AB34" s="8"/>
      <c r="AE34" s="2"/>
      <c r="AF34" s="2"/>
      <c r="AG34" s="2"/>
      <c r="AH34" s="2"/>
      <c r="AI34" s="2"/>
    </row>
    <row r="35" spans="2:35" ht="14.4" x14ac:dyDescent="0.3">
      <c r="B35" s="89" t="s">
        <v>152</v>
      </c>
      <c r="C35" s="95">
        <v>384048</v>
      </c>
      <c r="D35" s="87">
        <v>23566</v>
      </c>
      <c r="E35" s="87">
        <v>2943</v>
      </c>
      <c r="F35" s="87">
        <v>215539</v>
      </c>
      <c r="G35" s="86">
        <v>80.11</v>
      </c>
      <c r="H35" s="85">
        <f>D35/C35</f>
        <v>6.1362121401491478E-2</v>
      </c>
      <c r="I35" s="84">
        <v>1142.5</v>
      </c>
      <c r="J35" s="84">
        <v>796.75</v>
      </c>
      <c r="K35" s="83">
        <f>I35/G35</f>
        <v>14.261640244663587</v>
      </c>
      <c r="L35" s="83">
        <f>J35/G35</f>
        <v>9.9456996629634258</v>
      </c>
      <c r="N35" s="38">
        <v>2015</v>
      </c>
      <c r="O35" s="8">
        <v>2621</v>
      </c>
      <c r="P35" s="8">
        <v>17640</v>
      </c>
      <c r="R35" s="94" t="s">
        <v>151</v>
      </c>
      <c r="S35" s="8" t="s">
        <v>150</v>
      </c>
      <c r="T35" s="8"/>
      <c r="U35" s="8" t="s">
        <v>150</v>
      </c>
      <c r="W35" s="96" t="s">
        <v>149</v>
      </c>
      <c r="AA35" s="38">
        <v>2015</v>
      </c>
      <c r="AB35" s="8"/>
      <c r="AE35" s="2"/>
    </row>
    <row r="36" spans="2:35" ht="14.4" x14ac:dyDescent="0.3">
      <c r="B36" s="89" t="s">
        <v>148</v>
      </c>
      <c r="C36" s="95">
        <v>305351</v>
      </c>
      <c r="D36" s="87">
        <v>29861</v>
      </c>
      <c r="E36" s="87">
        <v>2948</v>
      </c>
      <c r="F36" s="87">
        <v>228608</v>
      </c>
      <c r="G36" s="86">
        <v>100.97</v>
      </c>
      <c r="H36" s="85">
        <f>D36/C36</f>
        <v>9.7792376641962858E-2</v>
      </c>
      <c r="I36" s="84">
        <v>1089.5</v>
      </c>
      <c r="J36" s="84">
        <v>814</v>
      </c>
      <c r="K36" s="83">
        <f>I36/G36</f>
        <v>10.790333762503714</v>
      </c>
      <c r="L36" s="83">
        <f>J36/G36</f>
        <v>8.0618005348123205</v>
      </c>
      <c r="N36" s="38">
        <v>2016</v>
      </c>
      <c r="O36" s="8">
        <v>3245</v>
      </c>
      <c r="P36" s="8">
        <v>21075</v>
      </c>
      <c r="R36" s="82" t="s">
        <v>147</v>
      </c>
      <c r="S36" s="82" t="s">
        <v>127</v>
      </c>
      <c r="T36" s="82" t="s">
        <v>97</v>
      </c>
      <c r="U36" s="82" t="s">
        <v>124</v>
      </c>
      <c r="W36" s="94" t="s">
        <v>147</v>
      </c>
      <c r="X36" s="94" t="s">
        <v>146</v>
      </c>
      <c r="Y36" s="94" t="s">
        <v>124</v>
      </c>
      <c r="AA36" s="38">
        <v>2016</v>
      </c>
      <c r="AB36" s="8"/>
      <c r="AE36" s="2"/>
    </row>
    <row r="37" spans="2:35" ht="14.4" x14ac:dyDescent="0.3">
      <c r="B37" s="89" t="s">
        <v>145</v>
      </c>
      <c r="C37" s="92">
        <v>339623</v>
      </c>
      <c r="D37" s="93">
        <v>29833</v>
      </c>
      <c r="E37" s="87">
        <v>2959</v>
      </c>
      <c r="F37" s="87">
        <v>260750</v>
      </c>
      <c r="G37" s="86">
        <v>50.67</v>
      </c>
      <c r="H37" s="85">
        <f>D37/C37</f>
        <v>8.7841518389508363E-2</v>
      </c>
      <c r="I37" s="84">
        <v>1336</v>
      </c>
      <c r="J37" s="84">
        <v>925.7</v>
      </c>
      <c r="K37" s="83">
        <f>I37/G37</f>
        <v>26.36668640221038</v>
      </c>
      <c r="L37" s="83">
        <f>J37/G37</f>
        <v>18.269192816262088</v>
      </c>
      <c r="N37" s="38">
        <v>2017</v>
      </c>
      <c r="O37" s="84">
        <v>3616</v>
      </c>
      <c r="P37" s="8">
        <v>33765</v>
      </c>
      <c r="R37" s="89"/>
      <c r="S37" s="84"/>
      <c r="T37" s="8"/>
      <c r="U37" s="8"/>
      <c r="W37" s="89"/>
      <c r="X37" s="8"/>
      <c r="Y37" s="8"/>
      <c r="AA37" s="38">
        <v>2017</v>
      </c>
      <c r="AB37" s="8"/>
      <c r="AE37" s="2"/>
      <c r="AF37" s="9"/>
    </row>
    <row r="38" spans="2:35" ht="14.4" x14ac:dyDescent="0.3">
      <c r="B38" s="89" t="s">
        <v>144</v>
      </c>
      <c r="C38" s="92">
        <v>418214</v>
      </c>
      <c r="D38" s="87">
        <v>36080</v>
      </c>
      <c r="E38" s="87">
        <v>5922</v>
      </c>
      <c r="F38" s="87">
        <v>287584</v>
      </c>
      <c r="G38" s="86">
        <v>60.94</v>
      </c>
      <c r="H38" s="85">
        <f>D38/C38</f>
        <v>8.6271621705633961E-2</v>
      </c>
      <c r="I38" s="84">
        <v>937</v>
      </c>
      <c r="J38" s="84">
        <v>780</v>
      </c>
      <c r="K38" s="83">
        <f>I38/G38</f>
        <v>15.375779455201839</v>
      </c>
      <c r="L38" s="83">
        <f>J38/G38</f>
        <v>12.79947489333771</v>
      </c>
      <c r="N38" s="38">
        <v>2018</v>
      </c>
      <c r="O38" s="84">
        <v>7573</v>
      </c>
      <c r="P38" s="8">
        <v>69138</v>
      </c>
      <c r="R38" s="89">
        <v>2018</v>
      </c>
      <c r="S38" s="84">
        <v>18.7</v>
      </c>
      <c r="T38" s="8"/>
      <c r="U38" s="8">
        <v>5421</v>
      </c>
      <c r="W38" s="89"/>
      <c r="X38" s="8"/>
      <c r="Y38" s="8"/>
      <c r="AA38" s="38">
        <v>2018</v>
      </c>
      <c r="AB38" s="8"/>
      <c r="AE38" s="2"/>
      <c r="AF38" s="1"/>
    </row>
    <row r="39" spans="2:35" ht="14.4" x14ac:dyDescent="0.3">
      <c r="B39" s="89" t="s">
        <v>143</v>
      </c>
      <c r="C39" s="91">
        <v>583094</v>
      </c>
      <c r="D39" s="87">
        <v>39837</v>
      </c>
      <c r="E39" s="87">
        <v>5926</v>
      </c>
      <c r="F39" s="87">
        <v>381186</v>
      </c>
      <c r="G39" s="86">
        <v>66.819999999999993</v>
      </c>
      <c r="H39" s="85">
        <f>D39/C39</f>
        <v>6.8320030732609144E-2</v>
      </c>
      <c r="I39" s="84">
        <v>1386.6</v>
      </c>
      <c r="J39" s="84">
        <v>886.1</v>
      </c>
      <c r="K39" s="83">
        <f>I39/G39</f>
        <v>20.751272074229274</v>
      </c>
      <c r="L39" s="83">
        <f>J39/G39</f>
        <v>13.260999700688417</v>
      </c>
      <c r="N39" s="38">
        <v>2019</v>
      </c>
      <c r="O39" s="84">
        <v>10415</v>
      </c>
      <c r="P39" s="8">
        <v>130566</v>
      </c>
      <c r="R39" s="89">
        <v>2019</v>
      </c>
      <c r="S39" s="84">
        <v>30.7</v>
      </c>
      <c r="T39" s="8"/>
      <c r="U39" s="8">
        <v>13609</v>
      </c>
      <c r="W39" s="89"/>
      <c r="X39" s="19"/>
      <c r="Y39" s="8"/>
      <c r="AA39" s="38">
        <v>2019</v>
      </c>
      <c r="AB39" s="8"/>
      <c r="AE39" s="2"/>
      <c r="AF39" s="1"/>
    </row>
    <row r="40" spans="2:35" ht="14.4" x14ac:dyDescent="0.3">
      <c r="B40" s="89" t="s">
        <v>142</v>
      </c>
      <c r="C40" s="91">
        <v>612437</v>
      </c>
      <c r="D40" s="87">
        <v>39880</v>
      </c>
      <c r="E40" s="87">
        <v>6339</v>
      </c>
      <c r="F40" s="87">
        <v>446992</v>
      </c>
      <c r="G40" s="86">
        <v>63.49</v>
      </c>
      <c r="H40" s="85">
        <f>D40/C40</f>
        <v>6.5116901820105572E-2</v>
      </c>
      <c r="I40" s="84">
        <v>1617.8</v>
      </c>
      <c r="J40" s="84">
        <v>875.7</v>
      </c>
      <c r="K40" s="83">
        <f>I40/G40</f>
        <v>25.481178138289494</v>
      </c>
      <c r="L40" s="83">
        <f>J40/G40</f>
        <v>13.792723263506064</v>
      </c>
      <c r="N40" s="38">
        <v>2020</v>
      </c>
      <c r="O40" s="90">
        <v>11784</v>
      </c>
      <c r="P40" s="8">
        <v>163029</v>
      </c>
      <c r="R40" s="89">
        <v>2020</v>
      </c>
      <c r="S40" s="90">
        <v>38.799999999999997</v>
      </c>
      <c r="T40" s="77">
        <v>130</v>
      </c>
      <c r="U40" s="8">
        <v>69605</v>
      </c>
      <c r="W40" s="89">
        <v>2020</v>
      </c>
      <c r="X40" s="19">
        <v>0.11899999999999999</v>
      </c>
      <c r="Y40" s="8">
        <v>5357</v>
      </c>
      <c r="AA40" s="75">
        <v>2020</v>
      </c>
      <c r="AB40" s="8">
        <v>451355</v>
      </c>
      <c r="AE40" s="2"/>
      <c r="AF40" s="1"/>
    </row>
    <row r="41" spans="2:35" ht="14.4" x14ac:dyDescent="0.3">
      <c r="B41" s="89" t="s">
        <v>141</v>
      </c>
      <c r="C41" s="88">
        <v>486326</v>
      </c>
      <c r="D41" s="87">
        <v>53739</v>
      </c>
      <c r="E41" s="87">
        <v>6445</v>
      </c>
      <c r="F41" s="87">
        <v>693727</v>
      </c>
      <c r="G41" s="86">
        <v>76.37</v>
      </c>
      <c r="H41" s="85">
        <f>D41/C41</f>
        <v>0.11049995270662066</v>
      </c>
      <c r="I41" s="84">
        <v>2369</v>
      </c>
      <c r="J41" s="84">
        <v>1035</v>
      </c>
      <c r="K41" s="83">
        <f>I41/G41</f>
        <v>31.02003404478198</v>
      </c>
      <c r="L41" s="83">
        <f>J41/G41</f>
        <v>13.552442058399894</v>
      </c>
      <c r="N41" s="38">
        <v>2021</v>
      </c>
      <c r="O41" s="84">
        <v>12711</v>
      </c>
      <c r="P41" s="8">
        <v>157702</v>
      </c>
      <c r="R41" s="89">
        <v>2021</v>
      </c>
      <c r="S41" s="84">
        <v>42.6</v>
      </c>
      <c r="T41" s="77">
        <v>138</v>
      </c>
      <c r="U41" s="8">
        <v>90287</v>
      </c>
      <c r="W41" s="89">
        <v>2021</v>
      </c>
      <c r="X41" s="19">
        <v>0.12640000000000001</v>
      </c>
      <c r="Y41" s="8">
        <v>4705</v>
      </c>
      <c r="AA41" s="75">
        <v>2021</v>
      </c>
      <c r="AB41" s="8">
        <v>320008</v>
      </c>
    </row>
    <row r="42" spans="2:35" ht="14.4" x14ac:dyDescent="0.3">
      <c r="B42" s="89" t="s">
        <v>140</v>
      </c>
      <c r="C42" s="88">
        <v>721634</v>
      </c>
      <c r="D42" s="87">
        <v>67845</v>
      </c>
      <c r="E42" s="87">
        <v>6765</v>
      </c>
      <c r="F42" s="87">
        <v>772720</v>
      </c>
      <c r="G42" s="86">
        <v>92</v>
      </c>
      <c r="H42" s="85">
        <f>D42/C42</f>
        <v>9.4015803024802044E-2</v>
      </c>
      <c r="I42" s="84">
        <v>2751</v>
      </c>
      <c r="J42" s="84">
        <v>1877</v>
      </c>
      <c r="K42" s="83">
        <f>I42/G42</f>
        <v>29.902173913043477</v>
      </c>
      <c r="L42" s="83">
        <f>J42/G42</f>
        <v>20.402173913043477</v>
      </c>
      <c r="N42" s="38">
        <v>2022</v>
      </c>
      <c r="O42" s="84">
        <v>15196</v>
      </c>
      <c r="P42" s="8">
        <v>199704</v>
      </c>
      <c r="R42" s="89">
        <v>2022</v>
      </c>
      <c r="S42" s="84">
        <v>41</v>
      </c>
      <c r="T42" s="77">
        <v>168</v>
      </c>
      <c r="U42" s="8">
        <v>95804</v>
      </c>
      <c r="W42" s="89">
        <v>2022</v>
      </c>
      <c r="X42" s="19">
        <v>8.4000000000000005E-2</v>
      </c>
      <c r="Y42" s="8">
        <v>5880</v>
      </c>
      <c r="AA42" s="75">
        <v>2022</v>
      </c>
      <c r="AB42" s="8">
        <v>500900</v>
      </c>
    </row>
    <row r="43" spans="2:35" ht="14.4" x14ac:dyDescent="0.3">
      <c r="B43" s="89" t="s">
        <v>139</v>
      </c>
      <c r="C43" s="88">
        <v>891311</v>
      </c>
      <c r="D43" s="87">
        <v>74088</v>
      </c>
      <c r="E43" s="87">
        <v>6766</v>
      </c>
      <c r="F43" s="87">
        <v>822215</v>
      </c>
      <c r="G43" s="86">
        <v>98.59</v>
      </c>
      <c r="H43" s="85">
        <f>D43/C43</f>
        <v>8.312250157352484E-2</v>
      </c>
      <c r="I43" s="84">
        <v>2856</v>
      </c>
      <c r="J43" s="84">
        <v>2180</v>
      </c>
      <c r="K43" s="83">
        <f>I43/G43</f>
        <v>28.968455218582005</v>
      </c>
      <c r="L43" s="83">
        <f>J43/G43</f>
        <v>22.111776042194947</v>
      </c>
      <c r="N43" s="38">
        <v>2023</v>
      </c>
      <c r="O43" s="2">
        <v>18040</v>
      </c>
      <c r="P43" s="11">
        <v>260364</v>
      </c>
      <c r="Q43" s="9"/>
      <c r="R43" s="89">
        <v>2023</v>
      </c>
      <c r="S43" s="77">
        <v>43.9</v>
      </c>
      <c r="T43" s="77">
        <v>178.8</v>
      </c>
      <c r="U43" s="28">
        <v>115099</v>
      </c>
      <c r="W43" s="89">
        <v>2023</v>
      </c>
      <c r="X43" s="19">
        <v>0.107</v>
      </c>
      <c r="Y43" s="8">
        <v>6223</v>
      </c>
      <c r="AA43" s="75">
        <v>2023</v>
      </c>
      <c r="AB43" s="8">
        <v>594649</v>
      </c>
    </row>
    <row r="44" spans="2:35" ht="14.4" x14ac:dyDescent="0.3">
      <c r="B44" s="89" t="s">
        <v>138</v>
      </c>
      <c r="C44" s="88">
        <v>914472</v>
      </c>
      <c r="D44" s="87">
        <v>79020</v>
      </c>
      <c r="E44" s="87">
        <v>6766</v>
      </c>
      <c r="F44" s="87">
        <v>919022</v>
      </c>
      <c r="G44" s="86">
        <v>102.9</v>
      </c>
      <c r="H44" s="85">
        <f>D44/C44</f>
        <v>8.6410518856782928E-2</v>
      </c>
      <c r="I44" s="84">
        <v>3024</v>
      </c>
      <c r="J44" s="84">
        <v>2095</v>
      </c>
      <c r="K44" s="83">
        <f>I44/G44</f>
        <v>29.387755102040813</v>
      </c>
      <c r="L44" s="83">
        <f>J44/G44</f>
        <v>20.359572400388725</v>
      </c>
      <c r="N44" s="38">
        <v>2024</v>
      </c>
      <c r="O44" s="2">
        <v>18836</v>
      </c>
      <c r="P44" s="2">
        <v>306786</v>
      </c>
      <c r="R44" s="89">
        <v>2024</v>
      </c>
      <c r="S44" s="76">
        <v>48.2</v>
      </c>
      <c r="T44" s="77">
        <v>181.7</v>
      </c>
      <c r="U44" s="28">
        <v>128521</v>
      </c>
      <c r="W44" s="89">
        <v>2024</v>
      </c>
      <c r="X44" s="19">
        <v>0.113</v>
      </c>
      <c r="Y44" s="8">
        <v>10826</v>
      </c>
      <c r="AA44" s="75">
        <v>2024</v>
      </c>
      <c r="AB44" s="8">
        <v>564749</v>
      </c>
    </row>
    <row r="45" spans="2:35" ht="14.4" x14ac:dyDescent="0.3">
      <c r="B45" s="89" t="s">
        <v>137</v>
      </c>
      <c r="C45" s="88">
        <f>C44+J60-K60</f>
        <v>940383</v>
      </c>
      <c r="D45" s="87">
        <f>D44+J66-K66</f>
        <v>77567</v>
      </c>
      <c r="E45" s="87">
        <v>6766</v>
      </c>
      <c r="F45" s="87">
        <v>919022</v>
      </c>
      <c r="G45" s="86">
        <f>G55</f>
        <v>100.38000000000001</v>
      </c>
      <c r="H45" s="85">
        <f>D45/C45</f>
        <v>8.2484477069449363E-2</v>
      </c>
      <c r="I45" s="84">
        <v>3218</v>
      </c>
      <c r="J45" s="84">
        <v>2719</v>
      </c>
      <c r="K45" s="83">
        <f>I45/G45</f>
        <v>32.0581789201036</v>
      </c>
      <c r="L45" s="83">
        <f>J45/G45</f>
        <v>27.087069137278341</v>
      </c>
      <c r="N45" s="38" t="s">
        <v>136</v>
      </c>
      <c r="O45" s="2">
        <v>18946</v>
      </c>
      <c r="P45" s="11">
        <f>P44+P74-Q74</f>
        <v>311616</v>
      </c>
      <c r="R45" s="38" t="s">
        <v>136</v>
      </c>
      <c r="S45" s="76">
        <v>47.88</v>
      </c>
      <c r="T45" s="77">
        <v>195</v>
      </c>
      <c r="U45" s="28">
        <f>U44+P75-Q75</f>
        <v>137312</v>
      </c>
      <c r="W45" s="38" t="s">
        <v>136</v>
      </c>
      <c r="X45" s="9">
        <v>0.11899999999999999</v>
      </c>
      <c r="Y45" s="2">
        <f>Y44+5768-5954</f>
        <v>10640</v>
      </c>
      <c r="AA45" s="38" t="s">
        <v>136</v>
      </c>
      <c r="AB45" s="2">
        <f>AB44+P73-Q73</f>
        <v>596443</v>
      </c>
    </row>
    <row r="47" spans="2:35" ht="14.4" x14ac:dyDescent="0.3">
      <c r="B47" s="73" t="s">
        <v>135</v>
      </c>
      <c r="C47" s="73" t="s">
        <v>77</v>
      </c>
      <c r="D47" s="73" t="s">
        <v>76</v>
      </c>
      <c r="E47" s="73" t="s">
        <v>134</v>
      </c>
      <c r="F47" s="73" t="s">
        <v>133</v>
      </c>
      <c r="G47" s="73" t="s">
        <v>70</v>
      </c>
      <c r="H47" s="73" t="s">
        <v>132</v>
      </c>
      <c r="I47" s="73" t="s">
        <v>131</v>
      </c>
      <c r="J47" s="73" t="s">
        <v>130</v>
      </c>
      <c r="K47" s="73" t="s">
        <v>129</v>
      </c>
      <c r="L47" s="73" t="s">
        <v>128</v>
      </c>
      <c r="N47" s="73" t="s">
        <v>125</v>
      </c>
      <c r="O47" s="73" t="s">
        <v>105</v>
      </c>
      <c r="P47" s="73" t="s">
        <v>124</v>
      </c>
      <c r="Q47" s="2"/>
      <c r="R47" s="73" t="s">
        <v>125</v>
      </c>
      <c r="S47" s="82" t="s">
        <v>127</v>
      </c>
      <c r="T47" s="73" t="s">
        <v>97</v>
      </c>
      <c r="U47" s="73" t="s">
        <v>124</v>
      </c>
      <c r="V47" s="2"/>
      <c r="W47" s="73" t="s">
        <v>125</v>
      </c>
      <c r="X47" s="73" t="s">
        <v>126</v>
      </c>
      <c r="Y47" s="73" t="s">
        <v>124</v>
      </c>
      <c r="AA47" s="73" t="s">
        <v>125</v>
      </c>
      <c r="AB47" s="73" t="s">
        <v>124</v>
      </c>
    </row>
    <row r="48" spans="2:35" ht="14.4" x14ac:dyDescent="0.3">
      <c r="B48" s="8" t="s">
        <v>123</v>
      </c>
      <c r="C48" s="79">
        <f>(C43/C13)^(1/30)-1</f>
        <v>0.19545025581909203</v>
      </c>
      <c r="D48" s="79">
        <f>(D43/D13)^(1/30)-1</f>
        <v>0.19454015297118743</v>
      </c>
      <c r="E48" s="79">
        <f>(E43/E13)^(1/30)-1</f>
        <v>0.11606570367697078</v>
      </c>
      <c r="F48" s="79">
        <f>(F43/F13)^(1/30)-1</f>
        <v>0.21541559329078419</v>
      </c>
      <c r="G48" s="79">
        <f>MEDIAN(H13:H43)</f>
        <v>9.6318981178485322E-2</v>
      </c>
      <c r="H48" s="79">
        <f>((4*I43)/I13)^(1/30)-1</f>
        <v>0.11182769062912024</v>
      </c>
      <c r="I48" s="79">
        <f>((4*J43)/J13)^(1/30)-1</f>
        <v>0.1422659351607698</v>
      </c>
      <c r="J48" s="78">
        <f>MEDIAN(K13:K43)</f>
        <v>17.394968099193452</v>
      </c>
      <c r="K48" s="78">
        <f>MEDIAN(L13:L43)</f>
        <v>9.9934683213585895</v>
      </c>
      <c r="L48" s="76">
        <f>AVERAGE(J48:K48)</f>
        <v>13.69421821027602</v>
      </c>
      <c r="N48" s="8" t="s">
        <v>122</v>
      </c>
      <c r="O48" s="8"/>
      <c r="P48" s="8"/>
      <c r="Q48" s="2"/>
      <c r="R48" s="8" t="s">
        <v>122</v>
      </c>
      <c r="S48" s="8"/>
      <c r="T48" s="8"/>
      <c r="U48" s="19"/>
      <c r="V48" s="81"/>
      <c r="W48" s="77"/>
      <c r="X48" s="8"/>
      <c r="Y48" s="8"/>
      <c r="AA48" s="8" t="s">
        <v>122</v>
      </c>
      <c r="AB48" s="8"/>
    </row>
    <row r="49" spans="1:28" ht="14.4" x14ac:dyDescent="0.3">
      <c r="B49" s="8" t="s">
        <v>121</v>
      </c>
      <c r="C49" s="79">
        <f>(C44/C24)^(1/20)-1</f>
        <v>0.15350330192639872</v>
      </c>
      <c r="D49" s="79">
        <f>(D44/D24)^(1/20)-1</f>
        <v>0.1460843090225683</v>
      </c>
      <c r="E49" s="79">
        <f>(E44/E24)^(1/20)-1</f>
        <v>8.2114225995250534E-2</v>
      </c>
      <c r="F49" s="79">
        <f>(F44/F24)^(1/20)-1</f>
        <v>0.17987330866845475</v>
      </c>
      <c r="G49" s="79">
        <f>MEDIAN(H24:H44)</f>
        <v>8.7841518389508363E-2</v>
      </c>
      <c r="H49" s="79">
        <f>((4*I44)/I24)^(1/20)-1</f>
        <v>0.16104642084209142</v>
      </c>
      <c r="I49" s="79">
        <f>((4*J44)/J24)^(1/20)-1</f>
        <v>0.19009386293369346</v>
      </c>
      <c r="J49" s="78">
        <f>MEDIAN(K24:K44)</f>
        <v>17.394968099193452</v>
      </c>
      <c r="K49" s="78">
        <f>MEDIAN(L24:L44)</f>
        <v>11.678211204277554</v>
      </c>
      <c r="L49" s="76">
        <f>AVERAGE(J49:K49)</f>
        <v>14.536589651735504</v>
      </c>
      <c r="N49" s="8" t="s">
        <v>120</v>
      </c>
      <c r="O49" s="8"/>
      <c r="P49" s="8"/>
      <c r="Q49" s="2"/>
      <c r="R49" s="8" t="s">
        <v>120</v>
      </c>
      <c r="S49" s="8"/>
      <c r="T49" s="8"/>
      <c r="U49" s="19"/>
      <c r="V49" s="81"/>
      <c r="W49" s="77"/>
      <c r="X49" s="8"/>
      <c r="Y49" s="8"/>
      <c r="AA49" s="8" t="s">
        <v>120</v>
      </c>
      <c r="AB49" s="8"/>
    </row>
    <row r="50" spans="1:28" ht="14.4" x14ac:dyDescent="0.3">
      <c r="A50" s="80"/>
      <c r="B50" s="8" t="s">
        <v>119</v>
      </c>
      <c r="C50" s="79">
        <f>(C44/C34)^(1/10)-1</f>
        <v>7.5057016579910485E-2</v>
      </c>
      <c r="D50" s="79">
        <f>(D44/D34)^(1/10)-1</f>
        <v>0.13388488014896138</v>
      </c>
      <c r="E50" s="79">
        <f>(E44/E34)^(1/10)-1</f>
        <v>8.6922217891037379E-2</v>
      </c>
      <c r="F50" s="79">
        <f>(F44/F34)^(1/10)-1</f>
        <v>0.16725797863972747</v>
      </c>
      <c r="G50" s="79">
        <f>MEDIAN(H34:H44)</f>
        <v>8.6271621705633961E-2</v>
      </c>
      <c r="H50" s="79">
        <f>((4*I44)/I34)^(1/10)-1</f>
        <v>0.29117094782112884</v>
      </c>
      <c r="I50" s="79">
        <f>((4*J44)/J34)^(1/10)-1</f>
        <v>0.27045199149050192</v>
      </c>
      <c r="J50" s="78">
        <f>MEDIAN(K34:K44)</f>
        <v>25.481178138289494</v>
      </c>
      <c r="K50" s="78">
        <f>MEDIAN(L34:L44)</f>
        <v>13.552442058399894</v>
      </c>
      <c r="L50" s="76">
        <f>AVERAGE(J50:K50)</f>
        <v>19.516810098344692</v>
      </c>
      <c r="N50" s="75" t="s">
        <v>118</v>
      </c>
      <c r="O50" s="19">
        <f>(O44/O34)^(1/10)-1</f>
        <v>0.27257828254084204</v>
      </c>
      <c r="P50" s="19">
        <f>(P44/P34)^(1/10)-1</f>
        <v>0.35637366489170286</v>
      </c>
      <c r="Q50" s="9"/>
      <c r="R50" s="75" t="s">
        <v>118</v>
      </c>
      <c r="S50" s="19"/>
      <c r="T50" s="19"/>
      <c r="U50" s="19"/>
      <c r="V50" s="9"/>
      <c r="W50" s="77"/>
      <c r="X50" s="8"/>
      <c r="Y50" s="8"/>
      <c r="AA50" s="75" t="s">
        <v>118</v>
      </c>
      <c r="AB50" s="24">
        <v>0.104</v>
      </c>
    </row>
    <row r="51" spans="1:28" ht="14.4" x14ac:dyDescent="0.3">
      <c r="B51" s="8" t="s">
        <v>117</v>
      </c>
      <c r="C51" s="79">
        <f>(C44/C39)^(1/5)-1</f>
        <v>9.4173942584019565E-2</v>
      </c>
      <c r="D51" s="79">
        <f>(D44/D39)^(1/5)-1</f>
        <v>0.14680632603495591</v>
      </c>
      <c r="E51" s="79">
        <f>(E44/E39)^(1/5)-1</f>
        <v>2.6866697165960796E-2</v>
      </c>
      <c r="F51" s="79">
        <f>(F44/F39)^(1/5)-1</f>
        <v>0.19244345233583759</v>
      </c>
      <c r="G51" s="79">
        <f>MEDIAN(H39:H44)</f>
        <v>8.4766510215153884E-2</v>
      </c>
      <c r="H51" s="79">
        <f>((4*I44)/I39)^(1/20)-1</f>
        <v>0.11438313046539506</v>
      </c>
      <c r="I51" s="79">
        <f>((4*J44)/J39)^(1/20)-1</f>
        <v>0.11889173056469771</v>
      </c>
      <c r="J51" s="78">
        <f>MEDIAN(K39:K44)</f>
        <v>29.178105160311411</v>
      </c>
      <c r="K51" s="78">
        <f>MEDIAN(L39:L44)</f>
        <v>17.076147831947395</v>
      </c>
      <c r="L51" s="76">
        <f>AVERAGE(J51:K51)</f>
        <v>23.127126496129403</v>
      </c>
      <c r="N51" s="75" t="s">
        <v>116</v>
      </c>
      <c r="O51" s="19">
        <f>(O44/O39)^(1/5)-1</f>
        <v>0.12581202077778553</v>
      </c>
      <c r="P51" s="19">
        <f>(P44/P39)^(1/5)-1</f>
        <v>0.18631791128441022</v>
      </c>
      <c r="R51" s="75" t="s">
        <v>116</v>
      </c>
      <c r="S51" s="19">
        <f>(S44/S39)^(1/5)-1</f>
        <v>9.4414233209462406E-2</v>
      </c>
      <c r="T51" s="19" t="e">
        <f>(T44/T39)^(1/5)-1</f>
        <v>#DIV/0!</v>
      </c>
      <c r="U51" s="19">
        <f>(U44/U39)^(1/5)-1</f>
        <v>0.56685777289235673</v>
      </c>
      <c r="W51" s="77"/>
      <c r="X51" s="8"/>
      <c r="Y51" s="8"/>
      <c r="AA51" s="75" t="s">
        <v>116</v>
      </c>
      <c r="AB51" s="24">
        <v>7.0000000000000007E-2</v>
      </c>
    </row>
    <row r="52" spans="1:28" ht="14.4" x14ac:dyDescent="0.3">
      <c r="B52" s="75" t="s">
        <v>115</v>
      </c>
      <c r="C52" s="6">
        <f>(C44/C43)-1</f>
        <v>2.5985318255917322E-2</v>
      </c>
      <c r="D52" s="24">
        <f>(D44/D43)-1</f>
        <v>6.6569484936831902E-2</v>
      </c>
      <c r="E52" s="24">
        <f>(E44/E43)-1</f>
        <v>0</v>
      </c>
      <c r="F52" s="24">
        <f>(F44/F43)-1</f>
        <v>0.11773927743959911</v>
      </c>
      <c r="G52" s="19">
        <f>H44</f>
        <v>8.6410518856782928E-2</v>
      </c>
      <c r="H52" s="24">
        <f>(I44/I43)-1</f>
        <v>5.8823529411764719E-2</v>
      </c>
      <c r="I52" s="24">
        <f>(J44/J43)-1</f>
        <v>-3.8990825688073438E-2</v>
      </c>
      <c r="J52" s="76">
        <f>K44</f>
        <v>29.387755102040813</v>
      </c>
      <c r="K52" s="76">
        <f>L44</f>
        <v>20.359572400388725</v>
      </c>
      <c r="L52" s="76">
        <f>AVERAGE(J52:K52)</f>
        <v>24.873663751214771</v>
      </c>
      <c r="N52" s="75" t="s">
        <v>115</v>
      </c>
      <c r="O52" s="19">
        <f>(O44/O43)-1</f>
        <v>4.4124168514412476E-2</v>
      </c>
      <c r="P52" s="19">
        <f>(P44/P43)-1</f>
        <v>0.17829653869198503</v>
      </c>
      <c r="R52" s="75" t="s">
        <v>115</v>
      </c>
      <c r="S52" s="19">
        <f>(S44/S43)-1</f>
        <v>9.7949886104783612E-2</v>
      </c>
      <c r="T52" s="19">
        <f>(T44/T43)-1</f>
        <v>1.6219239373601591E-2</v>
      </c>
      <c r="U52" s="19">
        <f>(U44/U43)-1</f>
        <v>0.11661265519248643</v>
      </c>
      <c r="V52" s="1"/>
      <c r="W52" s="75" t="s">
        <v>115</v>
      </c>
      <c r="X52" s="19">
        <f>X45</f>
        <v>0.11899999999999999</v>
      </c>
      <c r="Y52" s="19">
        <f>(Y44/Y43)-1</f>
        <v>0.73967539771814228</v>
      </c>
      <c r="Z52" s="19"/>
      <c r="AA52" s="75" t="s">
        <v>115</v>
      </c>
      <c r="AB52" s="19">
        <f>(AB44/AB43)-1</f>
        <v>-5.0281762855062362E-2</v>
      </c>
    </row>
    <row r="53" spans="1:28" thickBot="1" x14ac:dyDescent="0.35">
      <c r="L53" s="74">
        <v>19</v>
      </c>
      <c r="P53" s="10"/>
      <c r="U53" s="10"/>
      <c r="V53" s="1"/>
      <c r="W53" s="1"/>
    </row>
    <row r="54" spans="1:28" ht="19.2" thickTop="1" thickBot="1" x14ac:dyDescent="0.4">
      <c r="B54" s="73" t="s">
        <v>114</v>
      </c>
      <c r="C54" s="73" t="s">
        <v>113</v>
      </c>
      <c r="D54" s="73" t="s">
        <v>112</v>
      </c>
      <c r="E54" s="73" t="s">
        <v>111</v>
      </c>
      <c r="F54" s="12" t="s">
        <v>90</v>
      </c>
      <c r="G54" s="73" t="s">
        <v>110</v>
      </c>
      <c r="I54" s="58" t="s">
        <v>109</v>
      </c>
      <c r="J54" s="57" t="s">
        <v>108</v>
      </c>
      <c r="K54" s="57" t="s">
        <v>107</v>
      </c>
      <c r="L54" s="57" t="s">
        <v>106</v>
      </c>
      <c r="N54" s="70" t="s">
        <v>105</v>
      </c>
      <c r="O54" s="70" t="s">
        <v>103</v>
      </c>
      <c r="P54" s="70" t="s">
        <v>102</v>
      </c>
      <c r="Q54" s="72" t="s">
        <v>33</v>
      </c>
      <c r="R54" s="71" t="s">
        <v>104</v>
      </c>
      <c r="S54" s="70" t="s">
        <v>103</v>
      </c>
      <c r="T54" s="70" t="s">
        <v>102</v>
      </c>
      <c r="U54" s="69" t="s">
        <v>33</v>
      </c>
      <c r="V54" s="1"/>
      <c r="W54" s="2"/>
      <c r="X54" s="2"/>
    </row>
    <row r="55" spans="1:28" thickTop="1" x14ac:dyDescent="0.3">
      <c r="B55" s="46" t="s">
        <v>72</v>
      </c>
      <c r="C55" s="68">
        <v>25.52</v>
      </c>
      <c r="D55" s="68">
        <v>28.01</v>
      </c>
      <c r="E55" s="68">
        <v>22.37</v>
      </c>
      <c r="F55" s="68">
        <v>24.48</v>
      </c>
      <c r="G55" s="67">
        <f>SUM(C55:F55)</f>
        <v>100.38000000000001</v>
      </c>
      <c r="H55" s="2"/>
      <c r="I55" s="66">
        <v>102.9</v>
      </c>
      <c r="J55" s="65">
        <f>G55</f>
        <v>100.38000000000001</v>
      </c>
      <c r="K55" s="50">
        <f>E68</f>
        <v>98.784000000000006</v>
      </c>
      <c r="L55" s="64">
        <f ca="1">K57/-4</f>
        <v>-6.876113540654357</v>
      </c>
      <c r="N55" s="63" t="s">
        <v>39</v>
      </c>
      <c r="O55" s="62">
        <v>18946</v>
      </c>
      <c r="P55" s="62">
        <v>18650</v>
      </c>
      <c r="Q55" s="61">
        <f>O55-P55</f>
        <v>296</v>
      </c>
      <c r="R55" s="60" t="s">
        <v>39</v>
      </c>
      <c r="S55" s="8">
        <v>47.88</v>
      </c>
      <c r="T55" s="8">
        <v>45.97</v>
      </c>
      <c r="U55" s="59">
        <f>S55-T55</f>
        <v>1.9100000000000037</v>
      </c>
      <c r="W55" s="2"/>
      <c r="X55" s="9"/>
    </row>
    <row r="56" spans="1:28" ht="18.600000000000001" thickBot="1" x14ac:dyDescent="0.4">
      <c r="H56" s="9"/>
      <c r="I56" s="58" t="s">
        <v>101</v>
      </c>
      <c r="J56" s="57" t="s">
        <v>100</v>
      </c>
      <c r="K56" s="57" t="s">
        <v>99</v>
      </c>
      <c r="L56" s="49"/>
      <c r="N56" s="55" t="s">
        <v>98</v>
      </c>
      <c r="O56" s="54">
        <v>79.400000000000006</v>
      </c>
      <c r="P56" s="54">
        <v>71.5</v>
      </c>
      <c r="Q56" s="56">
        <f>O56-P56</f>
        <v>7.9000000000000057</v>
      </c>
      <c r="R56" s="55" t="s">
        <v>97</v>
      </c>
      <c r="S56" s="54">
        <v>195.1</v>
      </c>
      <c r="T56" s="54">
        <v>181.7</v>
      </c>
      <c r="U56" s="53">
        <f>S56-T56</f>
        <v>13.400000000000006</v>
      </c>
      <c r="W56" s="2"/>
      <c r="X56" s="9"/>
    </row>
    <row r="57" spans="1:28" thickTop="1" x14ac:dyDescent="0.3">
      <c r="B57" s="12" t="s">
        <v>96</v>
      </c>
      <c r="C57" s="12" t="s">
        <v>95</v>
      </c>
      <c r="D57" s="12" t="s">
        <v>94</v>
      </c>
      <c r="E57" s="12" t="s">
        <v>90</v>
      </c>
      <c r="F57" s="12" t="s">
        <v>64</v>
      </c>
      <c r="G57" s="12" t="s">
        <v>93</v>
      </c>
      <c r="H57" s="9"/>
      <c r="I57" s="52">
        <f>C4/I55</f>
        <v>28.872691933916421</v>
      </c>
      <c r="J57" s="51">
        <f ca="1">C3/J55</f>
        <v>27.067144849571626</v>
      </c>
      <c r="K57" s="50">
        <f ca="1">C3/K55</f>
        <v>27.504454162617428</v>
      </c>
      <c r="L57" s="49"/>
      <c r="W57" s="2"/>
      <c r="X57" s="9"/>
    </row>
    <row r="58" spans="1:28" ht="15" customHeight="1" x14ac:dyDescent="0.3">
      <c r="B58" s="46" t="s">
        <v>89</v>
      </c>
      <c r="C58" s="48">
        <v>-2E-3</v>
      </c>
      <c r="D58" s="48">
        <v>2.5999999999999999E-2</v>
      </c>
      <c r="E58" s="48">
        <v>0.12</v>
      </c>
      <c r="F58" s="48">
        <v>5.8000000000000003E-2</v>
      </c>
      <c r="G58" s="47">
        <v>0.04</v>
      </c>
      <c r="H58" s="9"/>
    </row>
    <row r="59" spans="1:28" ht="14.4" x14ac:dyDescent="0.3">
      <c r="B59" s="46" t="s">
        <v>79</v>
      </c>
      <c r="C59" s="48">
        <v>9.5000000000000001E-2</v>
      </c>
      <c r="D59" s="48">
        <v>6.7000000000000004E-2</v>
      </c>
      <c r="E59" s="48">
        <v>-3.5999999999999997E-2</v>
      </c>
      <c r="F59" s="48">
        <v>-3.7999999999999999E-2</v>
      </c>
      <c r="G59" s="47">
        <v>-0.04</v>
      </c>
      <c r="I59" s="12" t="s">
        <v>91</v>
      </c>
      <c r="J59" s="13" t="s">
        <v>64</v>
      </c>
      <c r="K59" s="13" t="s">
        <v>63</v>
      </c>
      <c r="L59" s="12" t="s">
        <v>57</v>
      </c>
      <c r="N59" s="15"/>
      <c r="O59" s="12" t="s">
        <v>91</v>
      </c>
      <c r="P59" s="13" t="s">
        <v>35</v>
      </c>
      <c r="Q59" s="13" t="s">
        <v>92</v>
      </c>
      <c r="R59" s="12" t="s">
        <v>57</v>
      </c>
      <c r="T59" s="12" t="s">
        <v>91</v>
      </c>
      <c r="U59" s="13" t="s">
        <v>90</v>
      </c>
      <c r="V59" s="13" t="s">
        <v>34</v>
      </c>
      <c r="W59" s="12" t="s">
        <v>57</v>
      </c>
    </row>
    <row r="60" spans="1:28" ht="14.4" x14ac:dyDescent="0.3">
      <c r="B60" s="46" t="s">
        <v>85</v>
      </c>
      <c r="C60" s="19">
        <v>8.5999999999999993E-2</v>
      </c>
      <c r="D60" s="19">
        <v>8.5999999999999993E-2</v>
      </c>
      <c r="E60" s="19">
        <v>7.3999999999999996E-2</v>
      </c>
      <c r="F60" s="19">
        <v>7.6999999999999999E-2</v>
      </c>
      <c r="G60" s="19">
        <v>0.08</v>
      </c>
      <c r="I60" s="12" t="s">
        <v>89</v>
      </c>
      <c r="J60" s="39">
        <v>471698</v>
      </c>
      <c r="K60" s="39">
        <v>445787</v>
      </c>
      <c r="L60" s="16">
        <f>(J60/K60)-1</f>
        <v>5.8124171409215553E-2</v>
      </c>
      <c r="N60" s="15"/>
      <c r="O60" s="12" t="s">
        <v>89</v>
      </c>
      <c r="P60" s="39">
        <v>235481</v>
      </c>
      <c r="Q60" s="39">
        <v>234956</v>
      </c>
      <c r="R60" s="16">
        <f>(P60/Q60)-1</f>
        <v>2.2344609203426291E-3</v>
      </c>
      <c r="T60" s="12" t="s">
        <v>89</v>
      </c>
      <c r="U60" s="39">
        <v>236217</v>
      </c>
      <c r="V60" s="39">
        <v>210831</v>
      </c>
      <c r="W60" s="16">
        <f>(U60/V60)-1</f>
        <v>0.12040923773069423</v>
      </c>
    </row>
    <row r="61" spans="1:28" ht="14.4" x14ac:dyDescent="0.3">
      <c r="B61" s="2"/>
      <c r="C61" s="9"/>
      <c r="D61" s="9"/>
      <c r="E61" s="9"/>
      <c r="F61" s="9"/>
      <c r="G61" s="9"/>
      <c r="I61" s="12" t="s">
        <v>88</v>
      </c>
      <c r="J61" s="39">
        <v>432286</v>
      </c>
      <c r="K61" s="39">
        <v>402654</v>
      </c>
      <c r="L61" s="16">
        <f>(J61/K61)-1</f>
        <v>7.359171894480121E-2</v>
      </c>
      <c r="N61" s="15"/>
      <c r="O61" s="12" t="s">
        <v>88</v>
      </c>
      <c r="P61" s="39">
        <v>215320</v>
      </c>
      <c r="Q61" s="39">
        <v>212304</v>
      </c>
      <c r="R61" s="16">
        <f>(P61/Q61)-1</f>
        <v>1.4206044163086906E-2</v>
      </c>
      <c r="T61" s="12" t="s">
        <v>88</v>
      </c>
      <c r="U61" s="39">
        <v>216966</v>
      </c>
      <c r="V61" s="39">
        <v>190350</v>
      </c>
      <c r="W61" s="16">
        <f>(U61/V61)-1</f>
        <v>0.13982663514578397</v>
      </c>
    </row>
    <row r="62" spans="1:28" ht="14.4" x14ac:dyDescent="0.3">
      <c r="H62" s="9"/>
      <c r="I62" s="12" t="s">
        <v>87</v>
      </c>
      <c r="J62" s="39">
        <v>86682</v>
      </c>
      <c r="K62" s="39">
        <v>86715</v>
      </c>
      <c r="L62" s="16">
        <f>(J62/K62)-1</f>
        <v>-3.8055699705930035E-4</v>
      </c>
      <c r="N62" s="15"/>
      <c r="O62" s="12" t="s">
        <v>87</v>
      </c>
      <c r="P62" s="39">
        <v>43934</v>
      </c>
      <c r="Q62" s="39">
        <v>44809</v>
      </c>
      <c r="R62" s="16">
        <f>(P62/Q62)-1</f>
        <v>-1.9527327099466585E-2</v>
      </c>
      <c r="T62" s="12" t="s">
        <v>87</v>
      </c>
      <c r="U62" s="39"/>
      <c r="V62" s="39"/>
      <c r="W62" s="16"/>
    </row>
    <row r="63" spans="1:28" ht="14.4" x14ac:dyDescent="0.3">
      <c r="B63" s="41" t="s">
        <v>86</v>
      </c>
      <c r="C63" s="41" t="s">
        <v>77</v>
      </c>
      <c r="D63" s="41" t="s">
        <v>76</v>
      </c>
      <c r="E63" s="41" t="s">
        <v>72</v>
      </c>
      <c r="F63" s="41" t="s">
        <v>85</v>
      </c>
      <c r="H63" s="45"/>
      <c r="I63" s="12" t="s">
        <v>84</v>
      </c>
      <c r="J63" s="43">
        <v>0.16800000000000001</v>
      </c>
      <c r="K63" s="43">
        <v>0.17799999999999999</v>
      </c>
      <c r="L63" s="16">
        <f>J63-K63</f>
        <v>-9.9999999999999811E-3</v>
      </c>
      <c r="N63" s="15"/>
      <c r="O63" s="12" t="s">
        <v>84</v>
      </c>
      <c r="P63" s="44">
        <v>0.17</v>
      </c>
      <c r="Q63" s="43">
        <v>0.17499999999999999</v>
      </c>
      <c r="R63" s="16">
        <f>P63-Q63</f>
        <v>-4.9999999999999767E-3</v>
      </c>
      <c r="T63" s="12" t="s">
        <v>84</v>
      </c>
      <c r="U63" s="43">
        <v>0.16600000000000001</v>
      </c>
      <c r="V63" s="39"/>
      <c r="W63" s="16"/>
    </row>
    <row r="64" spans="1:28" ht="14.4" x14ac:dyDescent="0.3">
      <c r="B64" s="38" t="s">
        <v>83</v>
      </c>
      <c r="C64" s="42">
        <v>0.04</v>
      </c>
      <c r="D64" s="42">
        <f>(D68/D44)-1</f>
        <v>-3.7154259681093427E-2</v>
      </c>
      <c r="E64" s="42">
        <v>-0.04</v>
      </c>
      <c r="F64" s="19">
        <v>0.08</v>
      </c>
      <c r="H64" s="9"/>
      <c r="I64" s="12" t="s">
        <v>82</v>
      </c>
      <c r="J64" s="39">
        <v>11935</v>
      </c>
      <c r="K64" s="39">
        <v>11568</v>
      </c>
      <c r="L64" s="16">
        <f>(J64/K64)-1</f>
        <v>3.1725449515906057E-2</v>
      </c>
      <c r="N64" s="15"/>
      <c r="O64" s="12" t="s">
        <v>82</v>
      </c>
      <c r="P64" s="39">
        <v>6017</v>
      </c>
      <c r="Q64" s="39">
        <v>5731</v>
      </c>
      <c r="R64" s="16">
        <f>(P64/Q64)-1</f>
        <v>4.9904030710172798E-2</v>
      </c>
      <c r="T64" s="12" t="s">
        <v>82</v>
      </c>
      <c r="U64" s="39">
        <v>5918</v>
      </c>
      <c r="V64" s="39">
        <v>5837</v>
      </c>
      <c r="W64" s="16">
        <f>(U64/V64)-1</f>
        <v>1.3876991605276778E-2</v>
      </c>
    </row>
    <row r="65" spans="2:31" ht="14.4" x14ac:dyDescent="0.3">
      <c r="B65" s="38" t="s">
        <v>81</v>
      </c>
      <c r="C65" s="42">
        <v>0.12</v>
      </c>
      <c r="D65" s="42">
        <v>0.12</v>
      </c>
      <c r="E65" s="42">
        <v>0.12</v>
      </c>
      <c r="F65" s="19">
        <f>AVERAGE(G48:G52)</f>
        <v>8.8321830069112886E-2</v>
      </c>
      <c r="I65" s="12" t="s">
        <v>80</v>
      </c>
      <c r="J65" s="39">
        <v>48271</v>
      </c>
      <c r="K65" s="39">
        <v>50787</v>
      </c>
      <c r="L65" s="16">
        <f>(J65/K65)-1</f>
        <v>-4.9540236674739613E-2</v>
      </c>
      <c r="N65" s="15"/>
      <c r="O65" s="12" t="s">
        <v>80</v>
      </c>
      <c r="P65" s="39">
        <v>25037</v>
      </c>
      <c r="Q65" s="39">
        <v>26493</v>
      </c>
      <c r="R65" s="16">
        <f>(P65/Q65)-1</f>
        <v>-5.4957913411089687E-2</v>
      </c>
      <c r="T65" s="12" t="s">
        <v>80</v>
      </c>
      <c r="U65" s="39">
        <v>23234</v>
      </c>
      <c r="V65" s="39"/>
      <c r="W65" s="16"/>
    </row>
    <row r="66" spans="2:31" ht="14.4" x14ac:dyDescent="0.3">
      <c r="I66" s="12" t="s">
        <v>79</v>
      </c>
      <c r="J66" s="39">
        <v>36549</v>
      </c>
      <c r="K66" s="39">
        <v>38002</v>
      </c>
      <c r="L66" s="16">
        <f>(J66/K66)-1</f>
        <v>-3.8234829745802834E-2</v>
      </c>
      <c r="N66" s="15"/>
      <c r="O66" s="12" t="s">
        <v>79</v>
      </c>
      <c r="P66" s="39">
        <v>19101</v>
      </c>
      <c r="Q66" s="39">
        <v>19820</v>
      </c>
      <c r="R66" s="16">
        <f>(P66/Q66)-1</f>
        <v>-3.627648839556008E-2</v>
      </c>
      <c r="T66" s="12" t="s">
        <v>79</v>
      </c>
      <c r="U66" s="39">
        <v>17448</v>
      </c>
      <c r="V66" s="39">
        <v>18182</v>
      </c>
      <c r="W66" s="16">
        <f>(U66/V66)-1</f>
        <v>-4.0369596304036914E-2</v>
      </c>
    </row>
    <row r="67" spans="2:31" ht="14.4" x14ac:dyDescent="0.3">
      <c r="B67" s="41" t="s">
        <v>78</v>
      </c>
      <c r="C67" s="41" t="s">
        <v>77</v>
      </c>
      <c r="D67" s="41" t="s">
        <v>76</v>
      </c>
      <c r="E67" s="41" t="s">
        <v>72</v>
      </c>
      <c r="F67" s="41" t="s">
        <v>75</v>
      </c>
      <c r="I67" s="12" t="s">
        <v>74</v>
      </c>
      <c r="J67" s="39">
        <v>6766</v>
      </c>
      <c r="K67" s="39">
        <v>6766</v>
      </c>
      <c r="L67" s="16">
        <f>(J67/K67)-1</f>
        <v>0</v>
      </c>
      <c r="N67" s="15"/>
      <c r="O67" s="12" t="s">
        <v>74</v>
      </c>
      <c r="P67" s="39">
        <v>6766</v>
      </c>
      <c r="Q67" s="39">
        <v>6766</v>
      </c>
      <c r="R67" s="16">
        <f>(P67/Q67)-1</f>
        <v>0</v>
      </c>
      <c r="T67" s="12" t="s">
        <v>74</v>
      </c>
      <c r="U67" s="39">
        <v>6766</v>
      </c>
      <c r="V67" s="39">
        <v>6766</v>
      </c>
      <c r="W67" s="16">
        <f>(U67/V67)-1</f>
        <v>0</v>
      </c>
    </row>
    <row r="68" spans="2:31" ht="14.4" x14ac:dyDescent="0.3">
      <c r="B68" s="38" t="s">
        <v>73</v>
      </c>
      <c r="C68" s="37">
        <f>FV(C64,1,0,-C44,0)</f>
        <v>951050.88</v>
      </c>
      <c r="D68" s="37">
        <f>C68*F64</f>
        <v>76084.070399999997</v>
      </c>
      <c r="E68" s="37">
        <f>FV(E64,1,0,-G44,0)</f>
        <v>98.784000000000006</v>
      </c>
      <c r="F68" s="36">
        <f>E68*$L$53</f>
        <v>1876.8960000000002</v>
      </c>
      <c r="G68" s="9"/>
      <c r="I68" s="12" t="s">
        <v>72</v>
      </c>
      <c r="J68" s="40">
        <v>46.85</v>
      </c>
      <c r="K68" s="39">
        <v>49.37</v>
      </c>
      <c r="L68" s="16">
        <f>(J68/K68)-1</f>
        <v>-5.1043143609479369E-2</v>
      </c>
      <c r="O68" s="12" t="s">
        <v>72</v>
      </c>
      <c r="P68" s="40">
        <v>24.48</v>
      </c>
      <c r="Q68" s="39">
        <v>25.71</v>
      </c>
      <c r="R68" s="16">
        <f>(P68/Q68)-1</f>
        <v>-4.7841306884480739E-2</v>
      </c>
      <c r="T68" s="12" t="s">
        <v>72</v>
      </c>
      <c r="U68" s="40">
        <v>22.37</v>
      </c>
      <c r="V68" s="39">
        <v>23.66</v>
      </c>
      <c r="W68" s="16">
        <f>(U68/V68)-1</f>
        <v>-5.4522400676246807E-2</v>
      </c>
    </row>
    <row r="69" spans="2:31" ht="14.4" x14ac:dyDescent="0.3">
      <c r="B69" s="38" t="s">
        <v>71</v>
      </c>
      <c r="C69" s="37">
        <f>FV(C65,5,0,-C68,0)</f>
        <v>1676076.6086680416</v>
      </c>
      <c r="D69" s="37">
        <f>FV(D65,5,0,-D68,0)</f>
        <v>134086.12869344334</v>
      </c>
      <c r="E69" s="37">
        <f>FV(E65,5,0,-E68,0)</f>
        <v>174.09116083322886</v>
      </c>
      <c r="F69" s="36">
        <f>E69*$L$53</f>
        <v>3307.7320558313481</v>
      </c>
      <c r="I69" s="12" t="s">
        <v>70</v>
      </c>
      <c r="J69" s="16">
        <f>J66/J60</f>
        <v>7.7483898596135664E-2</v>
      </c>
      <c r="K69" s="16">
        <f>K66/K60</f>
        <v>8.5246990154490818E-2</v>
      </c>
      <c r="L69" s="16">
        <f>J69-K69</f>
        <v>-7.7630915583551535E-3</v>
      </c>
      <c r="O69" s="12" t="s">
        <v>70</v>
      </c>
      <c r="P69" s="16">
        <f>P66/P60</f>
        <v>8.1114824550600692E-2</v>
      </c>
      <c r="Q69" s="16">
        <f>Q66/Q60</f>
        <v>8.435621988797902E-2</v>
      </c>
      <c r="R69" s="16">
        <f>P69-Q69</f>
        <v>-3.2413953373783277E-3</v>
      </c>
      <c r="T69" s="12" t="s">
        <v>70</v>
      </c>
      <c r="U69" s="16">
        <f>U66/U60</f>
        <v>7.3864285805001331E-2</v>
      </c>
      <c r="V69" s="16">
        <f>V66/V60</f>
        <v>8.6239689609213063E-2</v>
      </c>
      <c r="W69" s="16">
        <f>U69-V69</f>
        <v>-1.2375403804211732E-2</v>
      </c>
      <c r="X69" s="2"/>
      <c r="Y69" s="2"/>
      <c r="AD69" s="10"/>
      <c r="AE69" s="9"/>
    </row>
    <row r="70" spans="2:31" ht="14.4" x14ac:dyDescent="0.3">
      <c r="B70" s="38" t="s">
        <v>69</v>
      </c>
      <c r="C70" s="37">
        <f>FV(12%,5,0,-C69,0)</f>
        <v>2953819.6716921851</v>
      </c>
      <c r="D70" s="37">
        <f>FV(12%,5,0,-D69,0)</f>
        <v>236305.57373537484</v>
      </c>
      <c r="E70" s="37">
        <f>FV(12%,5,0,-E69,0)</f>
        <v>306.80810941307453</v>
      </c>
      <c r="F70" s="36">
        <f>E70*$L$53</f>
        <v>5829.3540788484161</v>
      </c>
      <c r="I70" s="12" t="s">
        <v>25</v>
      </c>
      <c r="J70" s="35">
        <f>(J60-J61+J64)/J64</f>
        <v>4.3022203602848768</v>
      </c>
      <c r="K70" s="35">
        <f>(K60-K61+K64)/K64</f>
        <v>4.7286479944674964</v>
      </c>
      <c r="L70" s="35">
        <f>J70-K70</f>
        <v>-0.42642763418261964</v>
      </c>
      <c r="O70" s="12" t="s">
        <v>25</v>
      </c>
      <c r="P70" s="35">
        <f>(P60-P61+P64)/P64</f>
        <v>4.3506730929034401</v>
      </c>
      <c r="Q70" s="35">
        <f>(Q60-Q61+Q64)/Q64</f>
        <v>4.9525388239399755</v>
      </c>
      <c r="R70" s="35">
        <f>P70-Q70</f>
        <v>-0.6018657310365354</v>
      </c>
      <c r="T70" s="12" t="s">
        <v>25</v>
      </c>
      <c r="U70" s="35">
        <f>(U60-U61+U63)/U63</f>
        <v>115970.8795180723</v>
      </c>
      <c r="V70" s="35" t="e">
        <f>(V60-V61+V63)/V63</f>
        <v>#DIV/0!</v>
      </c>
      <c r="W70" s="35" t="e">
        <f>U70-V70</f>
        <v>#DIV/0!</v>
      </c>
      <c r="X70" s="10"/>
      <c r="Y70" s="9"/>
      <c r="AD70" s="10"/>
      <c r="AE70" s="9"/>
    </row>
    <row r="71" spans="2:31" ht="14.4" x14ac:dyDescent="0.3">
      <c r="X71" s="10"/>
      <c r="Y71" s="9"/>
      <c r="AD71" s="10"/>
      <c r="AE71" s="9"/>
    </row>
    <row r="72" spans="2:31" ht="14.4" x14ac:dyDescent="0.3">
      <c r="I72" s="12" t="s">
        <v>68</v>
      </c>
      <c r="J72" s="13" t="s">
        <v>64</v>
      </c>
      <c r="K72" s="13" t="s">
        <v>63</v>
      </c>
      <c r="L72" s="12" t="s">
        <v>62</v>
      </c>
      <c r="M72" s="12" t="s">
        <v>67</v>
      </c>
      <c r="O72" s="13" t="s">
        <v>66</v>
      </c>
      <c r="P72" s="13" t="s">
        <v>64</v>
      </c>
      <c r="Q72" s="13" t="s">
        <v>63</v>
      </c>
      <c r="R72" s="13" t="s">
        <v>62</v>
      </c>
      <c r="S72" s="13" t="s">
        <v>57</v>
      </c>
      <c r="U72" s="12" t="s">
        <v>65</v>
      </c>
      <c r="V72" s="13" t="s">
        <v>64</v>
      </c>
      <c r="W72" s="13" t="s">
        <v>63</v>
      </c>
      <c r="X72" s="12" t="s">
        <v>62</v>
      </c>
      <c r="Y72" s="12" t="s">
        <v>57</v>
      </c>
      <c r="AD72" s="10"/>
      <c r="AE72" s="9"/>
    </row>
    <row r="73" spans="2:31" ht="18" x14ac:dyDescent="0.35">
      <c r="B73" s="34" t="s">
        <v>61</v>
      </c>
      <c r="C73" s="33"/>
      <c r="D73" s="33"/>
      <c r="E73" s="33"/>
      <c r="I73" s="12" t="s">
        <v>60</v>
      </c>
      <c r="J73" s="18">
        <v>216266</v>
      </c>
      <c r="K73" s="18">
        <v>197428</v>
      </c>
      <c r="L73" s="16">
        <f>J73/$J$82</f>
        <v>0.50028453385027505</v>
      </c>
      <c r="M73" s="16">
        <f>(J73/K73)-1</f>
        <v>9.5417063435784266E-2</v>
      </c>
      <c r="O73" s="8" t="s">
        <v>59</v>
      </c>
      <c r="P73" s="8">
        <v>312713</v>
      </c>
      <c r="Q73" s="8">
        <v>281019</v>
      </c>
      <c r="R73" s="24">
        <f>P73/$P$79</f>
        <v>0.54451442372152392</v>
      </c>
      <c r="S73" s="19">
        <f>(P73/Q73)^(1/1)-1</f>
        <v>0.11278240973030296</v>
      </c>
      <c r="U73" s="8" t="s">
        <v>55</v>
      </c>
      <c r="V73" s="8">
        <v>5385</v>
      </c>
      <c r="W73" s="28">
        <v>5236</v>
      </c>
      <c r="X73" s="24">
        <f>V73/$V$79</f>
        <v>0.14733645243371912</v>
      </c>
      <c r="Y73" s="19">
        <f>(V73/W73)^(1/1)-1</f>
        <v>2.8456837280366631E-2</v>
      </c>
      <c r="AD73" s="10"/>
      <c r="AE73" s="9"/>
    </row>
    <row r="74" spans="2:31" ht="14.4" x14ac:dyDescent="0.3">
      <c r="B74" s="32" t="s">
        <v>58</v>
      </c>
      <c r="C74" s="31">
        <v>2016</v>
      </c>
      <c r="D74" s="31">
        <v>2022</v>
      </c>
      <c r="E74" s="30" t="s">
        <v>57</v>
      </c>
      <c r="I74" s="12" t="s">
        <v>56</v>
      </c>
      <c r="J74" s="18">
        <v>102825</v>
      </c>
      <c r="K74" s="18">
        <v>89158</v>
      </c>
      <c r="L74" s="16">
        <f>J74/$J$82</f>
        <v>0.23786335897993457</v>
      </c>
      <c r="M74" s="16">
        <f>(J74/K74)-1</f>
        <v>0.15328966553758505</v>
      </c>
      <c r="O74" s="8" t="s">
        <v>55</v>
      </c>
      <c r="P74" s="8">
        <v>151955</v>
      </c>
      <c r="Q74" s="8">
        <v>147125</v>
      </c>
      <c r="R74" s="24">
        <f>P74/$P$79</f>
        <v>0.26459305899212426</v>
      </c>
      <c r="S74" s="19">
        <f>(P74/Q74)^(1/1)-1</f>
        <v>3.2829226847918447E-2</v>
      </c>
      <c r="U74" s="8" t="s">
        <v>52</v>
      </c>
      <c r="V74" s="8">
        <v>12237</v>
      </c>
      <c r="W74" s="28">
        <v>10400</v>
      </c>
      <c r="X74" s="24">
        <f>V74/$V$79</f>
        <v>0.33481080193712548</v>
      </c>
      <c r="Y74" s="19">
        <f>(V74/W74)^(1/1)-1</f>
        <v>0.17663461538461545</v>
      </c>
      <c r="AD74" s="10"/>
      <c r="AE74" s="9"/>
    </row>
    <row r="75" spans="2:31" ht="14.4" x14ac:dyDescent="0.3">
      <c r="B75" s="26" t="s">
        <v>54</v>
      </c>
      <c r="C75" s="25">
        <v>46.53</v>
      </c>
      <c r="D75" s="25">
        <v>50.57</v>
      </c>
      <c r="E75" s="27">
        <f>(D75/C75)-1</f>
        <v>8.6825703846980407E-2</v>
      </c>
      <c r="I75" s="12" t="s">
        <v>53</v>
      </c>
      <c r="J75" s="29">
        <v>65416</v>
      </c>
      <c r="K75" s="29">
        <v>63459</v>
      </c>
      <c r="L75" s="16">
        <f>J75/$J$82</f>
        <v>0.15132574267961488</v>
      </c>
      <c r="M75" s="16">
        <f>(J75/K75)-1</f>
        <v>3.083880930994809E-2</v>
      </c>
      <c r="O75" s="8" t="s">
        <v>52</v>
      </c>
      <c r="P75" s="8">
        <v>73525</v>
      </c>
      <c r="Q75" s="8">
        <v>64734</v>
      </c>
      <c r="R75" s="24">
        <f>P75/$P$79</f>
        <v>0.1280260910295544</v>
      </c>
      <c r="S75" s="19">
        <f>(P75/Q75)^(1/1)-1</f>
        <v>0.1358018969938517</v>
      </c>
      <c r="U75" s="8" t="s">
        <v>51</v>
      </c>
      <c r="V75" s="8">
        <v>-406</v>
      </c>
      <c r="W75" s="28">
        <v>-92</v>
      </c>
      <c r="X75" s="24">
        <f>V75/$V$79</f>
        <v>-1.1108375058141126E-2</v>
      </c>
      <c r="Y75" s="19">
        <v>-3.41</v>
      </c>
    </row>
    <row r="76" spans="2:31" ht="14.4" x14ac:dyDescent="0.3">
      <c r="B76" s="26" t="s">
        <v>50</v>
      </c>
      <c r="C76" s="25">
        <f>2.95+0.09+10.06</f>
        <v>13.100000000000001</v>
      </c>
      <c r="D76" s="25">
        <f>5.68+0.11+8.37+0.74+0.1</f>
        <v>15</v>
      </c>
      <c r="E76" s="27">
        <f>(D76/C76)-1</f>
        <v>0.14503816793893121</v>
      </c>
      <c r="I76" s="12" t="s">
        <v>49</v>
      </c>
      <c r="J76" s="29">
        <v>26476</v>
      </c>
      <c r="K76" s="29">
        <v>24360</v>
      </c>
      <c r="L76" s="16">
        <f>J76/$J$82</f>
        <v>6.1246489592538277E-2</v>
      </c>
      <c r="M76" s="16">
        <f>(J76/K76)-1</f>
        <v>8.6863711001642141E-2</v>
      </c>
      <c r="O76" s="8" t="s">
        <v>48</v>
      </c>
      <c r="P76" s="8">
        <v>23703</v>
      </c>
      <c r="Q76" s="8">
        <v>36941</v>
      </c>
      <c r="R76" s="24">
        <f>P76/$P$79</f>
        <v>4.1273069509330539E-2</v>
      </c>
      <c r="S76" s="19">
        <f>(P76/Q76)^(1/1)-1</f>
        <v>-0.35835521507268342</v>
      </c>
      <c r="U76" s="8" t="s">
        <v>48</v>
      </c>
      <c r="V76" s="8">
        <f>J66-SUM(V73:V75)</f>
        <v>19333</v>
      </c>
      <c r="W76" s="28">
        <f>K66-SUM(W73:W75)</f>
        <v>22458</v>
      </c>
      <c r="X76" s="24">
        <f>V76/$V$79</f>
        <v>0.5289611206872965</v>
      </c>
      <c r="Y76" s="19">
        <f>(V76/W76)^(1/1)-1</f>
        <v>-0.1391486330038294</v>
      </c>
      <c r="AD76" s="10"/>
      <c r="AE76" s="9"/>
    </row>
    <row r="77" spans="2:31" ht="14.4" x14ac:dyDescent="0.3">
      <c r="B77" s="26" t="s">
        <v>47</v>
      </c>
      <c r="C77" s="25">
        <f>7.39+12.75</f>
        <v>20.14</v>
      </c>
      <c r="D77" s="25">
        <f>22.61+0.92+0.05</f>
        <v>23.580000000000002</v>
      </c>
      <c r="E77" s="27">
        <f>(D77/C77)-1</f>
        <v>0.17080436941410126</v>
      </c>
      <c r="I77" s="12" t="s">
        <v>46</v>
      </c>
      <c r="J77" s="18">
        <v>13720</v>
      </c>
      <c r="K77" s="18">
        <v>12548</v>
      </c>
      <c r="L77" s="16">
        <f>J77/$J$82</f>
        <v>3.1738247364013636E-2</v>
      </c>
      <c r="M77" s="16">
        <f>(J77/K77)-1</f>
        <v>9.3401338858782212E-2</v>
      </c>
      <c r="O77" s="8" t="s">
        <v>45</v>
      </c>
      <c r="P77" s="8">
        <v>12401</v>
      </c>
      <c r="Q77" s="8">
        <v>11252</v>
      </c>
      <c r="R77" s="24">
        <f>P77/$P$79</f>
        <v>2.1593356747466902E-2</v>
      </c>
      <c r="S77" s="19">
        <f>(P77/Q77)^(1/1)-1</f>
        <v>0.10211517952364013</v>
      </c>
    </row>
    <row r="78" spans="2:31" ht="14.4" x14ac:dyDescent="0.3">
      <c r="B78" s="26" t="s">
        <v>44</v>
      </c>
      <c r="C78" s="25">
        <v>10.050000000000001</v>
      </c>
      <c r="D78" s="25">
        <v>10.75</v>
      </c>
      <c r="E78" s="27">
        <f>(D78/C78)-1</f>
        <v>6.9651741293532243E-2</v>
      </c>
      <c r="I78" s="12" t="s">
        <v>43</v>
      </c>
      <c r="J78" s="18">
        <v>11935</v>
      </c>
      <c r="K78" s="18">
        <v>11568</v>
      </c>
      <c r="L78" s="16">
        <f>J78/$J$82</f>
        <v>2.7609036610022068E-2</v>
      </c>
      <c r="M78" s="16">
        <f>(J78/K78)-1</f>
        <v>3.1725449515906057E-2</v>
      </c>
      <c r="O78" s="8"/>
      <c r="P78" s="8"/>
      <c r="Q78" s="8"/>
      <c r="R78" s="24"/>
      <c r="S78" s="19"/>
    </row>
    <row r="79" spans="2:31" ht="14.4" x14ac:dyDescent="0.3">
      <c r="B79" s="26" t="s">
        <v>42</v>
      </c>
      <c r="C79" s="25">
        <v>10.050000000000001</v>
      </c>
      <c r="I79" s="12" t="s">
        <v>41</v>
      </c>
      <c r="J79" s="18">
        <v>8379</v>
      </c>
      <c r="K79" s="18">
        <v>6342</v>
      </c>
      <c r="L79" s="16">
        <f>J79/$J$82</f>
        <v>1.9383001068736902E-2</v>
      </c>
      <c r="M79" s="16">
        <f>(J79/K79)-1</f>
        <v>0.32119205298013243</v>
      </c>
      <c r="O79" s="8" t="s">
        <v>40</v>
      </c>
      <c r="P79" s="8">
        <f>SUM(P73:P78)</f>
        <v>574297</v>
      </c>
      <c r="Q79" s="8">
        <f>SUM(Q73:Q78)</f>
        <v>541071</v>
      </c>
      <c r="R79" s="24">
        <f>P79/$P$79</f>
        <v>1</v>
      </c>
      <c r="S79" s="19">
        <f>(P79/Q79)^(1/1)-1</f>
        <v>6.1407837418749001E-2</v>
      </c>
      <c r="U79" s="23" t="s">
        <v>39</v>
      </c>
      <c r="V79" s="22">
        <f>SUM(V73:V76)</f>
        <v>36549</v>
      </c>
      <c r="W79" s="21">
        <f>SUM(W73:W76)</f>
        <v>38002</v>
      </c>
      <c r="X79" s="20">
        <f>V79/$V$79</f>
        <v>1</v>
      </c>
      <c r="Y79" s="19">
        <f>(V79/W79)^(1/1)-1</f>
        <v>-3.8234829745802834E-2</v>
      </c>
    </row>
    <row r="80" spans="2:31" ht="14.4" x14ac:dyDescent="0.3">
      <c r="I80" s="12" t="s">
        <v>38</v>
      </c>
      <c r="J80" s="18">
        <v>-12731</v>
      </c>
      <c r="K80" s="18">
        <v>-2209</v>
      </c>
      <c r="L80" s="16">
        <f>J80/$J$82</f>
        <v>-2.9450410145135397E-2</v>
      </c>
      <c r="M80" s="16">
        <v>1.45</v>
      </c>
      <c r="U80" s="2"/>
      <c r="V80" s="9"/>
    </row>
    <row r="82" spans="2:19" ht="14.4" x14ac:dyDescent="0.3">
      <c r="I82" s="12" t="s">
        <v>37</v>
      </c>
      <c r="J82" s="17">
        <f>SUM(J73:J80)</f>
        <v>432286</v>
      </c>
      <c r="K82" s="17">
        <f>SUM(K73:K80)</f>
        <v>402654</v>
      </c>
      <c r="L82" s="16">
        <f>J82/$J$82</f>
        <v>1</v>
      </c>
      <c r="M82" s="16">
        <f>(J82/K82)-1</f>
        <v>7.359171894480121E-2</v>
      </c>
      <c r="N82" s="15"/>
      <c r="O82" s="14" t="s">
        <v>36</v>
      </c>
      <c r="P82" s="13" t="s">
        <v>35</v>
      </c>
      <c r="Q82" s="13" t="s">
        <v>34</v>
      </c>
      <c r="R82" s="12" t="s">
        <v>33</v>
      </c>
      <c r="S82" s="12" t="s">
        <v>32</v>
      </c>
    </row>
    <row r="83" spans="2:19" ht="14.4" x14ac:dyDescent="0.3">
      <c r="J83" s="2"/>
      <c r="K83" s="2"/>
      <c r="L83" s="11"/>
      <c r="M83" s="10"/>
      <c r="N83" s="9"/>
      <c r="O83" s="8" t="s">
        <v>31</v>
      </c>
      <c r="P83" s="8">
        <v>336337</v>
      </c>
      <c r="Q83" s="8">
        <v>324622</v>
      </c>
      <c r="R83" s="8">
        <f>P83-Q83</f>
        <v>11715</v>
      </c>
      <c r="S83" s="6">
        <f>(P83/Q83)-1</f>
        <v>3.6088127113997226E-2</v>
      </c>
    </row>
    <row r="84" spans="2:19" ht="14.4" x14ac:dyDescent="0.3">
      <c r="J84" s="2"/>
      <c r="K84" s="2"/>
      <c r="L84" s="11"/>
      <c r="M84" s="10"/>
      <c r="N84" s="9"/>
      <c r="O84" s="8" t="s">
        <v>30</v>
      </c>
      <c r="P84" s="8">
        <v>219899</v>
      </c>
      <c r="Q84" s="8">
        <v>208341</v>
      </c>
      <c r="R84" s="8">
        <f>P84-Q84</f>
        <v>11558</v>
      </c>
      <c r="S84" s="6">
        <f>(P84/Q84)-1</f>
        <v>5.5476358470008202E-2</v>
      </c>
    </row>
    <row r="85" spans="2:19" ht="14.4" x14ac:dyDescent="0.3">
      <c r="J85" s="2"/>
      <c r="K85" s="2"/>
      <c r="L85" s="11"/>
      <c r="M85" s="10"/>
      <c r="N85" s="9"/>
      <c r="O85" s="8" t="s">
        <v>29</v>
      </c>
      <c r="P85" s="8">
        <f>P83-P84</f>
        <v>116438</v>
      </c>
      <c r="Q85" s="8">
        <f>Q83-Q84</f>
        <v>116281</v>
      </c>
      <c r="R85" s="7">
        <f>P85-Q85</f>
        <v>157</v>
      </c>
      <c r="S85" s="6">
        <f>(P85/Q85)-1</f>
        <v>1.3501775870521371E-3</v>
      </c>
    </row>
    <row r="87" spans="2:19" ht="14.4" x14ac:dyDescent="0.3">
      <c r="J87" s="5"/>
      <c r="K87" s="5"/>
      <c r="L87" s="5"/>
      <c r="M87" s="4"/>
      <c r="N87" s="3"/>
    </row>
    <row r="91" spans="2:19" ht="14.4" x14ac:dyDescent="0.3">
      <c r="B91" s="2" t="s">
        <v>28</v>
      </c>
      <c r="C91" s="2" t="s">
        <v>27</v>
      </c>
      <c r="F91" s="2" t="s">
        <v>26</v>
      </c>
    </row>
    <row r="92" spans="2:19" ht="14.4" x14ac:dyDescent="0.3">
      <c r="B92" s="2" t="s">
        <v>25</v>
      </c>
      <c r="C92" s="2" t="s">
        <v>24</v>
      </c>
      <c r="F92" s="2" t="s">
        <v>23</v>
      </c>
    </row>
    <row r="93" spans="2:19" ht="14.4" x14ac:dyDescent="0.3">
      <c r="B93" s="2" t="s">
        <v>22</v>
      </c>
      <c r="C93" s="2" t="s">
        <v>21</v>
      </c>
      <c r="F93" s="2" t="s">
        <v>20</v>
      </c>
    </row>
    <row r="94" spans="2:19" ht="14.4" x14ac:dyDescent="0.3">
      <c r="B94" s="2" t="s">
        <v>19</v>
      </c>
      <c r="C94" s="2" t="s">
        <v>18</v>
      </c>
      <c r="F94" s="2" t="s">
        <v>17</v>
      </c>
    </row>
    <row r="95" spans="2:19" ht="14.4" x14ac:dyDescent="0.3">
      <c r="B95" s="2" t="s">
        <v>16</v>
      </c>
      <c r="C95" s="2" t="s">
        <v>15</v>
      </c>
      <c r="F95" s="2" t="s">
        <v>14</v>
      </c>
    </row>
    <row r="96" spans="2:19" ht="14.4" x14ac:dyDescent="0.3">
      <c r="B96" s="2" t="s">
        <v>13</v>
      </c>
      <c r="C96" s="2" t="s">
        <v>12</v>
      </c>
      <c r="F96" s="2" t="s">
        <v>11</v>
      </c>
    </row>
    <row r="97" spans="2:6" ht="14.4" x14ac:dyDescent="0.3">
      <c r="B97" s="2" t="s">
        <v>10</v>
      </c>
      <c r="C97" s="2" t="s">
        <v>9</v>
      </c>
      <c r="F97" s="2" t="s">
        <v>8</v>
      </c>
    </row>
    <row r="98" spans="2:6" ht="14.4" x14ac:dyDescent="0.3">
      <c r="B98" s="2" t="s">
        <v>7</v>
      </c>
      <c r="C98" s="2" t="s">
        <v>6</v>
      </c>
      <c r="F98" s="2" t="s">
        <v>5</v>
      </c>
    </row>
    <row r="99" spans="2:6" ht="14.4" x14ac:dyDescent="0.3">
      <c r="B99" s="2" t="s">
        <v>4</v>
      </c>
      <c r="C99" s="2" t="s">
        <v>3</v>
      </c>
      <c r="D99" s="2" t="s">
        <v>2</v>
      </c>
    </row>
    <row r="100" spans="2:6" ht="14.4" x14ac:dyDescent="0.3">
      <c r="C100" s="2" t="s">
        <v>1</v>
      </c>
      <c r="F100" s="2" t="s">
        <v>0</v>
      </c>
    </row>
    <row r="153" spans="3:35" ht="14.4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3:35" ht="14.4" x14ac:dyDescent="0.3"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</sheetData>
  <mergeCells count="1">
    <mergeCell ref="L55:L57"/>
  </mergeCells>
  <conditionalFormatting sqref="C12:C45">
    <cfRule type="colorScale" priority="8">
      <colorScale>
        <cfvo type="min"/>
        <cfvo type="max"/>
        <color rgb="FFFFFFFF"/>
        <color rgb="FF57BB8A"/>
      </colorScale>
    </cfRule>
  </conditionalFormatting>
  <conditionalFormatting sqref="C63:E65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5:F55">
    <cfRule type="colorScale" priority="6">
      <colorScale>
        <cfvo type="min"/>
        <cfvo type="max"/>
        <color rgb="FFFFFFFF"/>
        <color rgb="FF57BB8A"/>
      </colorScale>
    </cfRule>
  </conditionalFormatting>
  <conditionalFormatting sqref="C58:F5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9:F59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0:F60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45">
    <cfRule type="colorScale" priority="9">
      <colorScale>
        <cfvo type="min"/>
        <cfvo type="max"/>
        <color rgb="FFFFFFFF"/>
        <color rgb="FF57BB8A"/>
      </colorScale>
    </cfRule>
  </conditionalFormatting>
  <conditionalFormatting sqref="F12:F45">
    <cfRule type="colorScale" priority="1">
      <colorScale>
        <cfvo type="min"/>
        <cfvo type="max"/>
        <color rgb="FFFFFFFF"/>
        <color rgb="FF57BB8A"/>
      </colorScale>
    </cfRule>
  </conditionalFormatting>
  <conditionalFormatting sqref="F63:F65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:H45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5:K55">
    <cfRule type="colorScale" priority="14">
      <colorScale>
        <cfvo type="min"/>
        <cfvo type="max"/>
        <color rgb="FFFFFFFF"/>
        <color rgb="FF57BB8A"/>
      </colorScale>
    </cfRule>
  </conditionalFormatting>
  <conditionalFormatting sqref="I57:K57">
    <cfRule type="colorScale" priority="15">
      <colorScale>
        <cfvo type="min"/>
        <cfvo type="max"/>
        <color rgb="FFFFFFFF"/>
        <color rgb="FFE67C73"/>
      </colorScale>
    </cfRule>
  </conditionalFormatting>
  <conditionalFormatting sqref="K12:L4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58:L70 Q58:Q67 R59:R70 V59:V67 W59:W7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7:L80 R67:R70 W67:W70">
    <cfRule type="colorScale" priority="4">
      <colorScale>
        <cfvo type="min"/>
        <cfvo type="max"/>
        <color rgb="FFFFFFFF"/>
        <color rgb="FF57BB8A"/>
      </colorScale>
    </cfRule>
  </conditionalFormatting>
  <conditionalFormatting sqref="M67:M8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30:O45">
    <cfRule type="colorScale" priority="31">
      <colorScale>
        <cfvo type="min"/>
        <cfvo type="max"/>
        <color rgb="FFFFFFFF"/>
        <color rgb="FF57BB8A"/>
      </colorScale>
    </cfRule>
  </conditionalFormatting>
  <conditionalFormatting sqref="P30:P45">
    <cfRule type="colorScale" priority="32">
      <colorScale>
        <cfvo type="min"/>
        <cfvo type="max"/>
        <color rgb="FFFFFFFF"/>
        <color rgb="FF57BB8A"/>
      </colorScale>
    </cfRule>
  </conditionalFormatting>
  <conditionalFormatting sqref="P83:Q83">
    <cfRule type="colorScale" priority="2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84:Q84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85:Q85">
    <cfRule type="colorScale" priority="2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57:Q67 V59:V67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67:R82 W67:W70 X72:X77 Y77 X79 S82 M83:M87 R89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83:R85">
    <cfRule type="colorScale" priority="30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S38:S45">
    <cfRule type="colorScale" priority="18">
      <colorScale>
        <cfvo type="min"/>
        <cfvo type="max"/>
        <color rgb="FFFFFFFF"/>
        <color rgb="FF57BB8A"/>
      </colorScale>
    </cfRule>
  </conditionalFormatting>
  <conditionalFormatting sqref="S68:S81 T67 Y72:Y76 Y79 N82:N87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85">
    <cfRule type="colorScale" priority="2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T40:T45">
    <cfRule type="colorScale" priority="17">
      <colorScale>
        <cfvo type="min"/>
        <cfvo type="max"/>
        <color rgb="FFFFFFFF"/>
        <color rgb="FF57BB8A"/>
      </colorScale>
    </cfRule>
  </conditionalFormatting>
  <conditionalFormatting sqref="U37:U45">
    <cfRule type="colorScale" priority="16">
      <colorScale>
        <cfvo type="min"/>
        <cfvo type="max"/>
        <color rgb="FFFFFFFF"/>
        <color rgb="FF57BB8A"/>
      </colorScale>
    </cfRule>
  </conditionalFormatting>
  <conditionalFormatting sqref="U70:V70 P71:Q71 P73:Q77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73:W75 K83:L85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40:X44">
    <cfRule type="colorScale" priority="7">
      <colorScale>
        <cfvo type="min"/>
        <cfvo type="max"/>
        <color rgb="FFFFFFFF"/>
        <color rgb="FF57BB8A"/>
      </colorScale>
    </cfRule>
  </conditionalFormatting>
  <conditionalFormatting sqref="Y40:Y45">
    <cfRule type="colorScale" priority="34">
      <colorScale>
        <cfvo type="min"/>
        <cfvo type="max"/>
        <color rgb="FFFFFFFF"/>
        <color rgb="FF57BB8A"/>
      </colorScale>
    </cfRule>
  </conditionalFormatting>
  <conditionalFormatting sqref="AB40:AB45">
    <cfRule type="colorScale" priority="33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Reliance FAIRVALUE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2024-10-19T07:21:59Z</dcterms:created>
  <dcterms:modified xsi:type="dcterms:W3CDTF">2024-10-19T07:22:26Z</dcterms:modified>
</cp:coreProperties>
</file>