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92AB8469-9FEE-46FB-893D-F1566301DE9F}" xr6:coauthVersionLast="47" xr6:coauthVersionMax="47" xr10:uidLastSave="{00000000-0000-0000-0000-000000000000}"/>
  <bookViews>
    <workbookView xWindow="-108" yWindow="-108" windowWidth="23256" windowHeight="12456" xr2:uid="{F51FE302-9046-455B-B483-95512405F06C}"/>
  </bookViews>
  <sheets>
    <sheet name="GODREJ_PROPERTIES" sheetId="1" r:id="rId1"/>
    <sheet name="Residential,Commercial Projects" sheetId="2" r:id="rId2"/>
  </sheets>
  <externalReferences>
    <externalReference r:id="rId3"/>
  </externalReferences>
  <definedNames>
    <definedName name="_xlnm._FilterDatabase" localSheetId="1" hidden="1">'Residential,Commercial Projects'!$J$34:$K$46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06" i="2" l="1"/>
  <c r="AI306" i="2"/>
  <c r="AC306" i="2"/>
  <c r="AA306" i="2"/>
  <c r="Y306" i="2"/>
  <c r="X306" i="2"/>
  <c r="W306" i="2"/>
  <c r="V306" i="2"/>
  <c r="AD306" i="2" s="1"/>
  <c r="U306" i="2"/>
  <c r="S306" i="2"/>
  <c r="AL306" i="2" s="1"/>
  <c r="R306" i="2"/>
  <c r="AE306" i="2" s="1"/>
  <c r="Q306" i="2"/>
  <c r="N306" i="2"/>
  <c r="M306" i="2"/>
  <c r="L306" i="2"/>
  <c r="AG306" i="2" s="1"/>
  <c r="K306" i="2"/>
  <c r="AH306" i="2" s="1"/>
  <c r="J306" i="2"/>
  <c r="I306" i="2"/>
  <c r="AO306" i="2" s="1"/>
  <c r="H306" i="2"/>
  <c r="G306" i="2"/>
  <c r="F306" i="2"/>
  <c r="E306" i="2"/>
  <c r="AF306" i="2" s="1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T182" i="2"/>
  <c r="T306" i="2" s="1"/>
  <c r="Z306" i="2" s="1"/>
  <c r="D182" i="2"/>
  <c r="C182" i="2"/>
  <c r="AO181" i="2"/>
  <c r="AL181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O181" i="2"/>
  <c r="D181" i="2"/>
  <c r="C181" i="2"/>
  <c r="AP181" i="2" s="1"/>
  <c r="AO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D180" i="2"/>
  <c r="C180" i="2"/>
  <c r="AP180" i="2" s="1"/>
  <c r="AO179" i="2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O179" i="2"/>
  <c r="D179" i="2"/>
  <c r="C179" i="2"/>
  <c r="AP179" i="2" s="1"/>
  <c r="AO178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O178" i="2"/>
  <c r="AN178" i="2" s="1"/>
  <c r="D178" i="2"/>
  <c r="C178" i="2"/>
  <c r="AP178" i="2" s="1"/>
  <c r="AO177" i="2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O177" i="2"/>
  <c r="AN177" i="2" s="1"/>
  <c r="D177" i="2"/>
  <c r="C177" i="2"/>
  <c r="AO176" i="2"/>
  <c r="AL176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O176" i="2"/>
  <c r="D176" i="2"/>
  <c r="C176" i="2"/>
  <c r="AP176" i="2" s="1"/>
  <c r="AO175" i="2"/>
  <c r="AL175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O175" i="2"/>
  <c r="D175" i="2"/>
  <c r="C175" i="2"/>
  <c r="AP175" i="2" s="1"/>
  <c r="AO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O174" i="2"/>
  <c r="D174" i="2"/>
  <c r="C174" i="2"/>
  <c r="AP174" i="2" s="1"/>
  <c r="AO173" i="2"/>
  <c r="AL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O173" i="2"/>
  <c r="D173" i="2"/>
  <c r="C173" i="2"/>
  <c r="AP173" i="2" s="1"/>
  <c r="AP172" i="2"/>
  <c r="AO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O172" i="2"/>
  <c r="AN172" i="2" s="1"/>
  <c r="D172" i="2"/>
  <c r="C172" i="2"/>
  <c r="E152" i="2"/>
  <c r="D152" i="2"/>
  <c r="C152" i="2"/>
  <c r="E149" i="2"/>
  <c r="E148" i="2"/>
  <c r="E147" i="2"/>
  <c r="E146" i="2"/>
  <c r="E145" i="2"/>
  <c r="E144" i="2"/>
  <c r="E143" i="2"/>
  <c r="AC142" i="2"/>
  <c r="E142" i="2"/>
  <c r="AC141" i="2"/>
  <c r="E141" i="2"/>
  <c r="AC140" i="2"/>
  <c r="E140" i="2"/>
  <c r="AC139" i="2"/>
  <c r="E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G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K50" i="2"/>
  <c r="K56" i="2" s="1"/>
  <c r="G50" i="2"/>
  <c r="G56" i="2" s="1"/>
  <c r="AC49" i="2"/>
  <c r="AC48" i="2"/>
  <c r="AC47" i="2"/>
  <c r="AC46" i="2"/>
  <c r="C46" i="2"/>
  <c r="AC45" i="2"/>
  <c r="C45" i="2"/>
  <c r="AC44" i="2"/>
  <c r="C44" i="2"/>
  <c r="AC43" i="2"/>
  <c r="C43" i="2"/>
  <c r="AC42" i="2"/>
  <c r="C42" i="2"/>
  <c r="AC41" i="2"/>
  <c r="C41" i="2"/>
  <c r="AC40" i="2"/>
  <c r="C40" i="2"/>
  <c r="AC39" i="2"/>
  <c r="C39" i="2"/>
  <c r="AC38" i="2"/>
  <c r="C38" i="2"/>
  <c r="AC37" i="2"/>
  <c r="C37" i="2"/>
  <c r="AC36" i="2"/>
  <c r="C36" i="2"/>
  <c r="AC35" i="2"/>
  <c r="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R49" i="1"/>
  <c r="M47" i="1"/>
  <c r="N47" i="1" s="1"/>
  <c r="G47" i="1"/>
  <c r="M46" i="1"/>
  <c r="N46" i="1" s="1"/>
  <c r="G46" i="1"/>
  <c r="N45" i="1"/>
  <c r="M45" i="1"/>
  <c r="G45" i="1"/>
  <c r="M44" i="1"/>
  <c r="N44" i="1" s="1"/>
  <c r="O44" i="1" s="1"/>
  <c r="K44" i="1"/>
  <c r="J44" i="1"/>
  <c r="G44" i="1"/>
  <c r="M43" i="1"/>
  <c r="N43" i="1" s="1"/>
  <c r="O43" i="1" s="1"/>
  <c r="K43" i="1"/>
  <c r="J43" i="1"/>
  <c r="G43" i="1"/>
  <c r="N42" i="1"/>
  <c r="O42" i="1" s="1"/>
  <c r="M42" i="1"/>
  <c r="K42" i="1"/>
  <c r="J42" i="1"/>
  <c r="G42" i="1"/>
  <c r="N41" i="1"/>
  <c r="O41" i="1" s="1"/>
  <c r="M41" i="1"/>
  <c r="K41" i="1"/>
  <c r="J41" i="1"/>
  <c r="G41" i="1"/>
  <c r="S40" i="1"/>
  <c r="R40" i="1"/>
  <c r="U40" i="1" s="1"/>
  <c r="N40" i="1"/>
  <c r="O40" i="1" s="1"/>
  <c r="M40" i="1"/>
  <c r="K40" i="1"/>
  <c r="J40" i="1"/>
  <c r="G40" i="1"/>
  <c r="N39" i="1"/>
  <c r="O39" i="1" s="1"/>
  <c r="M39" i="1"/>
  <c r="K39" i="1"/>
  <c r="J39" i="1"/>
  <c r="G39" i="1"/>
  <c r="U38" i="1"/>
  <c r="N38" i="1"/>
  <c r="O38" i="1" s="1"/>
  <c r="M38" i="1"/>
  <c r="K38" i="1"/>
  <c r="J38" i="1"/>
  <c r="G38" i="1"/>
  <c r="U37" i="1"/>
  <c r="N37" i="1"/>
  <c r="O37" i="1" s="1"/>
  <c r="M37" i="1"/>
  <c r="K37" i="1"/>
  <c r="J37" i="1"/>
  <c r="G37" i="1"/>
  <c r="U36" i="1"/>
  <c r="N36" i="1"/>
  <c r="O36" i="1" s="1"/>
  <c r="M36" i="1"/>
  <c r="K36" i="1"/>
  <c r="J36" i="1"/>
  <c r="G36" i="1"/>
  <c r="U35" i="1"/>
  <c r="N35" i="1"/>
  <c r="O35" i="1" s="1"/>
  <c r="M35" i="1"/>
  <c r="K35" i="1"/>
  <c r="J35" i="1"/>
  <c r="G35" i="1"/>
  <c r="U34" i="1"/>
  <c r="N34" i="1"/>
  <c r="O34" i="1" s="1"/>
  <c r="M34" i="1"/>
  <c r="K34" i="1"/>
  <c r="J34" i="1"/>
  <c r="G34" i="1"/>
  <c r="U33" i="1"/>
  <c r="N33" i="1"/>
  <c r="O33" i="1" s="1"/>
  <c r="M33" i="1"/>
  <c r="K33" i="1"/>
  <c r="J33" i="1"/>
  <c r="G33" i="1"/>
  <c r="M32" i="1"/>
  <c r="N32" i="1" s="1"/>
  <c r="O32" i="1" s="1"/>
  <c r="K32" i="1"/>
  <c r="K25" i="1" s="1"/>
  <c r="J32" i="1"/>
  <c r="G32" i="1"/>
  <c r="G24" i="1" s="1"/>
  <c r="N31" i="1"/>
  <c r="O31" i="1" s="1"/>
  <c r="K31" i="1"/>
  <c r="J31" i="1"/>
  <c r="G31" i="1"/>
  <c r="AD30" i="1"/>
  <c r="AC30" i="1"/>
  <c r="AE30" i="1" s="1"/>
  <c r="Y30" i="1"/>
  <c r="X30" i="1"/>
  <c r="Z30" i="1" s="1"/>
  <c r="S30" i="1"/>
  <c r="R30" i="1"/>
  <c r="T30" i="1" s="1"/>
  <c r="N30" i="1"/>
  <c r="N23" i="1" s="1"/>
  <c r="K30" i="1"/>
  <c r="J30" i="1"/>
  <c r="G30" i="1"/>
  <c r="AD29" i="1"/>
  <c r="AC29" i="1"/>
  <c r="AE29" i="1" s="1"/>
  <c r="Y29" i="1"/>
  <c r="Z29" i="1" s="1"/>
  <c r="X29" i="1"/>
  <c r="S29" i="1"/>
  <c r="R29" i="1"/>
  <c r="T29" i="1" s="1"/>
  <c r="N29" i="1"/>
  <c r="O29" i="1" s="1"/>
  <c r="E29" i="1"/>
  <c r="D29" i="1"/>
  <c r="C29" i="1"/>
  <c r="AE28" i="1"/>
  <c r="Z28" i="1"/>
  <c r="T28" i="1"/>
  <c r="AE27" i="1"/>
  <c r="Z27" i="1"/>
  <c r="T27" i="1"/>
  <c r="AE26" i="1"/>
  <c r="Z26" i="1"/>
  <c r="T26" i="1"/>
  <c r="N26" i="1"/>
  <c r="M26" i="1"/>
  <c r="J26" i="1"/>
  <c r="I26" i="1"/>
  <c r="H26" i="1"/>
  <c r="F26" i="1"/>
  <c r="E26" i="1"/>
  <c r="D26" i="1"/>
  <c r="AE25" i="1"/>
  <c r="Z25" i="1"/>
  <c r="T25" i="1"/>
  <c r="M25" i="1"/>
  <c r="J25" i="1"/>
  <c r="L25" i="1" s="1"/>
  <c r="I25" i="1"/>
  <c r="H25" i="1"/>
  <c r="F25" i="1"/>
  <c r="E25" i="1"/>
  <c r="D25" i="1"/>
  <c r="C25" i="1"/>
  <c r="AE24" i="1"/>
  <c r="Z24" i="1"/>
  <c r="T24" i="1"/>
  <c r="M24" i="1"/>
  <c r="J24" i="1"/>
  <c r="I24" i="1"/>
  <c r="H24" i="1"/>
  <c r="F24" i="1"/>
  <c r="E24" i="1"/>
  <c r="D24" i="1"/>
  <c r="C24" i="1"/>
  <c r="AE23" i="1"/>
  <c r="AD23" i="1"/>
  <c r="AC23" i="1"/>
  <c r="Z23" i="1"/>
  <c r="T23" i="1"/>
  <c r="M23" i="1"/>
  <c r="L23" i="1"/>
  <c r="K23" i="1"/>
  <c r="J23" i="1"/>
  <c r="I23" i="1"/>
  <c r="H23" i="1"/>
  <c r="G23" i="1"/>
  <c r="F23" i="1"/>
  <c r="E23" i="1"/>
  <c r="D23" i="1"/>
  <c r="C23" i="1"/>
  <c r="P19" i="1"/>
  <c r="D15" i="1"/>
  <c r="D14" i="1" s="1"/>
  <c r="T14" i="1"/>
  <c r="F29" i="1" s="1"/>
  <c r="N9" i="1"/>
  <c r="K9" i="1"/>
  <c r="J9" i="1"/>
  <c r="I9" i="1"/>
  <c r="G9" i="1"/>
  <c r="F9" i="1"/>
  <c r="E9" i="1"/>
  <c r="D9" i="1"/>
  <c r="C9" i="1"/>
  <c r="B9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3" i="1"/>
  <c r="C3" i="1"/>
  <c r="M9" i="1" s="1"/>
  <c r="AN174" i="2" l="1"/>
  <c r="AM176" i="2"/>
  <c r="AM179" i="2"/>
  <c r="AM181" i="2"/>
  <c r="AN175" i="2"/>
  <c r="C5" i="1"/>
  <c r="AN173" i="2"/>
  <c r="AN176" i="2"/>
  <c r="AM177" i="2"/>
  <c r="AN181" i="2"/>
  <c r="Q19" i="1"/>
  <c r="AM172" i="2"/>
  <c r="AP177" i="2"/>
  <c r="AC2" i="2"/>
  <c r="AD2" i="2" s="1"/>
  <c r="D306" i="2"/>
  <c r="P178" i="2" s="1"/>
  <c r="AM178" i="2"/>
  <c r="AM306" i="2"/>
  <c r="P177" i="2"/>
  <c r="P181" i="2"/>
  <c r="P173" i="2"/>
  <c r="AP306" i="2"/>
  <c r="AN179" i="2"/>
  <c r="D4" i="1"/>
  <c r="D5" i="1" s="1"/>
  <c r="AM173" i="2"/>
  <c r="AB306" i="2"/>
  <c r="AJ306" i="2"/>
  <c r="AM175" i="2"/>
  <c r="AM180" i="2"/>
  <c r="AN180" i="2"/>
  <c r="O306" i="2"/>
  <c r="AN306" i="2" s="1"/>
  <c r="O9" i="1"/>
  <c r="AM174" i="2"/>
  <c r="D13" i="1"/>
  <c r="O24" i="1"/>
  <c r="K29" i="1"/>
  <c r="J29" i="1"/>
  <c r="H9" i="1"/>
  <c r="N24" i="1"/>
  <c r="N25" i="1"/>
  <c r="G26" i="1"/>
  <c r="G18" i="1" s="1"/>
  <c r="E14" i="1" s="1"/>
  <c r="O30" i="1"/>
  <c r="E15" i="1"/>
  <c r="R19" i="1"/>
  <c r="S17" i="1" s="1"/>
  <c r="G25" i="1"/>
  <c r="T33" i="1"/>
  <c r="T34" i="1"/>
  <c r="T35" i="1"/>
  <c r="T36" i="1"/>
  <c r="T37" i="1"/>
  <c r="T38" i="1"/>
  <c r="T40" i="1"/>
  <c r="L9" i="1"/>
  <c r="K26" i="1"/>
  <c r="L26" i="1" s="1"/>
  <c r="L27" i="1" s="1"/>
  <c r="K24" i="1"/>
  <c r="L24" i="1" s="1"/>
  <c r="P176" i="2" l="1"/>
  <c r="P172" i="2"/>
  <c r="P306" i="2" s="1"/>
  <c r="P179" i="2"/>
  <c r="P174" i="2"/>
  <c r="P175" i="2"/>
  <c r="P180" i="2"/>
  <c r="E13" i="1"/>
  <c r="F15" i="1"/>
  <c r="G15" i="1" s="1"/>
  <c r="E19" i="1"/>
  <c r="O25" i="1"/>
  <c r="O26" i="1"/>
  <c r="O23" i="1"/>
  <c r="F14" i="1" l="1"/>
  <c r="F13" i="1" l="1"/>
  <c r="G13" i="1" s="1"/>
  <c r="G14" i="1"/>
</calcChain>
</file>

<file path=xl/sharedStrings.xml><?xml version="1.0" encoding="utf-8"?>
<sst xmlns="http://schemas.openxmlformats.org/spreadsheetml/2006/main" count="833" uniqueCount="366">
  <si>
    <t>MARKET</t>
  </si>
  <si>
    <t>INCOME</t>
  </si>
  <si>
    <t>BALANCESHEET</t>
  </si>
  <si>
    <t>CASHFLOW</t>
  </si>
  <si>
    <t>Company</t>
  </si>
  <si>
    <t>Price</t>
  </si>
  <si>
    <t>Marketcap</t>
  </si>
  <si>
    <t>Sales</t>
  </si>
  <si>
    <t>Profit</t>
  </si>
  <si>
    <t>EPS</t>
  </si>
  <si>
    <t>FV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</si>
  <si>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</si>
  <si>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</si>
  <si>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</si>
  <si>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</si>
  <si>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</si>
  <si>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</si>
  <si>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</si>
  <si>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</si>
  <si>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</si>
  <si>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</si>
  <si>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</si>
  <si>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</si>
  <si>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PPE</t>
  </si>
  <si>
    <t>GODREJPROP</t>
  </si>
  <si>
    <t>Last 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</si>
  <si>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</si>
  <si>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</si>
  <si>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</si>
  <si>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</si>
  <si>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</si>
  <si>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</si>
  <si>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</si>
  <si>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</si>
  <si>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</si>
  <si>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</si>
  <si>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</si>
  <si>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</si>
  <si>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</si>
  <si>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</si>
  <si>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</si>
  <si>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</si>
  <si>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F-PE</t>
  </si>
  <si>
    <t>YIELD</t>
  </si>
  <si>
    <t>BOOKVALUE</t>
  </si>
  <si>
    <t>PBV</t>
  </si>
  <si>
    <t>Expectation</t>
  </si>
  <si>
    <t>Year</t>
  </si>
  <si>
    <t>FairValue</t>
  </si>
  <si>
    <t>FAIR_PE</t>
  </si>
  <si>
    <t>FAIR_BV</t>
  </si>
  <si>
    <t>TRAIL-EPS</t>
  </si>
  <si>
    <t>fy_2035</t>
  </si>
  <si>
    <t>Q3</t>
  </si>
  <si>
    <t>Q4</t>
  </si>
  <si>
    <t>Q1</t>
  </si>
  <si>
    <t>Q2_FY_25</t>
  </si>
  <si>
    <t>fy_2030</t>
  </si>
  <si>
    <t>fy_2024</t>
  </si>
  <si>
    <t>Current trend</t>
  </si>
  <si>
    <t>9M_FY_24</t>
  </si>
  <si>
    <t>FY_24</t>
  </si>
  <si>
    <t>Q1_FY_25</t>
  </si>
  <si>
    <t>H1_FY_25</t>
  </si>
  <si>
    <t>EST_2025</t>
  </si>
  <si>
    <t>EPS_24</t>
  </si>
  <si>
    <t>T_EPS</t>
  </si>
  <si>
    <t>F_EPS_25</t>
  </si>
  <si>
    <t>TRAI_PEG</t>
  </si>
  <si>
    <t>Estimated</t>
  </si>
  <si>
    <t>MARGIN</t>
  </si>
  <si>
    <t>SALES</t>
  </si>
  <si>
    <t>LongTerm</t>
  </si>
  <si>
    <t>PROFIT</t>
  </si>
  <si>
    <t>PE_24</t>
  </si>
  <si>
    <t>F_PE_25</t>
  </si>
  <si>
    <t>fy_2025</t>
  </si>
  <si>
    <t>BOOKING VALUE</t>
  </si>
  <si>
    <t>Margin</t>
  </si>
  <si>
    <t>HIGH PRICE</t>
  </si>
  <si>
    <t>LOW PRICE</t>
  </si>
  <si>
    <t>HIGH PE</t>
  </si>
  <si>
    <t>LOWPE</t>
  </si>
  <si>
    <t>TOTAL EQ</t>
  </si>
  <si>
    <t>Result</t>
  </si>
  <si>
    <t>H1_FY_24</t>
  </si>
  <si>
    <t>Q2_FY_24</t>
  </si>
  <si>
    <t>Q1_FY_24</t>
  </si>
  <si>
    <t>Last year</t>
  </si>
  <si>
    <t>Booking Value</t>
  </si>
  <si>
    <t>5 Years</t>
  </si>
  <si>
    <t>10 Years</t>
  </si>
  <si>
    <t>Exp</t>
  </si>
  <si>
    <t>15 Years</t>
  </si>
  <si>
    <t>Interest</t>
  </si>
  <si>
    <t>RAWDATA</t>
  </si>
  <si>
    <t>EQUITY</t>
  </si>
  <si>
    <t>Trail_fy_2025</t>
  </si>
  <si>
    <t>fy_2023</t>
  </si>
  <si>
    <t>fy_2022</t>
  </si>
  <si>
    <t>MAJORCOST</t>
  </si>
  <si>
    <t>SHARE</t>
  </si>
  <si>
    <t>Post Covid</t>
  </si>
  <si>
    <t>fy_2021</t>
  </si>
  <si>
    <t>MATERIAL</t>
  </si>
  <si>
    <t>pre_covid</t>
  </si>
  <si>
    <t>fy_2020</t>
  </si>
  <si>
    <t>INVENOTRY</t>
  </si>
  <si>
    <t>fy_2019</t>
  </si>
  <si>
    <t>EMPLOYEE</t>
  </si>
  <si>
    <t>fy_2018</t>
  </si>
  <si>
    <t>FINANCE</t>
  </si>
  <si>
    <t>fy_2017</t>
  </si>
  <si>
    <t>D&amp;A</t>
  </si>
  <si>
    <t>fy_2016</t>
  </si>
  <si>
    <t>OTHER</t>
  </si>
  <si>
    <t>fy_2015</t>
  </si>
  <si>
    <t>STOCK-TRADE</t>
  </si>
  <si>
    <t>split 10 to 5 &amp; right</t>
  </si>
  <si>
    <t>fy_2014</t>
  </si>
  <si>
    <t>TOTAL</t>
  </si>
  <si>
    <t>fy_2013</t>
  </si>
  <si>
    <t>fy_2012</t>
  </si>
  <si>
    <t>SJP</t>
  </si>
  <si>
    <t>fy_2011</t>
  </si>
  <si>
    <t>ENTITY</t>
  </si>
  <si>
    <t>% SHARE</t>
  </si>
  <si>
    <t>IPO</t>
  </si>
  <si>
    <t>fy_2010</t>
  </si>
  <si>
    <t>PROMOTER</t>
  </si>
  <si>
    <t>fy_2009</t>
  </si>
  <si>
    <t>MF &amp; INSURANCE</t>
  </si>
  <si>
    <t>fy_2008</t>
  </si>
  <si>
    <t>FPI</t>
  </si>
  <si>
    <t>fy_2007</t>
  </si>
  <si>
    <t>RETAIL</t>
  </si>
  <si>
    <t>Residential, Commercial Projects</t>
  </si>
  <si>
    <t>Security Code</t>
  </si>
  <si>
    <t>Security Name</t>
  </si>
  <si>
    <t>LTP</t>
  </si>
  <si>
    <t>% Chg</t>
  </si>
  <si>
    <t>Date</t>
  </si>
  <si>
    <t>DLF</t>
  </si>
  <si>
    <t>17 Dec 2024 | 3:14 PM</t>
  </si>
  <si>
    <t>Consolidation leading to higher share of branded players</t>
  </si>
  <si>
    <t>Changing Affordability Index</t>
  </si>
  <si>
    <t>LODHA</t>
  </si>
  <si>
    <t>OBEROIRLTY</t>
  </si>
  <si>
    <t>PRESTIGE</t>
  </si>
  <si>
    <t>PHOENIXLTD</t>
  </si>
  <si>
    <t>BRIGADE</t>
  </si>
  <si>
    <t>ANANTRAJ</t>
  </si>
  <si>
    <t>SIGNATURE</t>
  </si>
  <si>
    <t>SOBHA</t>
  </si>
  <si>
    <t>RAYMOND</t>
  </si>
  <si>
    <t>GANESHHOUC</t>
  </si>
  <si>
    <t>PURVA</t>
  </si>
  <si>
    <t>MAXESTATES</t>
  </si>
  <si>
    <t>DBREALTY</t>
  </si>
  <si>
    <t>PAN INDIA Y-o-Y SUPPLY &amp; ABSORPTION (No. of Units)</t>
  </si>
  <si>
    <t>NATIONSTD</t>
  </si>
  <si>
    <t>17 Dec 2024 | 3:10 PM</t>
  </si>
  <si>
    <t>RUSTOMJEE</t>
  </si>
  <si>
    <t>EMBDL</t>
  </si>
  <si>
    <t>MAHLIFE</t>
  </si>
  <si>
    <t>SUNTECK</t>
  </si>
  <si>
    <t>TARC</t>
  </si>
  <si>
    <t>AJMERA</t>
  </si>
  <si>
    <t>ARVSMART</t>
  </si>
  <si>
    <t>ALEMBICLTD</t>
  </si>
  <si>
    <t>HUBTOWN</t>
  </si>
  <si>
    <t>ASHIANA</t>
  </si>
  <si>
    <t>ARKADE</t>
  </si>
  <si>
    <t>MARATHON</t>
  </si>
  <si>
    <t>INDUSTRY</t>
  </si>
  <si>
    <t>SURAJEST</t>
  </si>
  <si>
    <t>MARKETCAP in Cr</t>
  </si>
  <si>
    <t xml:space="preserve">  </t>
  </si>
  <si>
    <t>SALES_24</t>
  </si>
  <si>
    <t>PROFIT_24</t>
  </si>
  <si>
    <t>KOLTEPATIL</t>
  </si>
  <si>
    <t>UNITECH</t>
  </si>
  <si>
    <t>SBGLP</t>
  </si>
  <si>
    <t>KESAR</t>
  </si>
  <si>
    <t>17 Dec 2024 | 3:08 PM</t>
  </si>
  <si>
    <t>AGIIL</t>
  </si>
  <si>
    <t>OMAXE</t>
  </si>
  <si>
    <t>ELPROINTL</t>
  </si>
  <si>
    <t>SHRIRAMPPS</t>
  </si>
  <si>
    <t>ARIHANTSUP</t>
  </si>
  <si>
    <t>PENINLAND</t>
  </si>
  <si>
    <t>HAZOOR</t>
  </si>
  <si>
    <t>PARSVNATH</t>
  </si>
  <si>
    <t>17 Dec 2024 | 3:11 PM</t>
  </si>
  <si>
    <t>OTHER_128</t>
  </si>
  <si>
    <t>GEECEE</t>
  </si>
  <si>
    <t>RDBRIL</t>
  </si>
  <si>
    <t>ELDEHSG</t>
  </si>
  <si>
    <t>ARIHANT</t>
  </si>
  <si>
    <t>MIIL</t>
  </si>
  <si>
    <t>17 Dec 2024 | 3:09 PM</t>
  </si>
  <si>
    <t>HAMPTON</t>
  </si>
  <si>
    <t>CCCL</t>
  </si>
  <si>
    <t>PVP</t>
  </si>
  <si>
    <t>NILASPACES</t>
  </si>
  <si>
    <t>KBCGLOBAL</t>
  </si>
  <si>
    <t>NILAINFRA</t>
  </si>
  <si>
    <t>MODIS</t>
  </si>
  <si>
    <t>RVHL</t>
  </si>
  <si>
    <t>17 Dec 2024 | 2:32 PM</t>
  </si>
  <si>
    <t>BRRL</t>
  </si>
  <si>
    <t>17 Dec 2024 | 3:07 PM</t>
  </si>
  <si>
    <t>SHRADDHA</t>
  </si>
  <si>
    <t>BARODARY</t>
  </si>
  <si>
    <t>VIPULLTD</t>
  </si>
  <si>
    <t>PROZONER</t>
  </si>
  <si>
    <t>SUPREME</t>
  </si>
  <si>
    <t>AMJLAND</t>
  </si>
  <si>
    <t>NIMBSPROJ</t>
  </si>
  <si>
    <t>GENCON</t>
  </si>
  <si>
    <t>LANCORHOL</t>
  </si>
  <si>
    <t>VGIL</t>
  </si>
  <si>
    <t>SVGLOBAL</t>
  </si>
  <si>
    <t>PRAENG</t>
  </si>
  <si>
    <t>17 Dec 2024 | 3:13 PM</t>
  </si>
  <si>
    <t>ALPINEHOU</t>
  </si>
  <si>
    <t>HBESD</t>
  </si>
  <si>
    <t>SALES_6Y_GR</t>
  </si>
  <si>
    <t>H1_FY25_SALES</t>
  </si>
  <si>
    <t>ATALREAL</t>
  </si>
  <si>
    <t>HDIL</t>
  </si>
  <si>
    <t>RATNABHUMI</t>
  </si>
  <si>
    <t>17 Dec 2024 | 3:00 PM</t>
  </si>
  <si>
    <t>THAKDEV</t>
  </si>
  <si>
    <t>RAJABAH</t>
  </si>
  <si>
    <t>SAMOR</t>
  </si>
  <si>
    <t>MANAS</t>
  </si>
  <si>
    <t>02 Feb 2024 | 4:00 PM</t>
  </si>
  <si>
    <t>RADHEDE</t>
  </si>
  <si>
    <t>RAINBOWF</t>
  </si>
  <si>
    <t>SHERVANI</t>
  </si>
  <si>
    <t>17 Dec 2024 | 3:12 PM</t>
  </si>
  <si>
    <t>SHRIKRISH</t>
  </si>
  <si>
    <t>17 Dec 2024 | 2:48 PM</t>
  </si>
  <si>
    <t>ANSALBU</t>
  </si>
  <si>
    <t>PRERINFRA</t>
  </si>
  <si>
    <t>TRESCON</t>
  </si>
  <si>
    <t>ANSALHSG</t>
  </si>
  <si>
    <t>JAMSHRI</t>
  </si>
  <si>
    <t>VIRYA</t>
  </si>
  <si>
    <t>10 Dec 2024 | 4:00 PM</t>
  </si>
  <si>
    <t>SHRISTI</t>
  </si>
  <si>
    <t>LUHARUKA</t>
  </si>
  <si>
    <t>VICTMILL</t>
  </si>
  <si>
    <t>SKYLMILAR</t>
  </si>
  <si>
    <t>SAMINDUS</t>
  </si>
  <si>
    <t>17 Dec 2024 | 3:01 PM</t>
  </si>
  <si>
    <t>SKIFL</t>
  </si>
  <si>
    <t>12 Dec 2024 | 4:00 PM</t>
  </si>
  <si>
    <t>KRISHNA</t>
  </si>
  <si>
    <t>GOLDENTOBC</t>
  </si>
  <si>
    <t>17 Dec 2024 | 3:06 PM</t>
  </si>
  <si>
    <t>KRETTOSYS</t>
  </si>
  <si>
    <t>GROVY</t>
  </si>
  <si>
    <t>SIMPLXREA</t>
  </si>
  <si>
    <t>MODIPON</t>
  </si>
  <si>
    <t>VIVIDM</t>
  </si>
  <si>
    <t>PRIMEPRO</t>
  </si>
  <si>
    <t>CITADEL</t>
  </si>
  <si>
    <t>17 Dec 2024 | 3:04 PM</t>
  </si>
  <si>
    <t>TIRSARJ</t>
  </si>
  <si>
    <t>SISL</t>
  </si>
  <si>
    <t>05 Dec 2024 | 4:00 PM</t>
  </si>
  <si>
    <t>COUNCODOS</t>
  </si>
  <si>
    <t>RODIUM</t>
  </si>
  <si>
    <t>GARNET</t>
  </si>
  <si>
    <t>BHUDEVI</t>
  </si>
  <si>
    <t>MPDL</t>
  </si>
  <si>
    <t>MARBU</t>
  </si>
  <si>
    <t>SWANENERGY</t>
  </si>
  <si>
    <t>MAXHEIGHTS</t>
  </si>
  <si>
    <t>MANJEERA</t>
  </si>
  <si>
    <t>17 Dec 2024 | 2:26 PM</t>
  </si>
  <si>
    <t>JETSOLAR</t>
  </si>
  <si>
    <t>17 Dec 2024 | 2:43 PM</t>
  </si>
  <si>
    <t>PRIMEURB</t>
  </si>
  <si>
    <t>SSPDL</t>
  </si>
  <si>
    <t>RAGHUTOB</t>
  </si>
  <si>
    <t>NARPROP</t>
  </si>
  <si>
    <t>STLSTRINF</t>
  </si>
  <si>
    <t>IITLPROJ</t>
  </si>
  <si>
    <t>BHANDERI</t>
  </si>
  <si>
    <t>21 Oct 2024 | 4:00 PM</t>
  </si>
  <si>
    <t>KAMANWALA</t>
  </si>
  <si>
    <t>PARSHWANA</t>
  </si>
  <si>
    <t>CROISSANCE</t>
  </si>
  <si>
    <t>SICL</t>
  </si>
  <si>
    <t>16 Sep 2024 | 4:00 PM</t>
  </si>
  <si>
    <t>ADHBHUTIN</t>
  </si>
  <si>
    <t>SVS</t>
  </si>
  <si>
    <t>ETT</t>
  </si>
  <si>
    <t>CRANEINFRA</t>
  </si>
  <si>
    <t>RJSHAH</t>
  </si>
  <si>
    <t>SEL</t>
  </si>
  <si>
    <t>GALLOPENT</t>
  </si>
  <si>
    <t>UTLINDS</t>
  </si>
  <si>
    <t>MOUNT</t>
  </si>
  <si>
    <t>23 Sep 2024 | 4:00 PM</t>
  </si>
  <si>
    <t>MNIL</t>
  </si>
  <si>
    <t>Margin_H1_Fy25</t>
  </si>
  <si>
    <t>Margin_H1_Fy24</t>
  </si>
  <si>
    <t>Change %</t>
  </si>
  <si>
    <t>TR.DAYS</t>
  </si>
  <si>
    <t>CUR. RATIO</t>
  </si>
  <si>
    <t>VASINFRA</t>
  </si>
  <si>
    <t>ATHCON</t>
  </si>
  <si>
    <t>17 Dec 2024 | 2:55 PM</t>
  </si>
  <si>
    <t>SIKOZY</t>
  </si>
  <si>
    <t>PATIDAR</t>
  </si>
  <si>
    <t>RAJINFRA</t>
  </si>
  <si>
    <t>CMP</t>
  </si>
  <si>
    <t>market cap</t>
  </si>
  <si>
    <t>CUR ASSET</t>
  </si>
  <si>
    <t>CUR LIABILITY</t>
  </si>
  <si>
    <t>TOT. ASSET</t>
  </si>
  <si>
    <t>TOT. LIABILITY</t>
  </si>
  <si>
    <t>TOT. EQUITY</t>
  </si>
  <si>
    <t>BORROWING</t>
  </si>
  <si>
    <t xml:space="preserve">TRADE REC. </t>
  </si>
  <si>
    <t>NPA in % (For banks only)</t>
  </si>
  <si>
    <t>TRAIL_EPS</t>
  </si>
  <si>
    <t>Companies weightage</t>
  </si>
  <si>
    <t>SALES_FY18</t>
  </si>
  <si>
    <t>SALES_FY24</t>
  </si>
  <si>
    <t>PROFIT_23</t>
  </si>
  <si>
    <t>9M_FY24_SALES</t>
  </si>
  <si>
    <t>9M_FY23_SALES</t>
  </si>
  <si>
    <t>9M_FY24_PROFIT</t>
  </si>
  <si>
    <t>9M_FY23_PROFIT</t>
  </si>
  <si>
    <t>EXPENSE</t>
  </si>
  <si>
    <t>CY_SALES GR</t>
  </si>
  <si>
    <t>CY_PRPFIT_GR</t>
  </si>
  <si>
    <t>MARGIN %</t>
  </si>
  <si>
    <t>CY_MARGIN</t>
  </si>
  <si>
    <t>TRAIL_PE</t>
  </si>
  <si>
    <t>This amount is not included in Sales</t>
  </si>
  <si>
    <t>*Unwinding of Financial Assets</t>
  </si>
  <si>
    <t>IBREALEST</t>
  </si>
  <si>
    <t>*Gain on Divestment of subsidiaries</t>
  </si>
  <si>
    <t>HEMIPROP</t>
  </si>
  <si>
    <t>ASL</t>
  </si>
  <si>
    <t>BLAL</t>
  </si>
  <si>
    <t>EMAMIREAL</t>
  </si>
  <si>
    <t>NILA</t>
  </si>
  <si>
    <t>CINELINE</t>
  </si>
  <si>
    <t>VIPUL</t>
  </si>
  <si>
    <t>MRO-TEK</t>
  </si>
  <si>
    <t>COROENGG</t>
  </si>
  <si>
    <t>LPDC</t>
  </si>
  <si>
    <t>BSELALGO</t>
  </si>
  <si>
    <t>SATCH</t>
  </si>
  <si>
    <t>PODDAR</t>
  </si>
  <si>
    <t>TECHIN</t>
  </si>
  <si>
    <t>JETINFRA</t>
  </si>
  <si>
    <t>NEOINFRA</t>
  </si>
  <si>
    <t>MAHESH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</si>
</sst>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FFFFFF"/>
      <name val="Calibri"/>
    </font>
    <font>
      <sz val="11"/>
      <color theme="1"/>
      <name val="Arial"/>
    </font>
    <font>
      <i/>
      <sz val="11"/>
      <color theme="1"/>
      <name val="Calibri"/>
    </font>
    <font>
      <b/>
      <sz val="12"/>
      <color theme="1"/>
      <name val="Calibri"/>
    </font>
    <font>
      <b/>
      <sz val="12"/>
      <color theme="1"/>
      <name val="Arial"/>
    </font>
    <font>
      <sz val="20"/>
      <color theme="1"/>
      <name val="Calibri"/>
    </font>
    <font>
      <i/>
      <sz val="12"/>
      <color theme="1"/>
      <name val="Arial"/>
    </font>
    <font>
      <sz val="11"/>
      <name val="Arial"/>
    </font>
    <font>
      <sz val="12"/>
      <color theme="1"/>
      <name val="Calibri"/>
      <scheme val="minor"/>
    </font>
    <font>
      <b/>
      <i/>
      <u/>
      <sz val="11"/>
      <color theme="1"/>
      <name val="Arial"/>
    </font>
    <font>
      <sz val="25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b/>
      <sz val="11"/>
      <color theme="1"/>
      <name val="Arial"/>
    </font>
  </fonts>
  <fills count="16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B7B7B7"/>
        <bgColor rgb="FFB7B7B7"/>
      </patternFill>
    </fill>
    <fill>
      <patternFill patternType="solid">
        <fgColor rgb="FFA6BFDD"/>
        <bgColor rgb="FFA6BFDD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57BB8A"/>
        <bgColor rgb="FF57BB8A"/>
      </patternFill>
    </fill>
    <fill>
      <patternFill patternType="solid">
        <fgColor rgb="FF8DD1B0"/>
        <bgColor rgb="FF8DD1B0"/>
      </patternFill>
    </fill>
    <fill>
      <patternFill patternType="solid">
        <fgColor rgb="FFB9E3CF"/>
        <bgColor rgb="FFB9E3CF"/>
      </patternFill>
    </fill>
    <fill>
      <patternFill patternType="solid">
        <fgColor rgb="FFBEE5D2"/>
        <bgColor rgb="FFBEE5D2"/>
      </patternFill>
    </fill>
    <fill>
      <patternFill patternType="solid">
        <fgColor rgb="FFC0E6D4"/>
        <bgColor rgb="FFC0E6D4"/>
      </patternFill>
    </fill>
    <fill>
      <patternFill patternType="solid">
        <fgColor rgb="FFD0ECDE"/>
        <bgColor rgb="FFD0ECDE"/>
      </patternFill>
    </fill>
    <fill>
      <patternFill patternType="solid">
        <fgColor rgb="FFE7F6EF"/>
        <bgColor rgb="FFE7F6EF"/>
      </patternFill>
    </fill>
    <fill>
      <patternFill patternType="solid">
        <fgColor rgb="FFEAF7F1"/>
        <bgColor rgb="FFEAF7F1"/>
      </patternFill>
    </fill>
    <fill>
      <patternFill patternType="solid">
        <fgColor rgb="FFF2FAF6"/>
        <bgColor rgb="FFF2FAF6"/>
      </patternFill>
    </fill>
    <fill>
      <patternFill patternType="solid">
        <fgColor rgb="FFF3FAF7"/>
        <bgColor rgb="FFF3FAF7"/>
      </patternFill>
    </fill>
    <fill>
      <patternFill patternType="solid">
        <fgColor rgb="FFF7FCF9"/>
        <bgColor rgb="FFF7FCF9"/>
      </patternFill>
    </fill>
    <fill>
      <patternFill patternType="solid">
        <fgColor rgb="FFF8FCFA"/>
        <bgColor rgb="FFF8FCFA"/>
      </patternFill>
    </fill>
    <fill>
      <patternFill patternType="solid">
        <fgColor rgb="FFF9FDFB"/>
        <bgColor rgb="FFF9FDFB"/>
      </patternFill>
    </fill>
    <fill>
      <patternFill patternType="solid">
        <fgColor rgb="FFFAFDFC"/>
        <bgColor rgb="FFFAFDFC"/>
      </patternFill>
    </fill>
    <fill>
      <patternFill patternType="solid">
        <fgColor rgb="FFFCFEFD"/>
        <bgColor rgb="FFFCFEFD"/>
      </patternFill>
    </fill>
    <fill>
      <patternFill patternType="solid">
        <fgColor rgb="FFFDFEFE"/>
        <bgColor rgb="FFFDFEFE"/>
      </patternFill>
    </fill>
    <fill>
      <patternFill patternType="solid">
        <fgColor rgb="FFFDFFFE"/>
        <bgColor rgb="FFFDFFFE"/>
      </patternFill>
    </fill>
    <fill>
      <patternFill patternType="solid">
        <fgColor rgb="FFFEFFFE"/>
        <bgColor rgb="FFFEFFFE"/>
      </patternFill>
    </fill>
    <fill>
      <patternFill patternType="solid">
        <fgColor rgb="FFB8E2CE"/>
        <bgColor rgb="FFB8E2CE"/>
      </patternFill>
    </fill>
    <fill>
      <patternFill patternType="solid">
        <fgColor rgb="FF7ECBA6"/>
        <bgColor rgb="FF7ECBA6"/>
      </patternFill>
    </fill>
    <fill>
      <patternFill patternType="solid">
        <fgColor rgb="FF99D6B8"/>
        <bgColor rgb="FF99D6B8"/>
      </patternFill>
    </fill>
    <fill>
      <patternFill patternType="solid">
        <fgColor rgb="FFD6EFE3"/>
        <bgColor rgb="FFD6EFE3"/>
      </patternFill>
    </fill>
    <fill>
      <patternFill patternType="solid">
        <fgColor rgb="FFD9F0E5"/>
        <bgColor rgb="FFD9F0E5"/>
      </patternFill>
    </fill>
    <fill>
      <patternFill patternType="solid">
        <fgColor rgb="FFE1F3EA"/>
        <bgColor rgb="FFE1F3EA"/>
      </patternFill>
    </fill>
    <fill>
      <patternFill patternType="solid">
        <fgColor rgb="FFFEFFFF"/>
        <bgColor rgb="FFFEFFFF"/>
      </patternFill>
    </fill>
    <fill>
      <patternFill patternType="solid">
        <fgColor rgb="FFF6D0CD"/>
        <bgColor rgb="FFF6D0CD"/>
      </patternFill>
    </fill>
    <fill>
      <patternFill patternType="solid">
        <fgColor rgb="FFF1B9B4"/>
        <bgColor rgb="FFF1B9B4"/>
      </patternFill>
    </fill>
    <fill>
      <patternFill patternType="solid">
        <fgColor rgb="FFF3C0BC"/>
        <bgColor rgb="FFF3C0BC"/>
      </patternFill>
    </fill>
    <fill>
      <patternFill patternType="solid">
        <fgColor rgb="FFE67C73"/>
        <bgColor rgb="FFE67C73"/>
      </patternFill>
    </fill>
    <fill>
      <patternFill patternType="solid">
        <fgColor rgb="FFE98D85"/>
        <bgColor rgb="FFE98D85"/>
      </patternFill>
    </fill>
    <fill>
      <patternFill patternType="solid">
        <fgColor rgb="FFF4CAC6"/>
        <bgColor rgb="FFF4CAC6"/>
      </patternFill>
    </fill>
    <fill>
      <patternFill patternType="solid">
        <fgColor rgb="FFFEFAF9"/>
        <bgColor rgb="FFFEFAF9"/>
      </patternFill>
    </fill>
    <fill>
      <patternFill patternType="solid">
        <fgColor rgb="FFFAE9E8"/>
        <bgColor rgb="FFFAE9E8"/>
      </patternFill>
    </fill>
    <fill>
      <patternFill patternType="solid">
        <fgColor rgb="FFFAE7E6"/>
        <bgColor rgb="FFFAE7E6"/>
      </patternFill>
    </fill>
    <fill>
      <patternFill patternType="solid">
        <fgColor rgb="FFF9E1DF"/>
        <bgColor rgb="FFF9E1DF"/>
      </patternFill>
    </fill>
    <fill>
      <patternFill patternType="solid">
        <fgColor rgb="FFF8DFDD"/>
        <bgColor rgb="FFF8DFDD"/>
      </patternFill>
    </fill>
    <fill>
      <patternFill patternType="solid">
        <fgColor rgb="FFF7D6D4"/>
        <bgColor rgb="FFF7D6D4"/>
      </patternFill>
    </fill>
    <fill>
      <patternFill patternType="solid">
        <fgColor rgb="FFEDA19A"/>
        <bgColor rgb="FFEDA19A"/>
      </patternFill>
    </fill>
    <fill>
      <patternFill patternType="solid">
        <fgColor rgb="FFF8DEDC"/>
        <bgColor rgb="FFF8DEDC"/>
      </patternFill>
    </fill>
    <fill>
      <patternFill patternType="solid">
        <fgColor rgb="FFF7D5D2"/>
        <bgColor rgb="FFF7D5D2"/>
      </patternFill>
    </fill>
    <fill>
      <patternFill patternType="solid">
        <fgColor rgb="FFEDF8F3"/>
        <bgColor rgb="FFEDF8F3"/>
      </patternFill>
    </fill>
    <fill>
      <patternFill patternType="solid">
        <fgColor rgb="FFFAE9E7"/>
        <bgColor rgb="FFFAE9E7"/>
      </patternFill>
    </fill>
    <fill>
      <patternFill patternType="solid">
        <fgColor rgb="FFEDF8F2"/>
        <bgColor rgb="FFEDF8F2"/>
      </patternFill>
    </fill>
    <fill>
      <patternFill patternType="solid">
        <fgColor rgb="FFF6D1CD"/>
        <bgColor rgb="FFF6D1CD"/>
      </patternFill>
    </fill>
    <fill>
      <patternFill patternType="solid">
        <fgColor rgb="FFBCE4D1"/>
        <bgColor rgb="FFBCE4D1"/>
      </patternFill>
    </fill>
    <fill>
      <patternFill patternType="solid">
        <fgColor rgb="FFF4C9C6"/>
        <bgColor rgb="FFF4C9C6"/>
      </patternFill>
    </fill>
    <fill>
      <patternFill patternType="solid">
        <fgColor rgb="FFA1D9BE"/>
        <bgColor rgb="FFA1D9BE"/>
      </patternFill>
    </fill>
    <fill>
      <patternFill patternType="solid">
        <fgColor rgb="FFEDA59F"/>
        <bgColor rgb="FFEDA59F"/>
      </patternFill>
    </fill>
    <fill>
      <patternFill patternType="solid">
        <fgColor rgb="FFF5CBC8"/>
        <bgColor rgb="FFF5CBC8"/>
      </patternFill>
    </fill>
    <fill>
      <patternFill patternType="solid">
        <fgColor rgb="FFEFB0AA"/>
        <bgColor rgb="FFEFB0AA"/>
      </patternFill>
    </fill>
    <fill>
      <patternFill patternType="solid">
        <fgColor rgb="FFEEA7A1"/>
        <bgColor rgb="FFEEA7A1"/>
      </patternFill>
    </fill>
    <fill>
      <patternFill patternType="solid">
        <fgColor rgb="FFF4C6C2"/>
        <bgColor rgb="FFF4C6C2"/>
      </patternFill>
    </fill>
    <fill>
      <patternFill patternType="solid">
        <fgColor rgb="FFC4E7D6"/>
        <bgColor rgb="FFC4E7D6"/>
      </patternFill>
    </fill>
    <fill>
      <patternFill patternType="solid">
        <fgColor rgb="FFF2BEBA"/>
        <bgColor rgb="FFF2BEBA"/>
      </patternFill>
    </fill>
    <fill>
      <patternFill patternType="solid">
        <fgColor rgb="FFF2BBB7"/>
        <bgColor rgb="FFF2BBB7"/>
      </patternFill>
    </fill>
    <fill>
      <patternFill patternType="solid">
        <fgColor rgb="FFF1B7B2"/>
        <bgColor rgb="FFF1B7B2"/>
      </patternFill>
    </fill>
    <fill>
      <patternFill patternType="solid">
        <fgColor rgb="FFD3EDE0"/>
        <bgColor rgb="FFD3EDE0"/>
      </patternFill>
    </fill>
    <fill>
      <patternFill patternType="solid">
        <fgColor rgb="FFF1B6B1"/>
        <bgColor rgb="FFF1B6B1"/>
      </patternFill>
    </fill>
    <fill>
      <patternFill patternType="solid">
        <fgColor rgb="FFF0B5AF"/>
        <bgColor rgb="FFF0B5AF"/>
      </patternFill>
    </fill>
    <fill>
      <patternFill patternType="solid">
        <fgColor rgb="FFF0B0AB"/>
        <bgColor rgb="FFF0B0AB"/>
      </patternFill>
    </fill>
    <fill>
      <patternFill patternType="solid">
        <fgColor rgb="FFEFAFA9"/>
        <bgColor rgb="FFEFAFA9"/>
      </patternFill>
    </fill>
    <fill>
      <patternFill patternType="solid">
        <fgColor rgb="FFEFACA6"/>
        <bgColor rgb="FFEFACA6"/>
      </patternFill>
    </fill>
    <fill>
      <patternFill patternType="solid">
        <fgColor rgb="FFEEAAA5"/>
        <bgColor rgb="FFEEAAA5"/>
      </patternFill>
    </fill>
    <fill>
      <patternFill patternType="solid">
        <fgColor rgb="FFEEA8A2"/>
        <bgColor rgb="FFEEA8A2"/>
      </patternFill>
    </fill>
    <fill>
      <patternFill patternType="solid">
        <fgColor rgb="FFEDA29C"/>
        <bgColor rgb="FFEDA29C"/>
      </patternFill>
    </fill>
    <fill>
      <patternFill patternType="solid">
        <fgColor rgb="FFEDA39C"/>
        <bgColor rgb="FFEDA39C"/>
      </patternFill>
    </fill>
    <fill>
      <patternFill patternType="solid">
        <fgColor rgb="FFEC9E98"/>
        <bgColor rgb="FFEC9E98"/>
      </patternFill>
    </fill>
    <fill>
      <patternFill patternType="solid">
        <fgColor rgb="FFEC9F98"/>
        <bgColor rgb="FFEC9F98"/>
      </patternFill>
    </fill>
    <fill>
      <patternFill patternType="solid">
        <fgColor rgb="FFEC9D97"/>
        <bgColor rgb="FFEC9D97"/>
      </patternFill>
    </fill>
    <fill>
      <patternFill patternType="solid">
        <fgColor rgb="FFEC9E97"/>
        <bgColor rgb="FFEC9E97"/>
      </patternFill>
    </fill>
    <fill>
      <patternFill patternType="solid">
        <fgColor rgb="FFEC9B95"/>
        <bgColor rgb="FFEC9B95"/>
      </patternFill>
    </fill>
    <fill>
      <patternFill patternType="solid">
        <fgColor rgb="FFEB9993"/>
        <bgColor rgb="FFEB9993"/>
      </patternFill>
    </fill>
    <fill>
      <patternFill patternType="solid">
        <fgColor rgb="FFEB9891"/>
        <bgColor rgb="FFEB9891"/>
      </patternFill>
    </fill>
    <fill>
      <patternFill patternType="solid">
        <fgColor rgb="FFEB9992"/>
        <bgColor rgb="FFEB9992"/>
      </patternFill>
    </fill>
    <fill>
      <patternFill patternType="solid">
        <fgColor rgb="FFEB9790"/>
        <bgColor rgb="FFEB9790"/>
      </patternFill>
    </fill>
    <fill>
      <patternFill patternType="solid">
        <fgColor rgb="FFE3F4EB"/>
        <bgColor rgb="FFE3F4EB"/>
      </patternFill>
    </fill>
    <fill>
      <patternFill patternType="solid">
        <fgColor rgb="FF5EBC89"/>
        <bgColor rgb="FF5EBC89"/>
      </patternFill>
    </fill>
    <fill>
      <patternFill patternType="solid">
        <fgColor rgb="FFEA958E"/>
        <bgColor rgb="FFEA958E"/>
      </patternFill>
    </fill>
    <fill>
      <patternFill patternType="solid">
        <fgColor rgb="FFFED366"/>
        <bgColor rgb="FFFED366"/>
      </patternFill>
    </fill>
    <fill>
      <patternFill patternType="solid">
        <fgColor rgb="FFE8F6EF"/>
        <bgColor rgb="FFE8F6EF"/>
      </patternFill>
    </fill>
    <fill>
      <patternFill patternType="solid">
        <fgColor rgb="FFFDCE67"/>
        <bgColor rgb="FFFDCE67"/>
      </patternFill>
    </fill>
    <fill>
      <patternFill patternType="solid">
        <fgColor rgb="FFEA948D"/>
        <bgColor rgb="FFEA948D"/>
      </patternFill>
    </fill>
    <fill>
      <patternFill patternType="solid">
        <fgColor rgb="FFF8BD69"/>
        <bgColor rgb="FFF8BD69"/>
      </patternFill>
    </fill>
    <fill>
      <patternFill patternType="solid">
        <fgColor rgb="FFAEDEC6"/>
        <bgColor rgb="FFAEDEC6"/>
      </patternFill>
    </fill>
    <fill>
      <patternFill patternType="solid">
        <fgColor rgb="FFFED066"/>
        <bgColor rgb="FFFED066"/>
      </patternFill>
    </fill>
    <fill>
      <patternFill patternType="solid">
        <fgColor rgb="FFEA948C"/>
        <bgColor rgb="FFEA948C"/>
      </patternFill>
    </fill>
    <fill>
      <patternFill patternType="solid">
        <fgColor rgb="FF73BF84"/>
        <bgColor rgb="FF73BF84"/>
      </patternFill>
    </fill>
    <fill>
      <patternFill patternType="solid">
        <fgColor rgb="FF77C8A1"/>
        <bgColor rgb="FF77C8A1"/>
      </patternFill>
    </fill>
    <fill>
      <patternFill patternType="solid">
        <fgColor rgb="FFB3C977"/>
        <bgColor rgb="FFB3C977"/>
      </patternFill>
    </fill>
    <fill>
      <patternFill patternType="solid">
        <fgColor rgb="FFE88B83"/>
        <bgColor rgb="FFE88B83"/>
      </patternFill>
    </fill>
    <fill>
      <patternFill patternType="solid">
        <fgColor rgb="FF75BF84"/>
        <bgColor rgb="FF75BF84"/>
      </patternFill>
    </fill>
    <fill>
      <patternFill patternType="solid">
        <fgColor rgb="FFEA938C"/>
        <bgColor rgb="FFEA938C"/>
      </patternFill>
    </fill>
    <fill>
      <patternFill patternType="solid">
        <fgColor rgb="FFFFD666"/>
        <bgColor rgb="FFFFD666"/>
      </patternFill>
    </fill>
    <fill>
      <patternFill patternType="solid">
        <fgColor rgb="FFF9BE69"/>
        <bgColor rgb="FFF9BE69"/>
      </patternFill>
    </fill>
    <fill>
      <patternFill patternType="solid">
        <fgColor rgb="FFEA928A"/>
        <bgColor rgb="FFEA928A"/>
      </patternFill>
    </fill>
    <fill>
      <patternFill patternType="solid">
        <fgColor rgb="FFF8BB69"/>
        <bgColor rgb="FFF8BB69"/>
      </patternFill>
    </fill>
    <fill>
      <patternFill patternType="solid">
        <fgColor rgb="FFF1A36D"/>
        <bgColor rgb="FFF1A36D"/>
      </patternFill>
    </fill>
    <fill>
      <patternFill patternType="solid">
        <fgColor rgb="FFE99089"/>
        <bgColor rgb="FFE99089"/>
      </patternFill>
    </fill>
    <fill>
      <patternFill patternType="solid">
        <fgColor rgb="FFB5CA76"/>
        <bgColor rgb="FFB5CA76"/>
      </patternFill>
    </fill>
    <fill>
      <patternFill patternType="solid">
        <fgColor rgb="FFEDD36A"/>
        <bgColor rgb="FFEDD36A"/>
      </patternFill>
    </fill>
    <fill>
      <patternFill patternType="solid">
        <fgColor rgb="FFE98F88"/>
        <bgColor rgb="FFE98F88"/>
      </patternFill>
    </fill>
    <fill>
      <patternFill patternType="solid">
        <fgColor rgb="FFFED266"/>
        <bgColor rgb="FFFED266"/>
      </patternFill>
    </fill>
    <fill>
      <patternFill patternType="solid">
        <fgColor rgb="FFF1A26D"/>
        <bgColor rgb="FFF1A26D"/>
      </patternFill>
    </fill>
    <fill>
      <patternFill patternType="solid">
        <fgColor rgb="FFE98C84"/>
        <bgColor rgb="FFE98C84"/>
      </patternFill>
    </fill>
    <fill>
      <patternFill patternType="solid">
        <fgColor rgb="FFAAC879"/>
        <bgColor rgb="FFAAC879"/>
      </patternFill>
    </fill>
    <fill>
      <patternFill patternType="solid">
        <fgColor rgb="FFF9E2E0"/>
        <bgColor rgb="FFF9E2E0"/>
      </patternFill>
    </fill>
    <fill>
      <patternFill patternType="solid">
        <fgColor rgb="FFF5D468"/>
        <bgColor rgb="FFF5D468"/>
      </patternFill>
    </fill>
    <fill>
      <patternFill patternType="solid">
        <fgColor rgb="FFE88A82"/>
        <bgColor rgb="FFE88A82"/>
      </patternFill>
    </fill>
    <fill>
      <patternFill patternType="solid">
        <fgColor rgb="FF64BD88"/>
        <bgColor rgb="FF64BD88"/>
      </patternFill>
    </fill>
    <fill>
      <patternFill patternType="solid">
        <fgColor rgb="FFE88981"/>
        <bgColor rgb="FFE88981"/>
      </patternFill>
    </fill>
    <fill>
      <patternFill patternType="solid">
        <fgColor rgb="FFE88880"/>
        <bgColor rgb="FFE88880"/>
      </patternFill>
    </fill>
    <fill>
      <patternFill patternType="solid">
        <fgColor rgb="FFE8887F"/>
        <bgColor rgb="FFE8887F"/>
      </patternFill>
    </fill>
    <fill>
      <patternFill patternType="solid">
        <fgColor rgb="FFE8877E"/>
        <bgColor rgb="FFE8877E"/>
      </patternFill>
    </fill>
    <fill>
      <patternFill patternType="solid">
        <fgColor rgb="FFE8877F"/>
        <bgColor rgb="FFE8877F"/>
      </patternFill>
    </fill>
    <fill>
      <patternFill patternType="solid">
        <fgColor rgb="FFE7867E"/>
        <bgColor rgb="FFE7867E"/>
      </patternFill>
    </fill>
    <fill>
      <patternFill patternType="solid">
        <fgColor rgb="FFE7857D"/>
        <bgColor rgb="FFE7857D"/>
      </patternFill>
    </fill>
    <fill>
      <patternFill patternType="solid">
        <fgColor rgb="FFE8867E"/>
        <bgColor rgb="FFE8867E"/>
      </patternFill>
    </fill>
    <fill>
      <patternFill patternType="solid">
        <fgColor rgb="FFE7837A"/>
        <bgColor rgb="FFE7837A"/>
      </patternFill>
    </fill>
    <fill>
      <patternFill patternType="solid">
        <fgColor rgb="FFE78279"/>
        <bgColor rgb="FFE78279"/>
      </patternFill>
    </fill>
    <fill>
      <patternFill patternType="solid">
        <fgColor rgb="FFE78178"/>
        <bgColor rgb="FFE78178"/>
      </patternFill>
    </fill>
    <fill>
      <patternFill patternType="solid">
        <fgColor rgb="FFE68077"/>
        <bgColor rgb="FFE68077"/>
      </patternFill>
    </fill>
    <fill>
      <patternFill patternType="solid">
        <fgColor rgb="FFE67F76"/>
        <bgColor rgb="FFE67F76"/>
      </patternFill>
    </fill>
    <fill>
      <patternFill patternType="solid">
        <fgColor rgb="FFE67E75"/>
        <bgColor rgb="FFE67E75"/>
      </patternFill>
    </fill>
    <fill>
      <patternFill patternType="solid">
        <fgColor rgb="FFF4D469"/>
        <bgColor rgb="FFF4D469"/>
      </patternFill>
    </fill>
    <fill>
      <patternFill patternType="solid">
        <fgColor rgb="FFE67D74"/>
        <bgColor rgb="FFE67D74"/>
      </patternFill>
    </fill>
    <fill>
      <patternFill patternType="solid">
        <fgColor rgb="FFF0F9F5"/>
        <bgColor rgb="FFF0F9F5"/>
      </patternFill>
    </fill>
    <fill>
      <patternFill patternType="solid">
        <fgColor rgb="FFC9CD72"/>
        <bgColor rgb="FFC9CD72"/>
      </patternFill>
    </fill>
    <fill>
      <patternFill patternType="solid">
        <fgColor rgb="FFD4EEE1"/>
        <bgColor rgb="FFD4EEE1"/>
      </patternFill>
    </fill>
    <fill>
      <patternFill patternType="solid">
        <fgColor rgb="FF70C59C"/>
        <bgColor rgb="FF70C59C"/>
      </patternFill>
    </fill>
    <fill>
      <patternFill patternType="solid">
        <fgColor rgb="FFF7FCFA"/>
        <bgColor rgb="FFF7FCFA"/>
      </patternFill>
    </fill>
    <fill>
      <patternFill patternType="solid">
        <fgColor rgb="FF9FD9BC"/>
        <bgColor rgb="FF9FD9BC"/>
      </patternFill>
    </fill>
    <fill>
      <patternFill patternType="solid">
        <fgColor rgb="FF78C9A1"/>
        <bgColor rgb="FF78C9A1"/>
      </patternFill>
    </fill>
    <fill>
      <patternFill patternType="solid">
        <fgColor rgb="FFE4F4EC"/>
        <bgColor rgb="FFE4F4EC"/>
      </patternFill>
    </fill>
    <fill>
      <patternFill patternType="solid">
        <fgColor rgb="FF72C69D"/>
        <bgColor rgb="FF72C69D"/>
      </patternFill>
    </fill>
    <fill>
      <patternFill patternType="solid">
        <fgColor rgb="FFE7867D"/>
        <bgColor rgb="FFE7867D"/>
      </patternFill>
    </fill>
    <fill>
      <patternFill patternType="solid">
        <fgColor rgb="FFFEFAFA"/>
        <bgColor rgb="FFFEFAFA"/>
      </patternFill>
    </fill>
    <fill>
      <patternFill patternType="solid">
        <fgColor rgb="FFEBD26B"/>
        <bgColor rgb="FFEBD26B"/>
      </patternFill>
    </fill>
    <fill>
      <patternFill patternType="solid">
        <fgColor rgb="FFEDA49E"/>
        <bgColor rgb="FFEDA49E"/>
      </patternFill>
    </fill>
    <fill>
      <patternFill patternType="solid">
        <fgColor rgb="FFFFD566"/>
        <bgColor rgb="FFFFD566"/>
      </patternFill>
    </fill>
    <fill>
      <patternFill patternType="solid">
        <fgColor rgb="FFF3C1BC"/>
        <bgColor rgb="FFF3C1BC"/>
      </patternFill>
    </fill>
    <fill>
      <patternFill patternType="solid">
        <fgColor rgb="FFFCF4F3"/>
        <bgColor rgb="FFFCF4F3"/>
      </patternFill>
    </fill>
    <fill>
      <patternFill patternType="solid">
        <fgColor rgb="FFF6D4D1"/>
        <bgColor rgb="FFF6D4D1"/>
      </patternFill>
    </fill>
    <fill>
      <patternFill patternType="solid">
        <fgColor rgb="FFEA9189"/>
        <bgColor rgb="FFEA9189"/>
      </patternFill>
    </fill>
    <fill>
      <patternFill patternType="solid">
        <fgColor rgb="FFDFF2E9"/>
        <bgColor rgb="FFDFF2E9"/>
      </patternFill>
    </fill>
    <fill>
      <patternFill patternType="solid">
        <fgColor rgb="FFFDF8F7"/>
        <bgColor rgb="FFFDF8F7"/>
      </patternFill>
    </fill>
    <fill>
      <patternFill patternType="solid">
        <fgColor rgb="FFFEFBFA"/>
        <bgColor rgb="FFFEFBFA"/>
      </patternFill>
    </fill>
    <fill>
      <patternFill patternType="solid">
        <fgColor rgb="FFAEDFC7"/>
        <bgColor rgb="FFAEDFC7"/>
      </patternFill>
    </fill>
    <fill>
      <patternFill patternType="solid">
        <fgColor rgb="FFEFACA7"/>
        <bgColor rgb="FFEFACA7"/>
      </patternFill>
    </fill>
    <fill>
      <patternFill patternType="solid">
        <fgColor rgb="FFF7D7D4"/>
        <bgColor rgb="FFF7D7D4"/>
      </patternFill>
    </fill>
    <fill>
      <patternFill patternType="solid">
        <fgColor rgb="FFC8CD72"/>
        <bgColor rgb="FFC8CD72"/>
      </patternFill>
    </fill>
    <fill>
      <patternFill patternType="solid">
        <fgColor rgb="FFFBEAE9"/>
        <bgColor rgb="FFFBEAE9"/>
      </patternFill>
    </fill>
    <fill>
      <patternFill patternType="solid">
        <fgColor rgb="FFF3C1BD"/>
        <bgColor rgb="FFF3C1BD"/>
      </patternFill>
    </fill>
    <fill>
      <patternFill patternType="solid">
        <fgColor rgb="FFFFD466"/>
        <bgColor rgb="FFFFD466"/>
      </patternFill>
    </fill>
    <fill>
      <patternFill patternType="solid">
        <fgColor rgb="FFE1D16D"/>
        <bgColor rgb="FFE1D16D"/>
      </patternFill>
    </fill>
    <fill>
      <patternFill patternType="solid">
        <fgColor rgb="FF4C1130"/>
        <bgColor rgb="FF4C1130"/>
      </patternFill>
    </fill>
    <fill>
      <patternFill patternType="solid">
        <fgColor rgb="FFF9E1DE"/>
        <bgColor rgb="FFF9E1DE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3" fillId="3" borderId="1" xfId="0" applyFont="1" applyFill="1" applyBorder="1"/>
    <xf numFmtId="0" fontId="4" fillId="0" borderId="1" xfId="0" applyFont="1" applyBorder="1"/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5" fillId="2" borderId="2" xfId="0" applyFont="1" applyFill="1" applyBorder="1"/>
    <xf numFmtId="9" fontId="5" fillId="2" borderId="2" xfId="0" applyNumberFormat="1" applyFont="1" applyFill="1" applyBorder="1"/>
    <xf numFmtId="10" fontId="5" fillId="2" borderId="2" xfId="0" applyNumberFormat="1" applyFont="1" applyFill="1" applyBorder="1"/>
    <xf numFmtId="0" fontId="2" fillId="0" borderId="0" xfId="0" applyFont="1"/>
    <xf numFmtId="9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4" fontId="4" fillId="4" borderId="3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166" fontId="4" fillId="4" borderId="3" xfId="0" applyNumberFormat="1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1" fillId="0" borderId="3" xfId="0" applyFont="1" applyBorder="1"/>
    <xf numFmtId="0" fontId="2" fillId="0" borderId="3" xfId="0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4" fillId="2" borderId="1" xfId="0" applyFont="1" applyFill="1" applyBorder="1"/>
    <xf numFmtId="1" fontId="2" fillId="0" borderId="0" xfId="0" applyNumberFormat="1" applyFont="1"/>
    <xf numFmtId="166" fontId="2" fillId="0" borderId="0" xfId="0" applyNumberFormat="1" applyFont="1"/>
    <xf numFmtId="9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5" fontId="8" fillId="4" borderId="0" xfId="0" applyNumberFormat="1" applyFont="1" applyFill="1" applyAlignment="1">
      <alignment horizontal="center" vertical="center"/>
    </xf>
    <xf numFmtId="9" fontId="9" fillId="2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9" fontId="2" fillId="2" borderId="0" xfId="0" applyNumberFormat="1" applyFont="1" applyFill="1"/>
    <xf numFmtId="9" fontId="2" fillId="0" borderId="0" xfId="0" applyNumberFormat="1" applyFont="1"/>
    <xf numFmtId="0" fontId="3" fillId="3" borderId="0" xfId="0" applyFont="1" applyFill="1" applyAlignment="1">
      <alignment horizontal="center"/>
    </xf>
    <xf numFmtId="0" fontId="0" fillId="0" borderId="0" xfId="0"/>
    <xf numFmtId="166" fontId="1" fillId="0" borderId="3" xfId="0" applyNumberFormat="1" applyFont="1" applyBorder="1"/>
    <xf numFmtId="9" fontId="1" fillId="0" borderId="3" xfId="0" applyNumberFormat="1" applyFont="1" applyBorder="1"/>
    <xf numFmtId="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0" fillId="0" borderId="3" xfId="0" applyFont="1" applyBorder="1"/>
    <xf numFmtId="166" fontId="1" fillId="0" borderId="0" xfId="0" applyNumberFormat="1" applyFont="1"/>
    <xf numFmtId="165" fontId="1" fillId="0" borderId="0" xfId="0" applyNumberFormat="1" applyFont="1"/>
    <xf numFmtId="9" fontId="9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" fontId="4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/>
    <xf numFmtId="0" fontId="4" fillId="2" borderId="1" xfId="0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/>
    <xf numFmtId="2" fontId="4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9" fontId="1" fillId="0" borderId="0" xfId="0" applyNumberFormat="1" applyFont="1"/>
    <xf numFmtId="1" fontId="1" fillId="0" borderId="1" xfId="0" applyNumberFormat="1" applyFont="1" applyBorder="1"/>
    <xf numFmtId="166" fontId="4" fillId="2" borderId="1" xfId="0" applyNumberFormat="1" applyFont="1" applyFill="1" applyBorder="1" applyAlignment="1">
      <alignment horizontal="right"/>
    </xf>
    <xf numFmtId="165" fontId="1" fillId="0" borderId="1" xfId="0" applyNumberFormat="1" applyFont="1" applyBorder="1"/>
    <xf numFmtId="9" fontId="1" fillId="0" borderId="1" xfId="0" applyNumberFormat="1" applyFont="1" applyBorder="1"/>
    <xf numFmtId="3" fontId="4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11" fillId="6" borderId="1" xfId="0" applyFont="1" applyFill="1" applyBorder="1" applyAlignment="1">
      <alignment horizontal="right"/>
    </xf>
    <xf numFmtId="165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0" fontId="3" fillId="0" borderId="0" xfId="0" applyFont="1"/>
    <xf numFmtId="9" fontId="4" fillId="2" borderId="0" xfId="0" applyNumberFormat="1" applyFont="1" applyFill="1" applyAlignment="1">
      <alignment horizontal="right"/>
    </xf>
    <xf numFmtId="0" fontId="11" fillId="7" borderId="1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0" fontId="3" fillId="3" borderId="5" xfId="0" applyFont="1" applyFill="1" applyBorder="1"/>
    <xf numFmtId="0" fontId="12" fillId="2" borderId="0" xfId="0" applyFont="1" applyFill="1" applyAlignment="1">
      <alignment horizontal="right"/>
    </xf>
    <xf numFmtId="9" fontId="12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6" borderId="1" xfId="0" applyFill="1" applyBorder="1"/>
    <xf numFmtId="0" fontId="2" fillId="2" borderId="3" xfId="0" applyFont="1" applyFill="1" applyBorder="1"/>
    <xf numFmtId="165" fontId="12" fillId="2" borderId="5" xfId="0" applyNumberFormat="1" applyFont="1" applyFill="1" applyBorder="1" applyAlignment="1">
      <alignment horizontal="right"/>
    </xf>
    <xf numFmtId="0" fontId="4" fillId="0" borderId="0" xfId="0" applyFont="1"/>
    <xf numFmtId="0" fontId="13" fillId="3" borderId="6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2" fillId="0" borderId="0" xfId="0" applyFont="1" applyAlignment="1">
      <alignment horizontal="right"/>
    </xf>
    <xf numFmtId="1" fontId="4" fillId="9" borderId="0" xfId="0" applyNumberFormat="1" applyFont="1" applyFill="1" applyAlignment="1">
      <alignment horizontal="right"/>
    </xf>
    <xf numFmtId="1" fontId="4" fillId="10" borderId="0" xfId="0" applyNumberFormat="1" applyFont="1" applyFill="1" applyAlignment="1">
      <alignment horizontal="right"/>
    </xf>
    <xf numFmtId="1" fontId="4" fillId="11" borderId="0" xfId="0" applyNumberFormat="1" applyFont="1" applyFill="1" applyAlignment="1">
      <alignment horizontal="right"/>
    </xf>
    <xf numFmtId="1" fontId="4" fillId="12" borderId="0" xfId="0" applyNumberFormat="1" applyFont="1" applyFill="1" applyAlignment="1">
      <alignment horizontal="right"/>
    </xf>
    <xf numFmtId="1" fontId="4" fillId="13" borderId="0" xfId="0" applyNumberFormat="1" applyFont="1" applyFill="1" applyAlignment="1">
      <alignment horizontal="right"/>
    </xf>
    <xf numFmtId="1" fontId="4" fillId="14" borderId="0" xfId="0" applyNumberFormat="1" applyFont="1" applyFill="1" applyAlignment="1">
      <alignment horizontal="right"/>
    </xf>
    <xf numFmtId="1" fontId="4" fillId="15" borderId="0" xfId="0" applyNumberFormat="1" applyFont="1" applyFill="1" applyAlignment="1">
      <alignment horizontal="right"/>
    </xf>
    <xf numFmtId="1" fontId="4" fillId="16" borderId="0" xfId="0" applyNumberFormat="1" applyFont="1" applyFill="1" applyAlignment="1">
      <alignment horizontal="right"/>
    </xf>
    <xf numFmtId="1" fontId="4" fillId="17" borderId="0" xfId="0" applyNumberFormat="1" applyFont="1" applyFill="1" applyAlignment="1">
      <alignment horizontal="right"/>
    </xf>
    <xf numFmtId="1" fontId="4" fillId="18" borderId="0" xfId="0" applyNumberFormat="1" applyFont="1" applyFill="1" applyAlignment="1">
      <alignment horizontal="right"/>
    </xf>
    <xf numFmtId="1" fontId="4" fillId="19" borderId="0" xfId="0" applyNumberFormat="1" applyFont="1" applyFill="1" applyAlignment="1">
      <alignment horizontal="right"/>
    </xf>
    <xf numFmtId="1" fontId="4" fillId="20" borderId="0" xfId="0" applyNumberFormat="1" applyFont="1" applyFill="1" applyAlignment="1">
      <alignment horizontal="right"/>
    </xf>
    <xf numFmtId="1" fontId="4" fillId="21" borderId="0" xfId="0" applyNumberFormat="1" applyFont="1" applyFill="1" applyAlignment="1">
      <alignment horizontal="right"/>
    </xf>
    <xf numFmtId="1" fontId="4" fillId="22" borderId="0" xfId="0" applyNumberFormat="1" applyFont="1" applyFill="1" applyAlignment="1">
      <alignment horizontal="right"/>
    </xf>
    <xf numFmtId="1" fontId="4" fillId="23" borderId="0" xfId="0" applyNumberFormat="1" applyFont="1" applyFill="1" applyAlignment="1">
      <alignment horizontal="right"/>
    </xf>
    <xf numFmtId="1" fontId="4" fillId="24" borderId="0" xfId="0" applyNumberFormat="1" applyFont="1" applyFill="1" applyAlignment="1">
      <alignment horizontal="right"/>
    </xf>
    <xf numFmtId="1" fontId="4" fillId="25" borderId="0" xfId="0" applyNumberFormat="1" applyFont="1" applyFill="1" applyAlignment="1">
      <alignment horizontal="right"/>
    </xf>
    <xf numFmtId="0" fontId="14" fillId="3" borderId="14" xfId="0" applyFont="1" applyFill="1" applyBorder="1"/>
    <xf numFmtId="0" fontId="14" fillId="3" borderId="0" xfId="0" applyFont="1" applyFill="1"/>
    <xf numFmtId="0" fontId="15" fillId="3" borderId="0" xfId="0" applyFont="1" applyFill="1"/>
    <xf numFmtId="0" fontId="4" fillId="9" borderId="0" xfId="0" applyFont="1" applyFill="1" applyAlignment="1">
      <alignment horizontal="right"/>
    </xf>
    <xf numFmtId="1" fontId="4" fillId="26" borderId="0" xfId="0" applyNumberFormat="1" applyFont="1" applyFill="1" applyAlignment="1">
      <alignment horizontal="right"/>
    </xf>
    <xf numFmtId="0" fontId="4" fillId="27" borderId="0" xfId="0" applyFont="1" applyFill="1" applyAlignment="1">
      <alignment horizontal="right"/>
    </xf>
    <xf numFmtId="0" fontId="4" fillId="28" borderId="0" xfId="0" applyFont="1" applyFill="1" applyAlignment="1">
      <alignment horizontal="right"/>
    </xf>
    <xf numFmtId="0" fontId="4" fillId="29" borderId="0" xfId="0" applyFont="1" applyFill="1" applyAlignment="1">
      <alignment horizontal="right"/>
    </xf>
    <xf numFmtId="0" fontId="4" fillId="30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1" borderId="0" xfId="0" applyFont="1" applyFill="1" applyAlignment="1">
      <alignment horizontal="right"/>
    </xf>
    <xf numFmtId="0" fontId="4" fillId="32" borderId="0" xfId="0" applyFont="1" applyFill="1" applyAlignment="1">
      <alignment horizontal="right"/>
    </xf>
    <xf numFmtId="1" fontId="4" fillId="33" borderId="0" xfId="0" applyNumberFormat="1" applyFont="1" applyFill="1" applyAlignment="1">
      <alignment horizontal="right"/>
    </xf>
    <xf numFmtId="0" fontId="4" fillId="34" borderId="0" xfId="0" applyFont="1" applyFill="1" applyAlignment="1">
      <alignment horizontal="right"/>
    </xf>
    <xf numFmtId="0" fontId="4" fillId="35" borderId="0" xfId="0" applyFont="1" applyFill="1" applyAlignment="1">
      <alignment horizontal="right"/>
    </xf>
    <xf numFmtId="0" fontId="4" fillId="36" borderId="0" xfId="0" applyFont="1" applyFill="1" applyAlignment="1">
      <alignment horizontal="right"/>
    </xf>
    <xf numFmtId="0" fontId="4" fillId="37" borderId="0" xfId="0" applyFont="1" applyFill="1" applyAlignment="1">
      <alignment horizontal="right"/>
    </xf>
    <xf numFmtId="0" fontId="4" fillId="38" borderId="0" xfId="0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39" borderId="0" xfId="0" applyFont="1" applyFill="1" applyAlignment="1">
      <alignment horizontal="right"/>
    </xf>
    <xf numFmtId="0" fontId="4" fillId="0" borderId="3" xfId="0" applyFont="1" applyBorder="1"/>
    <xf numFmtId="1" fontId="4" fillId="9" borderId="3" xfId="0" applyNumberFormat="1" applyFont="1" applyFill="1" applyBorder="1" applyAlignment="1">
      <alignment horizontal="right"/>
    </xf>
    <xf numFmtId="1" fontId="4" fillId="2" borderId="0" xfId="0" applyNumberFormat="1" applyFont="1" applyFill="1"/>
    <xf numFmtId="0" fontId="4" fillId="2" borderId="0" xfId="0" applyFont="1" applyFill="1"/>
    <xf numFmtId="0" fontId="4" fillId="0" borderId="5" xfId="0" applyFont="1" applyBorder="1"/>
    <xf numFmtId="1" fontId="4" fillId="0" borderId="5" xfId="0" applyNumberFormat="1" applyFont="1" applyBorder="1" applyAlignment="1">
      <alignment horizontal="right"/>
    </xf>
    <xf numFmtId="1" fontId="4" fillId="0" borderId="0" xfId="0" applyNumberFormat="1" applyFont="1"/>
    <xf numFmtId="1" fontId="4" fillId="40" borderId="0" xfId="0" applyNumberFormat="1" applyFont="1" applyFill="1" applyAlignment="1">
      <alignment horizontal="right"/>
    </xf>
    <xf numFmtId="1" fontId="4" fillId="41" borderId="0" xfId="0" applyNumberFormat="1" applyFont="1" applyFill="1" applyAlignment="1">
      <alignment horizontal="right"/>
    </xf>
    <xf numFmtId="1" fontId="4" fillId="42" borderId="0" xfId="0" applyNumberFormat="1" applyFont="1" applyFill="1" applyAlignment="1">
      <alignment horizontal="right"/>
    </xf>
    <xf numFmtId="1" fontId="4" fillId="43" borderId="0" xfId="0" applyNumberFormat="1" applyFont="1" applyFill="1" applyAlignment="1">
      <alignment horizontal="right"/>
    </xf>
    <xf numFmtId="0" fontId="15" fillId="3" borderId="1" xfId="0" applyFont="1" applyFill="1" applyBorder="1"/>
    <xf numFmtId="1" fontId="4" fillId="44" borderId="0" xfId="0" applyNumberFormat="1" applyFont="1" applyFill="1" applyAlignment="1">
      <alignment horizontal="right"/>
    </xf>
    <xf numFmtId="1" fontId="4" fillId="45" borderId="0" xfId="0" applyNumberFormat="1" applyFont="1" applyFill="1" applyAlignment="1">
      <alignment horizontal="right"/>
    </xf>
    <xf numFmtId="10" fontId="4" fillId="46" borderId="13" xfId="0" applyNumberFormat="1" applyFont="1" applyFill="1" applyBorder="1" applyAlignment="1">
      <alignment horizontal="right"/>
    </xf>
    <xf numFmtId="9" fontId="4" fillId="47" borderId="13" xfId="0" applyNumberFormat="1" applyFont="1" applyFill="1" applyBorder="1" applyAlignment="1">
      <alignment horizontal="right"/>
    </xf>
    <xf numFmtId="1" fontId="4" fillId="48" borderId="0" xfId="0" applyNumberFormat="1" applyFont="1" applyFill="1" applyAlignment="1">
      <alignment horizontal="right"/>
    </xf>
    <xf numFmtId="10" fontId="4" fillId="35" borderId="13" xfId="0" applyNumberFormat="1" applyFont="1" applyFill="1" applyBorder="1" applyAlignment="1">
      <alignment horizontal="right"/>
    </xf>
    <xf numFmtId="9" fontId="4" fillId="49" borderId="13" xfId="0" applyNumberFormat="1" applyFont="1" applyFill="1" applyBorder="1" applyAlignment="1">
      <alignment horizontal="right"/>
    </xf>
    <xf numFmtId="10" fontId="4" fillId="50" borderId="13" xfId="0" applyNumberFormat="1" applyFont="1" applyFill="1" applyBorder="1" applyAlignment="1">
      <alignment horizontal="right"/>
    </xf>
    <xf numFmtId="9" fontId="4" fillId="51" borderId="13" xfId="0" applyNumberFormat="1" applyFont="1" applyFill="1" applyBorder="1" applyAlignment="1">
      <alignment horizontal="right"/>
    </xf>
    <xf numFmtId="1" fontId="4" fillId="52" borderId="0" xfId="0" applyNumberFormat="1" applyFont="1" applyFill="1" applyAlignment="1">
      <alignment horizontal="right"/>
    </xf>
    <xf numFmtId="10" fontId="4" fillId="53" borderId="13" xfId="0" applyNumberFormat="1" applyFont="1" applyFill="1" applyBorder="1" applyAlignment="1">
      <alignment horizontal="right"/>
    </xf>
    <xf numFmtId="9" fontId="4" fillId="2" borderId="13" xfId="0" applyNumberFormat="1" applyFont="1" applyFill="1" applyBorder="1" applyAlignment="1">
      <alignment horizontal="right"/>
    </xf>
    <xf numFmtId="1" fontId="4" fillId="54" borderId="0" xfId="0" applyNumberFormat="1" applyFont="1" applyFill="1" applyAlignment="1">
      <alignment horizontal="right"/>
    </xf>
    <xf numFmtId="10" fontId="4" fillId="55" borderId="13" xfId="0" applyNumberFormat="1" applyFont="1" applyFill="1" applyBorder="1" applyAlignment="1">
      <alignment horizontal="right"/>
    </xf>
    <xf numFmtId="9" fontId="4" fillId="56" borderId="13" xfId="0" applyNumberFormat="1" applyFont="1" applyFill="1" applyBorder="1" applyAlignment="1">
      <alignment horizontal="right"/>
    </xf>
    <xf numFmtId="1" fontId="4" fillId="57" borderId="0" xfId="0" applyNumberFormat="1" applyFont="1" applyFill="1" applyAlignment="1">
      <alignment horizontal="right"/>
    </xf>
    <xf numFmtId="10" fontId="4" fillId="37" borderId="13" xfId="0" applyNumberFormat="1" applyFont="1" applyFill="1" applyBorder="1" applyAlignment="1">
      <alignment horizontal="right"/>
    </xf>
    <xf numFmtId="9" fontId="4" fillId="58" borderId="13" xfId="0" applyNumberFormat="1" applyFont="1" applyFill="1" applyBorder="1" applyAlignment="1">
      <alignment horizontal="right"/>
    </xf>
    <xf numFmtId="1" fontId="4" fillId="39" borderId="0" xfId="0" applyNumberFormat="1" applyFont="1" applyFill="1" applyAlignment="1">
      <alignment horizontal="right"/>
    </xf>
    <xf numFmtId="10" fontId="4" fillId="49" borderId="13" xfId="0" applyNumberFormat="1" applyFont="1" applyFill="1" applyBorder="1" applyAlignment="1">
      <alignment horizontal="right"/>
    </xf>
    <xf numFmtId="9" fontId="4" fillId="59" borderId="13" xfId="0" applyNumberFormat="1" applyFont="1" applyFill="1" applyBorder="1" applyAlignment="1">
      <alignment horizontal="right"/>
    </xf>
    <xf numFmtId="1" fontId="4" fillId="60" borderId="0" xfId="0" applyNumberFormat="1" applyFont="1" applyFill="1" applyAlignment="1">
      <alignment horizontal="right"/>
    </xf>
    <xf numFmtId="10" fontId="4" fillId="61" borderId="13" xfId="0" applyNumberFormat="1" applyFont="1" applyFill="1" applyBorder="1" applyAlignment="1">
      <alignment horizontal="right"/>
    </xf>
    <xf numFmtId="9" fontId="4" fillId="18" borderId="13" xfId="0" applyNumberFormat="1" applyFont="1" applyFill="1" applyBorder="1" applyAlignment="1">
      <alignment horizontal="right"/>
    </xf>
    <xf numFmtId="1" fontId="4" fillId="62" borderId="0" xfId="0" applyNumberFormat="1" applyFont="1" applyFill="1" applyAlignment="1">
      <alignment horizontal="right"/>
    </xf>
    <xf numFmtId="10" fontId="4" fillId="9" borderId="13" xfId="0" applyNumberFormat="1" applyFont="1" applyFill="1" applyBorder="1" applyAlignment="1">
      <alignment horizontal="right"/>
    </xf>
    <xf numFmtId="9" fontId="4" fillId="9" borderId="13" xfId="0" applyNumberFormat="1" applyFont="1" applyFill="1" applyBorder="1" applyAlignment="1">
      <alignment horizontal="right"/>
    </xf>
    <xf numFmtId="1" fontId="4" fillId="63" borderId="0" xfId="0" applyNumberFormat="1" applyFont="1" applyFill="1" applyAlignment="1">
      <alignment horizontal="right"/>
    </xf>
    <xf numFmtId="10" fontId="4" fillId="56" borderId="13" xfId="0" applyNumberFormat="1" applyFont="1" applyFill="1" applyBorder="1" applyAlignment="1">
      <alignment horizontal="right"/>
    </xf>
    <xf numFmtId="9" fontId="4" fillId="37" borderId="13" xfId="0" applyNumberFormat="1" applyFont="1" applyFill="1" applyBorder="1" applyAlignment="1">
      <alignment horizontal="right"/>
    </xf>
    <xf numFmtId="1" fontId="4" fillId="64" borderId="0" xfId="0" applyNumberFormat="1" applyFont="1" applyFill="1" applyAlignment="1">
      <alignment horizontal="right"/>
    </xf>
    <xf numFmtId="0" fontId="2" fillId="0" borderId="3" xfId="0" applyFont="1" applyBorder="1"/>
    <xf numFmtId="166" fontId="4" fillId="0" borderId="15" xfId="0" applyNumberFormat="1" applyFont="1" applyBorder="1"/>
    <xf numFmtId="9" fontId="4" fillId="65" borderId="15" xfId="0" applyNumberFormat="1" applyFont="1" applyFill="1" applyBorder="1" applyAlignment="1">
      <alignment horizontal="right"/>
    </xf>
    <xf numFmtId="1" fontId="4" fillId="66" borderId="0" xfId="0" applyNumberFormat="1" applyFont="1" applyFill="1" applyAlignment="1">
      <alignment horizontal="right"/>
    </xf>
    <xf numFmtId="166" fontId="4" fillId="0" borderId="0" xfId="0" applyNumberFormat="1" applyFont="1"/>
    <xf numFmtId="0" fontId="4" fillId="0" borderId="16" xfId="0" applyFont="1" applyBorder="1"/>
    <xf numFmtId="9" fontId="4" fillId="0" borderId="13" xfId="0" applyNumberFormat="1" applyFont="1" applyBorder="1"/>
    <xf numFmtId="1" fontId="4" fillId="67" borderId="0" xfId="0" applyNumberFormat="1" applyFont="1" applyFill="1" applyAlignment="1">
      <alignment horizontal="right"/>
    </xf>
    <xf numFmtId="1" fontId="4" fillId="68" borderId="0" xfId="0" applyNumberFormat="1" applyFont="1" applyFill="1" applyAlignment="1">
      <alignment horizontal="right"/>
    </xf>
    <xf numFmtId="10" fontId="4" fillId="0" borderId="5" xfId="0" applyNumberFormat="1" applyFont="1" applyBorder="1" applyAlignment="1">
      <alignment horizontal="right"/>
    </xf>
    <xf numFmtId="1" fontId="4" fillId="69" borderId="0" xfId="0" applyNumberFormat="1" applyFont="1" applyFill="1" applyAlignment="1">
      <alignment horizontal="right"/>
    </xf>
    <xf numFmtId="1" fontId="4" fillId="70" borderId="0" xfId="0" applyNumberFormat="1" applyFont="1" applyFill="1" applyAlignment="1">
      <alignment horizontal="right"/>
    </xf>
    <xf numFmtId="1" fontId="4" fillId="71" borderId="0" xfId="0" applyNumberFormat="1" applyFont="1" applyFill="1" applyAlignment="1">
      <alignment horizontal="right"/>
    </xf>
    <xf numFmtId="1" fontId="4" fillId="72" borderId="0" xfId="0" applyNumberFormat="1" applyFont="1" applyFill="1" applyAlignment="1">
      <alignment horizontal="right"/>
    </xf>
    <xf numFmtId="1" fontId="4" fillId="73" borderId="0" xfId="0" applyNumberFormat="1" applyFont="1" applyFill="1" applyAlignment="1">
      <alignment horizontal="right"/>
    </xf>
    <xf numFmtId="1" fontId="4" fillId="74" borderId="0" xfId="0" applyNumberFormat="1" applyFont="1" applyFill="1" applyAlignment="1">
      <alignment horizontal="right"/>
    </xf>
    <xf numFmtId="1" fontId="4" fillId="75" borderId="0" xfId="0" applyNumberFormat="1" applyFont="1" applyFill="1" applyAlignment="1">
      <alignment horizontal="right"/>
    </xf>
    <xf numFmtId="1" fontId="4" fillId="76" borderId="0" xfId="0" applyNumberFormat="1" applyFont="1" applyFill="1" applyAlignment="1">
      <alignment horizontal="right"/>
    </xf>
    <xf numFmtId="1" fontId="4" fillId="77" borderId="0" xfId="0" applyNumberFormat="1" applyFont="1" applyFill="1" applyAlignment="1">
      <alignment horizontal="right"/>
    </xf>
    <xf numFmtId="1" fontId="4" fillId="78" borderId="0" xfId="0" applyNumberFormat="1" applyFont="1" applyFill="1" applyAlignment="1">
      <alignment horizontal="right"/>
    </xf>
    <xf numFmtId="1" fontId="4" fillId="79" borderId="0" xfId="0" applyNumberFormat="1" applyFont="1" applyFill="1" applyAlignment="1">
      <alignment horizontal="right"/>
    </xf>
    <xf numFmtId="1" fontId="4" fillId="80" borderId="0" xfId="0" applyNumberFormat="1" applyFont="1" applyFill="1" applyAlignment="1">
      <alignment horizontal="right"/>
    </xf>
    <xf numFmtId="1" fontId="4" fillId="81" borderId="0" xfId="0" applyNumberFormat="1" applyFont="1" applyFill="1" applyAlignment="1">
      <alignment horizontal="right"/>
    </xf>
    <xf numFmtId="1" fontId="4" fillId="82" borderId="0" xfId="0" applyNumberFormat="1" applyFont="1" applyFill="1" applyAlignment="1">
      <alignment horizontal="right"/>
    </xf>
    <xf numFmtId="1" fontId="4" fillId="83" borderId="0" xfId="0" applyNumberFormat="1" applyFont="1" applyFill="1" applyAlignment="1">
      <alignment horizontal="right"/>
    </xf>
    <xf numFmtId="2" fontId="4" fillId="9" borderId="13" xfId="0" applyNumberFormat="1" applyFont="1" applyFill="1" applyBorder="1" applyAlignment="1">
      <alignment horizontal="right"/>
    </xf>
    <xf numFmtId="1" fontId="4" fillId="84" borderId="13" xfId="0" applyNumberFormat="1" applyFont="1" applyFill="1" applyBorder="1" applyAlignment="1">
      <alignment horizontal="right"/>
    </xf>
    <xf numFmtId="0" fontId="2" fillId="0" borderId="16" xfId="0" applyFont="1" applyBorder="1"/>
    <xf numFmtId="2" fontId="4" fillId="85" borderId="13" xfId="0" applyNumberFormat="1" applyFont="1" applyFill="1" applyBorder="1" applyAlignment="1">
      <alignment horizontal="right"/>
    </xf>
    <xf numFmtId="1" fontId="4" fillId="86" borderId="0" xfId="0" applyNumberFormat="1" applyFont="1" applyFill="1" applyAlignment="1">
      <alignment horizontal="right"/>
    </xf>
    <xf numFmtId="2" fontId="4" fillId="87" borderId="13" xfId="0" applyNumberFormat="1" applyFont="1" applyFill="1" applyBorder="1" applyAlignment="1">
      <alignment horizontal="right"/>
    </xf>
    <xf numFmtId="1" fontId="4" fillId="88" borderId="13" xfId="0" applyNumberFormat="1" applyFont="1" applyFill="1" applyBorder="1" applyAlignment="1">
      <alignment horizontal="right"/>
    </xf>
    <xf numFmtId="2" fontId="4" fillId="89" borderId="13" xfId="0" applyNumberFormat="1" applyFont="1" applyFill="1" applyBorder="1" applyAlignment="1">
      <alignment horizontal="right"/>
    </xf>
    <xf numFmtId="1" fontId="4" fillId="90" borderId="0" xfId="0" applyNumberFormat="1" applyFont="1" applyFill="1" applyAlignment="1">
      <alignment horizontal="right"/>
    </xf>
    <xf numFmtId="2" fontId="4" fillId="91" borderId="13" xfId="0" applyNumberFormat="1" applyFont="1" applyFill="1" applyBorder="1" applyAlignment="1">
      <alignment horizontal="right"/>
    </xf>
    <xf numFmtId="1" fontId="4" fillId="92" borderId="13" xfId="0" applyNumberFormat="1" applyFont="1" applyFill="1" applyBorder="1" applyAlignment="1">
      <alignment horizontal="right"/>
    </xf>
    <xf numFmtId="2" fontId="4" fillId="93" borderId="13" xfId="0" applyNumberFormat="1" applyFont="1" applyFill="1" applyBorder="1" applyAlignment="1">
      <alignment horizontal="right"/>
    </xf>
    <xf numFmtId="1" fontId="4" fillId="94" borderId="0" xfId="0" applyNumberFormat="1" applyFont="1" applyFill="1" applyAlignment="1">
      <alignment horizontal="right"/>
    </xf>
    <xf numFmtId="2" fontId="4" fillId="95" borderId="13" xfId="0" applyNumberFormat="1" applyFont="1" applyFill="1" applyBorder="1" applyAlignment="1">
      <alignment horizontal="right"/>
    </xf>
    <xf numFmtId="1" fontId="4" fillId="96" borderId="13" xfId="0" applyNumberFormat="1" applyFont="1" applyFill="1" applyBorder="1" applyAlignment="1">
      <alignment horizontal="right"/>
    </xf>
    <xf numFmtId="2" fontId="4" fillId="97" borderId="13" xfId="0" applyNumberFormat="1" applyFont="1" applyFill="1" applyBorder="1" applyAlignment="1">
      <alignment horizontal="right"/>
    </xf>
    <xf numFmtId="1" fontId="4" fillId="98" borderId="13" xfId="0" applyNumberFormat="1" applyFont="1" applyFill="1" applyBorder="1" applyAlignment="1">
      <alignment horizontal="right"/>
    </xf>
    <xf numFmtId="2" fontId="4" fillId="99" borderId="13" xfId="0" applyNumberFormat="1" applyFont="1" applyFill="1" applyBorder="1" applyAlignment="1">
      <alignment horizontal="right"/>
    </xf>
    <xf numFmtId="1" fontId="4" fillId="100" borderId="0" xfId="0" applyNumberFormat="1" applyFont="1" applyFill="1" applyAlignment="1">
      <alignment horizontal="right"/>
    </xf>
    <xf numFmtId="2" fontId="4" fillId="101" borderId="13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2" fontId="4" fillId="102" borderId="13" xfId="0" applyNumberFormat="1" applyFont="1" applyFill="1" applyBorder="1" applyAlignment="1">
      <alignment horizontal="right"/>
    </xf>
    <xf numFmtId="1" fontId="4" fillId="103" borderId="0" xfId="0" applyNumberFormat="1" applyFont="1" applyFill="1" applyAlignment="1">
      <alignment horizontal="right"/>
    </xf>
    <xf numFmtId="2" fontId="4" fillId="104" borderId="13" xfId="0" applyNumberFormat="1" applyFont="1" applyFill="1" applyBorder="1" applyAlignment="1">
      <alignment horizontal="right"/>
    </xf>
    <xf numFmtId="1" fontId="4" fillId="81" borderId="13" xfId="0" applyNumberFormat="1" applyFont="1" applyFill="1" applyBorder="1" applyAlignment="1">
      <alignment horizontal="right"/>
    </xf>
    <xf numFmtId="2" fontId="4" fillId="105" borderId="13" xfId="0" applyNumberFormat="1" applyFont="1" applyFill="1" applyBorder="1" applyAlignment="1">
      <alignment horizontal="right"/>
    </xf>
    <xf numFmtId="1" fontId="4" fillId="106" borderId="0" xfId="0" applyNumberFormat="1" applyFont="1" applyFill="1" applyAlignment="1">
      <alignment horizontal="right"/>
    </xf>
    <xf numFmtId="2" fontId="4" fillId="107" borderId="13" xfId="0" applyNumberFormat="1" applyFont="1" applyFill="1" applyBorder="1" applyAlignment="1">
      <alignment horizontal="right"/>
    </xf>
    <xf numFmtId="1" fontId="4" fillId="9" borderId="13" xfId="0" applyNumberFormat="1" applyFont="1" applyFill="1" applyBorder="1" applyAlignment="1">
      <alignment horizontal="right"/>
    </xf>
    <xf numFmtId="2" fontId="4" fillId="108" borderId="13" xfId="0" applyNumberFormat="1" applyFont="1" applyFill="1" applyBorder="1" applyAlignment="1">
      <alignment horizontal="right"/>
    </xf>
    <xf numFmtId="2" fontId="4" fillId="37" borderId="13" xfId="0" applyNumberFormat="1" applyFont="1" applyFill="1" applyBorder="1" applyAlignment="1">
      <alignment horizontal="right"/>
    </xf>
    <xf numFmtId="1" fontId="4" fillId="83" borderId="13" xfId="0" applyNumberFormat="1" applyFont="1" applyFill="1" applyBorder="1" applyAlignment="1">
      <alignment horizontal="right"/>
    </xf>
    <xf numFmtId="1" fontId="4" fillId="109" borderId="0" xfId="0" applyNumberFormat="1" applyFont="1" applyFill="1" applyAlignment="1">
      <alignment horizontal="right"/>
    </xf>
    <xf numFmtId="2" fontId="4" fillId="110" borderId="13" xfId="0" applyNumberFormat="1" applyFont="1" applyFill="1" applyBorder="1" applyAlignment="1">
      <alignment horizontal="right"/>
    </xf>
    <xf numFmtId="1" fontId="4" fillId="37" borderId="13" xfId="0" applyNumberFormat="1" applyFont="1" applyFill="1" applyBorder="1" applyAlignment="1">
      <alignment horizontal="right"/>
    </xf>
    <xf numFmtId="2" fontId="4" fillId="111" borderId="13" xfId="0" applyNumberFormat="1" applyFont="1" applyFill="1" applyBorder="1" applyAlignment="1">
      <alignment horizontal="right"/>
    </xf>
    <xf numFmtId="1" fontId="4" fillId="112" borderId="0" xfId="0" applyNumberFormat="1" applyFont="1" applyFill="1" applyAlignment="1">
      <alignment horizontal="right"/>
    </xf>
    <xf numFmtId="2" fontId="4" fillId="113" borderId="13" xfId="0" applyNumberFormat="1" applyFont="1" applyFill="1" applyBorder="1" applyAlignment="1">
      <alignment horizontal="right"/>
    </xf>
    <xf numFmtId="1" fontId="4" fillId="114" borderId="13" xfId="0" applyNumberFormat="1" applyFont="1" applyFill="1" applyBorder="1" applyAlignment="1">
      <alignment horizontal="right"/>
    </xf>
    <xf numFmtId="2" fontId="4" fillId="115" borderId="13" xfId="0" applyNumberFormat="1" applyFont="1" applyFill="1" applyBorder="1" applyAlignment="1">
      <alignment horizontal="right"/>
    </xf>
    <xf numFmtId="1" fontId="4" fillId="116" borderId="0" xfId="0" applyNumberFormat="1" applyFont="1" applyFill="1" applyAlignment="1">
      <alignment horizontal="right"/>
    </xf>
    <xf numFmtId="0" fontId="4" fillId="0" borderId="2" xfId="0" applyFont="1" applyBorder="1"/>
    <xf numFmtId="2" fontId="4" fillId="0" borderId="15" xfId="0" applyNumberFormat="1" applyFont="1" applyBorder="1"/>
    <xf numFmtId="1" fontId="4" fillId="0" borderId="15" xfId="0" applyNumberFormat="1" applyFont="1" applyBorder="1"/>
    <xf numFmtId="2" fontId="4" fillId="117" borderId="13" xfId="0" applyNumberFormat="1" applyFont="1" applyFill="1" applyBorder="1" applyAlignment="1">
      <alignment horizontal="right"/>
    </xf>
    <xf numFmtId="1" fontId="4" fillId="118" borderId="0" xfId="0" applyNumberFormat="1" applyFont="1" applyFill="1" applyAlignment="1">
      <alignment horizontal="right"/>
    </xf>
    <xf numFmtId="1" fontId="4" fillId="119" borderId="0" xfId="0" applyNumberFormat="1" applyFont="1" applyFill="1" applyAlignment="1">
      <alignment horizontal="right"/>
    </xf>
    <xf numFmtId="0" fontId="4" fillId="0" borderId="5" xfId="0" applyFont="1" applyBorder="1" applyAlignment="1">
      <alignment horizontal="right"/>
    </xf>
    <xf numFmtId="1" fontId="4" fillId="120" borderId="0" xfId="0" applyNumberFormat="1" applyFont="1" applyFill="1" applyAlignment="1">
      <alignment horizontal="right"/>
    </xf>
    <xf numFmtId="1" fontId="4" fillId="121" borderId="0" xfId="0" applyNumberFormat="1" applyFont="1" applyFill="1" applyAlignment="1">
      <alignment horizontal="right"/>
    </xf>
    <xf numFmtId="1" fontId="4" fillId="122" borderId="0" xfId="0" applyNumberFormat="1" applyFont="1" applyFill="1" applyAlignment="1">
      <alignment horizontal="right"/>
    </xf>
    <xf numFmtId="1" fontId="4" fillId="123" borderId="0" xfId="0" applyNumberFormat="1" applyFont="1" applyFill="1" applyAlignment="1">
      <alignment horizontal="right"/>
    </xf>
    <xf numFmtId="1" fontId="4" fillId="124" borderId="0" xfId="0" applyNumberFormat="1" applyFont="1" applyFill="1" applyAlignment="1">
      <alignment horizontal="right"/>
    </xf>
    <xf numFmtId="1" fontId="4" fillId="125" borderId="0" xfId="0" applyNumberFormat="1" applyFont="1" applyFill="1" applyAlignment="1">
      <alignment horizontal="right"/>
    </xf>
    <xf numFmtId="1" fontId="4" fillId="126" borderId="0" xfId="0" applyNumberFormat="1" applyFont="1" applyFill="1" applyAlignment="1">
      <alignment horizontal="right"/>
    </xf>
    <xf numFmtId="1" fontId="4" fillId="127" borderId="0" xfId="0" applyNumberFormat="1" applyFont="1" applyFill="1" applyAlignment="1">
      <alignment horizontal="right"/>
    </xf>
    <xf numFmtId="1" fontId="4" fillId="128" borderId="0" xfId="0" applyNumberFormat="1" applyFont="1" applyFill="1" applyAlignment="1">
      <alignment horizontal="right"/>
    </xf>
    <xf numFmtId="1" fontId="4" fillId="129" borderId="0" xfId="0" applyNumberFormat="1" applyFont="1" applyFill="1" applyAlignment="1">
      <alignment horizontal="right"/>
    </xf>
    <xf numFmtId="1" fontId="4" fillId="130" borderId="0" xfId="0" applyNumberFormat="1" applyFont="1" applyFill="1" applyAlignment="1">
      <alignment horizontal="right"/>
    </xf>
    <xf numFmtId="1" fontId="4" fillId="131" borderId="0" xfId="0" applyNumberFormat="1" applyFont="1" applyFill="1" applyAlignment="1">
      <alignment horizontal="right"/>
    </xf>
    <xf numFmtId="166" fontId="4" fillId="9" borderId="0" xfId="0" applyNumberFormat="1" applyFont="1" applyFill="1" applyAlignment="1">
      <alignment horizontal="right"/>
    </xf>
    <xf numFmtId="1" fontId="4" fillId="132" borderId="13" xfId="0" applyNumberFormat="1" applyFont="1" applyFill="1" applyBorder="1" applyAlignment="1">
      <alignment horizontal="right"/>
    </xf>
    <xf numFmtId="2" fontId="4" fillId="32" borderId="13" xfId="0" applyNumberFormat="1" applyFont="1" applyFill="1" applyBorder="1" applyAlignment="1">
      <alignment horizontal="right"/>
    </xf>
    <xf numFmtId="1" fontId="4" fillId="133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9" fontId="4" fillId="26" borderId="13" xfId="0" applyNumberFormat="1" applyFont="1" applyFill="1" applyBorder="1" applyAlignment="1">
      <alignment horizontal="right"/>
    </xf>
    <xf numFmtId="166" fontId="4" fillId="134" borderId="0" xfId="0" applyNumberFormat="1" applyFont="1" applyFill="1" applyAlignment="1">
      <alignment horizontal="right"/>
    </xf>
    <xf numFmtId="1" fontId="4" fillId="135" borderId="13" xfId="0" applyNumberFormat="1" applyFont="1" applyFill="1" applyBorder="1" applyAlignment="1">
      <alignment horizontal="right"/>
    </xf>
    <xf numFmtId="2" fontId="4" fillId="20" borderId="13" xfId="0" applyNumberFormat="1" applyFont="1" applyFill="1" applyBorder="1" applyAlignment="1">
      <alignment horizontal="right"/>
    </xf>
    <xf numFmtId="166" fontId="4" fillId="136" borderId="0" xfId="0" applyNumberFormat="1" applyFont="1" applyFill="1" applyAlignment="1">
      <alignment horizontal="right"/>
    </xf>
    <xf numFmtId="166" fontId="4" fillId="137" borderId="0" xfId="0" applyNumberFormat="1" applyFont="1" applyFill="1" applyAlignment="1">
      <alignment horizontal="right"/>
    </xf>
    <xf numFmtId="1" fontId="4" fillId="93" borderId="13" xfId="0" applyNumberFormat="1" applyFont="1" applyFill="1" applyBorder="1" applyAlignment="1">
      <alignment horizontal="right"/>
    </xf>
    <xf numFmtId="2" fontId="4" fillId="138" borderId="13" xfId="0" applyNumberFormat="1" applyFont="1" applyFill="1" applyBorder="1" applyAlignment="1">
      <alignment horizontal="right"/>
    </xf>
    <xf numFmtId="166" fontId="4" fillId="139" borderId="0" xfId="0" applyNumberFormat="1" applyFont="1" applyFill="1" applyAlignment="1">
      <alignment horizontal="right"/>
    </xf>
    <xf numFmtId="9" fontId="4" fillId="140" borderId="13" xfId="0" applyNumberFormat="1" applyFont="1" applyFill="1" applyBorder="1" applyAlignment="1">
      <alignment horizontal="right"/>
    </xf>
    <xf numFmtId="166" fontId="4" fillId="141" borderId="0" xfId="0" applyNumberFormat="1" applyFont="1" applyFill="1" applyAlignment="1">
      <alignment horizontal="right"/>
    </xf>
    <xf numFmtId="1" fontId="4" fillId="101" borderId="13" xfId="0" applyNumberFormat="1" applyFont="1" applyFill="1" applyBorder="1" applyAlignment="1">
      <alignment horizontal="right"/>
    </xf>
    <xf numFmtId="2" fontId="4" fillId="142" borderId="13" xfId="0" applyNumberFormat="1" applyFont="1" applyFill="1" applyBorder="1" applyAlignment="1">
      <alignment horizontal="right"/>
    </xf>
    <xf numFmtId="1" fontId="4" fillId="37" borderId="0" xfId="0" applyNumberFormat="1" applyFont="1" applyFill="1" applyAlignment="1">
      <alignment horizontal="right"/>
    </xf>
    <xf numFmtId="166" fontId="4" fillId="143" borderId="0" xfId="0" applyNumberFormat="1" applyFont="1" applyFill="1" applyAlignment="1">
      <alignment horizontal="right"/>
    </xf>
    <xf numFmtId="9" fontId="4" fillId="144" borderId="13" xfId="0" applyNumberFormat="1" applyFont="1" applyFill="1" applyBorder="1" applyAlignment="1">
      <alignment horizontal="right"/>
    </xf>
    <xf numFmtId="166" fontId="4" fillId="37" borderId="0" xfId="0" applyNumberFormat="1" applyFont="1" applyFill="1" applyAlignment="1">
      <alignment horizontal="right"/>
    </xf>
    <xf numFmtId="1" fontId="4" fillId="145" borderId="13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9" fontId="4" fillId="55" borderId="13" xfId="0" applyNumberFormat="1" applyFont="1" applyFill="1" applyBorder="1" applyAlignment="1">
      <alignment horizontal="right"/>
    </xf>
    <xf numFmtId="166" fontId="4" fillId="146" borderId="0" xfId="0" applyNumberFormat="1" applyFont="1" applyFill="1" applyAlignment="1">
      <alignment horizontal="right"/>
    </xf>
    <xf numFmtId="1" fontId="4" fillId="147" borderId="13" xfId="0" applyNumberFormat="1" applyFont="1" applyFill="1" applyBorder="1" applyAlignment="1">
      <alignment horizontal="right"/>
    </xf>
    <xf numFmtId="2" fontId="4" fillId="118" borderId="13" xfId="0" applyNumberFormat="1" applyFont="1" applyFill="1" applyBorder="1" applyAlignment="1">
      <alignment horizontal="right"/>
    </xf>
    <xf numFmtId="166" fontId="4" fillId="148" borderId="0" xfId="0" applyNumberFormat="1" applyFont="1" applyFill="1" applyAlignment="1">
      <alignment horizontal="right"/>
    </xf>
    <xf numFmtId="9" fontId="4" fillId="149" borderId="13" xfId="0" applyNumberFormat="1" applyFont="1" applyFill="1" applyBorder="1" applyAlignment="1">
      <alignment horizontal="right"/>
    </xf>
    <xf numFmtId="166" fontId="4" fillId="150" borderId="0" xfId="0" applyNumberFormat="1" applyFont="1" applyFill="1" applyAlignment="1">
      <alignment horizontal="right"/>
    </xf>
    <xf numFmtId="1" fontId="4" fillId="87" borderId="13" xfId="0" applyNumberFormat="1" applyFont="1" applyFill="1" applyBorder="1" applyAlignment="1">
      <alignment horizontal="right"/>
    </xf>
    <xf numFmtId="2" fontId="4" fillId="151" borderId="13" xfId="0" applyNumberFormat="1" applyFont="1" applyFill="1" applyBorder="1" applyAlignment="1">
      <alignment horizontal="right"/>
    </xf>
    <xf numFmtId="166" fontId="4" fillId="17" borderId="0" xfId="0" applyNumberFormat="1" applyFont="1" applyFill="1" applyAlignment="1">
      <alignment horizontal="right"/>
    </xf>
    <xf numFmtId="9" fontId="4" fillId="152" borderId="13" xfId="0" applyNumberFormat="1" applyFont="1" applyFill="1" applyBorder="1" applyAlignment="1">
      <alignment horizontal="right"/>
    </xf>
    <xf numFmtId="166" fontId="4" fillId="153" borderId="0" xfId="0" applyNumberFormat="1" applyFont="1" applyFill="1" applyAlignment="1">
      <alignment horizontal="right"/>
    </xf>
    <xf numFmtId="2" fontId="4" fillId="154" borderId="13" xfId="0" applyNumberFormat="1" applyFont="1" applyFill="1" applyBorder="1" applyAlignment="1">
      <alignment horizontal="right"/>
    </xf>
    <xf numFmtId="166" fontId="4" fillId="155" borderId="0" xfId="0" applyNumberFormat="1" applyFont="1" applyFill="1" applyAlignment="1">
      <alignment horizontal="right"/>
    </xf>
    <xf numFmtId="2" fontId="4" fillId="156" borderId="13" xfId="0" applyNumberFormat="1" applyFont="1" applyFill="1" applyBorder="1" applyAlignment="1">
      <alignment horizontal="right"/>
    </xf>
    <xf numFmtId="9" fontId="4" fillId="36" borderId="13" xfId="0" applyNumberFormat="1" applyFont="1" applyFill="1" applyBorder="1" applyAlignment="1">
      <alignment horizontal="right"/>
    </xf>
    <xf numFmtId="166" fontId="4" fillId="157" borderId="0" xfId="0" applyNumberFormat="1" applyFont="1" applyFill="1" applyAlignment="1">
      <alignment horizontal="right"/>
    </xf>
    <xf numFmtId="1" fontId="4" fillId="158" borderId="13" xfId="0" applyNumberFormat="1" applyFont="1" applyFill="1" applyBorder="1" applyAlignment="1">
      <alignment horizontal="right"/>
    </xf>
    <xf numFmtId="166" fontId="4" fillId="56" borderId="3" xfId="0" applyNumberFormat="1" applyFont="1" applyFill="1" applyBorder="1" applyAlignment="1">
      <alignment horizontal="right"/>
    </xf>
    <xf numFmtId="9" fontId="4" fillId="159" borderId="15" xfId="0" applyNumberFormat="1" applyFont="1" applyFill="1" applyBorder="1" applyAlignment="1">
      <alignment horizontal="right"/>
    </xf>
    <xf numFmtId="166" fontId="4" fillId="160" borderId="3" xfId="0" applyNumberFormat="1" applyFont="1" applyFill="1" applyBorder="1" applyAlignment="1">
      <alignment horizontal="right"/>
    </xf>
    <xf numFmtId="1" fontId="4" fillId="161" borderId="13" xfId="0" applyNumberFormat="1" applyFont="1" applyFill="1" applyBorder="1" applyAlignment="1">
      <alignment horizontal="right"/>
    </xf>
    <xf numFmtId="2" fontId="4" fillId="112" borderId="13" xfId="0" applyNumberFormat="1" applyFont="1" applyFill="1" applyBorder="1" applyAlignment="1">
      <alignment horizontal="right"/>
    </xf>
    <xf numFmtId="1" fontId="4" fillId="162" borderId="13" xfId="0" applyNumberFormat="1" applyFont="1" applyFill="1" applyBorder="1" applyAlignment="1">
      <alignment horizontal="right"/>
    </xf>
    <xf numFmtId="9" fontId="4" fillId="0" borderId="5" xfId="0" applyNumberFormat="1" applyFont="1" applyBorder="1" applyAlignment="1">
      <alignment horizontal="right"/>
    </xf>
    <xf numFmtId="9" fontId="4" fillId="21" borderId="17" xfId="0" applyNumberFormat="1" applyFont="1" applyFill="1" applyBorder="1" applyAlignment="1">
      <alignment horizontal="right"/>
    </xf>
    <xf numFmtId="0" fontId="14" fillId="3" borderId="1" xfId="0" applyFont="1" applyFill="1" applyBorder="1"/>
    <xf numFmtId="0" fontId="14" fillId="16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164" borderId="0" xfId="0" applyFont="1" applyFill="1" applyAlignment="1">
      <alignment horizontal="right"/>
    </xf>
    <xf numFmtId="1" fontId="4" fillId="0" borderId="18" xfId="0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0" fontId="4" fillId="0" borderId="0" xfId="0" applyNumberFormat="1" applyFont="1"/>
    <xf numFmtId="0" fontId="16" fillId="0" borderId="0" xfId="0" applyFont="1" applyAlignment="1">
      <alignment horizontal="right"/>
    </xf>
    <xf numFmtId="2" fontId="4" fillId="0" borderId="0" xfId="0" applyNumberFormat="1" applyFont="1"/>
    <xf numFmtId="10" fontId="16" fillId="0" borderId="0" xfId="0" applyNumberFormat="1" applyFont="1"/>
    <xf numFmtId="0" fontId="16" fillId="0" borderId="1" xfId="0" applyFont="1" applyBorder="1"/>
    <xf numFmtId="1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0" fontId="16" fillId="0" borderId="1" xfId="0" applyNumberFormat="1" applyFont="1" applyBorder="1" applyAlignment="1">
      <alignment horizontal="right"/>
    </xf>
    <xf numFmtId="10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'Residential,Commercial Projects'!$C$34</c:f>
              <c:strCache>
                <c:ptCount val="1"/>
                <c:pt idx="0">
                  <c:v>MARKETCAP in Cr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B63-4F16-A034-D710D0FF37A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B63-4F16-A034-D710D0FF37A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B63-4F16-A034-D710D0FF37A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B63-4F16-A034-D710D0FF37A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B63-4F16-A034-D710D0FF37A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B63-4F16-A034-D710D0FF37A4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B63-4F16-A034-D710D0FF37A4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5B63-4F16-A034-D710D0FF37A4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5B63-4F16-A034-D710D0FF37A4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5B63-4F16-A034-D710D0FF37A4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5B63-4F16-A034-D710D0FF37A4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5B63-4F16-A034-D710D0FF37A4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5B63-4F16-A034-D710D0FF37A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A-5B63-4F16-A034-D710D0FF37A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B-5B63-4F16-A034-D710D0FF37A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C-5B63-4F16-A034-D710D0FF37A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D-5B63-4F16-A034-D710D0FF37A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E-5B63-4F16-A034-D710D0FF37A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F-5B63-4F16-A034-D710D0FF37A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0-5B63-4F16-A034-D710D0FF37A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'Residential,Commercial Projects'!$B$35:$B$54</c:f>
              <c:strCache>
                <c:ptCount val="16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  <c:pt idx="11">
                  <c:v>OTHER_128</c:v>
                </c:pt>
                <c:pt idx="15">
                  <c:v>INDUSTRY</c:v>
                </c:pt>
              </c:strCache>
            </c:strRef>
          </c:cat>
          <c:val>
            <c:numRef>
              <c:f>'Residential,Commercial Projects'!$C$35:$C$54</c:f>
              <c:numCache>
                <c:formatCode>0</c:formatCode>
                <c:ptCount val="20"/>
                <c:pt idx="0">
                  <c:v>216193.6687832</c:v>
                </c:pt>
                <c:pt idx="1">
                  <c:v>147297.29665559999</c:v>
                </c:pt>
                <c:pt idx="2">
                  <c:v>90324.931649999999</c:v>
                </c:pt>
                <c:pt idx="3">
                  <c:v>84137.549079999997</c:v>
                </c:pt>
                <c:pt idx="4">
                  <c:v>81265.864730800007</c:v>
                </c:pt>
                <c:pt idx="5">
                  <c:v>61271.960150799998</c:v>
                </c:pt>
                <c:pt idx="6">
                  <c:v>31145.807127799999</c:v>
                </c:pt>
                <c:pt idx="7">
                  <c:v>27563.1064214</c:v>
                </c:pt>
                <c:pt idx="8">
                  <c:v>18184.881165899998</c:v>
                </c:pt>
                <c:pt idx="9">
                  <c:v>16448.840062499999</c:v>
                </c:pt>
                <c:pt idx="10">
                  <c:v>11497.0612435</c:v>
                </c:pt>
                <c:pt idx="11">
                  <c:v>160443</c:v>
                </c:pt>
                <c:pt idx="15">
                  <c:v>947757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B63-4F16-A034-D710D0FF3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Projects'!$H$138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Projects'!$G$139:$G$150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Projects'!$H$139:$H$150</c:f>
              <c:numCache>
                <c:formatCode>0</c:formatCode>
                <c:ptCount val="12"/>
                <c:pt idx="0">
                  <c:v>34.704487179487181</c:v>
                </c:pt>
                <c:pt idx="1">
                  <c:v>26.286166842661032</c:v>
                </c:pt>
                <c:pt idx="2">
                  <c:v>64.993339253996439</c:v>
                </c:pt>
                <c:pt idx="3">
                  <c:v>38.833492366412216</c:v>
                </c:pt>
                <c:pt idx="4">
                  <c:v>32.930250189537531</c:v>
                </c:pt>
                <c:pt idx="5">
                  <c:v>43.018641010222488</c:v>
                </c:pt>
                <c:pt idx="6">
                  <c:v>54.15650406504065</c:v>
                </c:pt>
                <c:pt idx="7">
                  <c:v>458.153685674548</c:v>
                </c:pt>
                <c:pt idx="8">
                  <c:v>3.6845425867507888</c:v>
                </c:pt>
                <c:pt idx="9">
                  <c:v>26.024169184290027</c:v>
                </c:pt>
                <c:pt idx="10">
                  <c:v>49.154727793696281</c:v>
                </c:pt>
                <c:pt idx="11">
                  <c:v>30.92573221757322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829-452E-B29B-4DF4C42E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6134"/>
        <c:axId val="60272630"/>
      </c:barChart>
      <c:catAx>
        <c:axId val="206461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272630"/>
        <c:crosses val="autoZero"/>
        <c:auto val="1"/>
        <c:lblAlgn val="ctr"/>
        <c:lblOffset val="100"/>
        <c:noMultiLvlLbl val="1"/>
      </c:catAx>
      <c:valAx>
        <c:axId val="602726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461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Projects'!$L$138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Projects'!$K$139:$K$150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Projects'!$L$139:$L$150</c:f>
              <c:numCache>
                <c:formatCode>0.00</c:formatCode>
                <c:ptCount val="12"/>
                <c:pt idx="0">
                  <c:v>2.077187828627975</c:v>
                </c:pt>
                <c:pt idx="1">
                  <c:v>1.5145623267585264</c:v>
                </c:pt>
                <c:pt idx="2">
                  <c:v>1.5340711554061883</c:v>
                </c:pt>
                <c:pt idx="3">
                  <c:v>4.7149088025376686</c:v>
                </c:pt>
                <c:pt idx="4">
                  <c:v>1.3436772692009309</c:v>
                </c:pt>
                <c:pt idx="5">
                  <c:v>1.1404882357664821</c:v>
                </c:pt>
                <c:pt idx="6">
                  <c:v>1.1540364290532943</c:v>
                </c:pt>
                <c:pt idx="7">
                  <c:v>1.3311008790288823</c:v>
                </c:pt>
                <c:pt idx="8">
                  <c:v>1.2001449012859988</c:v>
                </c:pt>
                <c:pt idx="9">
                  <c:v>1.1182949214766469</c:v>
                </c:pt>
                <c:pt idx="10">
                  <c:v>1.1452742123687281</c:v>
                </c:pt>
                <c:pt idx="11">
                  <c:v>5.3487804878048779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C83-4DE7-8E19-CFF6A998F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07330"/>
        <c:axId val="566592403"/>
      </c:barChart>
      <c:catAx>
        <c:axId val="14316073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6592403"/>
        <c:crosses val="autoZero"/>
        <c:auto val="1"/>
        <c:lblAlgn val="ctr"/>
        <c:lblOffset val="100"/>
        <c:noMultiLvlLbl val="1"/>
      </c:catAx>
      <c:valAx>
        <c:axId val="5665924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16073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'Residential,Commercial Projects'!$G$34</c:f>
              <c:strCache>
                <c:ptCount val="1"/>
                <c:pt idx="0">
                  <c:v>SALES_24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0B0-4923-8083-04D023DB292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0B0-4923-8083-04D023DB292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0B0-4923-8083-04D023DB292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0B0-4923-8083-04D023DB292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0B0-4923-8083-04D023DB292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0B0-4923-8083-04D023DB292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0B0-4923-8083-04D023DB292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0B0-4923-8083-04D023DB292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0B0-4923-8083-04D023DB292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20B0-4923-8083-04D023DB292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20B0-4923-8083-04D023DB292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20B0-4923-8083-04D023DB292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'Residential,Commercial Projects'!$F$35:$F$46</c:f>
              <c:strCache>
                <c:ptCount val="11"/>
                <c:pt idx="0">
                  <c:v>LODHA</c:v>
                </c:pt>
                <c:pt idx="1">
                  <c:v>PRESTIGE</c:v>
                </c:pt>
                <c:pt idx="2">
                  <c:v>DLF</c:v>
                </c:pt>
                <c:pt idx="3">
                  <c:v>RAYMOND</c:v>
                </c:pt>
                <c:pt idx="4">
                  <c:v>OBEROIRLTY</c:v>
                </c:pt>
                <c:pt idx="5">
                  <c:v>BRIGADE</c:v>
                </c:pt>
                <c:pt idx="6">
                  <c:v>PHOENIXLTD</c:v>
                </c:pt>
                <c:pt idx="7">
                  <c:v>GODREJPROP</c:v>
                </c:pt>
                <c:pt idx="8">
                  <c:v>SOBHA</c:v>
                </c:pt>
                <c:pt idx="9">
                  <c:v>SIGNATURE</c:v>
                </c:pt>
                <c:pt idx="10">
                  <c:v>ANANTRAJ</c:v>
                </c:pt>
              </c:strCache>
            </c:strRef>
          </c:cat>
          <c:val>
            <c:numRef>
              <c:f>'Residential,Commercial Projects'!$G$35:$G$46</c:f>
              <c:numCache>
                <c:formatCode>General</c:formatCode>
                <c:ptCount val="12"/>
                <c:pt idx="0">
                  <c:v>12421</c:v>
                </c:pt>
                <c:pt idx="1">
                  <c:v>8126</c:v>
                </c:pt>
                <c:pt idx="2">
                  <c:v>6993</c:v>
                </c:pt>
                <c:pt idx="3">
                  <c:v>5312</c:v>
                </c:pt>
                <c:pt idx="4">
                  <c:v>5094</c:v>
                </c:pt>
                <c:pt idx="5">
                  <c:v>5026</c:v>
                </c:pt>
                <c:pt idx="6">
                  <c:v>4114</c:v>
                </c:pt>
                <c:pt idx="7">
                  <c:v>3589</c:v>
                </c:pt>
                <c:pt idx="8">
                  <c:v>3022</c:v>
                </c:pt>
                <c:pt idx="9">
                  <c:v>2126</c:v>
                </c:pt>
                <c:pt idx="10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0B0-4923-8083-04D023DB2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Projects'!$K$34</c:f>
              <c:strCache>
                <c:ptCount val="1"/>
                <c:pt idx="0">
                  <c:v>PROFIT_24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Projects'!$J$35:$J$46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Projects'!$K$35:$K$46</c:f>
              <c:numCache>
                <c:formatCode>General</c:formatCode>
                <c:ptCount val="12"/>
                <c:pt idx="0">
                  <c:v>2724</c:v>
                </c:pt>
                <c:pt idx="1">
                  <c:v>1554</c:v>
                </c:pt>
                <c:pt idx="2">
                  <c:v>2252</c:v>
                </c:pt>
                <c:pt idx="3">
                  <c:v>1927</c:v>
                </c:pt>
                <c:pt idx="4">
                  <c:v>681</c:v>
                </c:pt>
                <c:pt idx="5">
                  <c:v>1057</c:v>
                </c:pt>
                <c:pt idx="6">
                  <c:v>458</c:v>
                </c:pt>
                <c:pt idx="7">
                  <c:v>346</c:v>
                </c:pt>
                <c:pt idx="8">
                  <c:v>54</c:v>
                </c:pt>
                <c:pt idx="9">
                  <c:v>54</c:v>
                </c:pt>
                <c:pt idx="10">
                  <c:v>430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7CC-45C7-9079-CD6F13400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549121"/>
        <c:axId val="2033715359"/>
      </c:barChart>
      <c:catAx>
        <c:axId val="9645491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3715359"/>
        <c:crosses val="autoZero"/>
        <c:auto val="1"/>
        <c:lblAlgn val="ctr"/>
        <c:lblOffset val="100"/>
        <c:noMultiLvlLbl val="1"/>
      </c:catAx>
      <c:valAx>
        <c:axId val="20337153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45491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Projects'!$C$74</c:f>
              <c:strCache>
                <c:ptCount val="1"/>
                <c:pt idx="0">
                  <c:v>SALES_6Y_GR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Projects'!$B$75:$B$86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Projects'!$C$75:$C$86</c:f>
              <c:numCache>
                <c:formatCode>0.00%</c:formatCode>
                <c:ptCount val="12"/>
                <c:pt idx="0">
                  <c:v>6.9839232366470938E-3</c:v>
                </c:pt>
                <c:pt idx="1">
                  <c:v>4.2483772661357611E-2</c:v>
                </c:pt>
                <c:pt idx="2">
                  <c:v>0.11290198423989484</c:v>
                </c:pt>
                <c:pt idx="3">
                  <c:v>0.26132809444848459</c:v>
                </c:pt>
                <c:pt idx="4">
                  <c:v>0.30849377699415736</c:v>
                </c:pt>
                <c:pt idx="5">
                  <c:v>-4.7210941360180447E-2</c:v>
                </c:pt>
                <c:pt idx="6">
                  <c:v>0.17632102346512468</c:v>
                </c:pt>
                <c:pt idx="7">
                  <c:v>0.24873904648863632</c:v>
                </c:pt>
                <c:pt idx="8">
                  <c:v>0.43645265281183465</c:v>
                </c:pt>
                <c:pt idx="9">
                  <c:v>1.3644242636489112E-2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5D5-4BBB-BBB3-8BDB9099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082779"/>
        <c:axId val="1308902660"/>
      </c:barChart>
      <c:catAx>
        <c:axId val="13440827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8902660"/>
        <c:crosses val="autoZero"/>
        <c:auto val="1"/>
        <c:lblAlgn val="ctr"/>
        <c:lblOffset val="100"/>
        <c:noMultiLvlLbl val="1"/>
      </c:catAx>
      <c:valAx>
        <c:axId val="13089026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40827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Projects'!$G$74</c:f>
              <c:strCache>
                <c:ptCount val="1"/>
                <c:pt idx="0">
                  <c:v>H1_FY25_SALES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Projects'!$F$75:$F$86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Projects'!$G$75:$G$86</c:f>
              <c:numCache>
                <c:formatCode>0%</c:formatCode>
                <c:ptCount val="12"/>
                <c:pt idx="0">
                  <c:v>0.20430000000000001</c:v>
                </c:pt>
                <c:pt idx="1">
                  <c:v>0.62519999999999998</c:v>
                </c:pt>
                <c:pt idx="2">
                  <c:v>0.628</c:v>
                </c:pt>
                <c:pt idx="3">
                  <c:v>0.28620000000000001</c:v>
                </c:pt>
                <c:pt idx="4">
                  <c:v>5.9499999999999997E-2</c:v>
                </c:pt>
                <c:pt idx="5">
                  <c:v>8.6499999999999994E-2</c:v>
                </c:pt>
                <c:pt idx="6">
                  <c:v>6.3799999999999996E-2</c:v>
                </c:pt>
                <c:pt idx="7">
                  <c:v>0.52010000000000001</c:v>
                </c:pt>
                <c:pt idx="8">
                  <c:v>3.3561000000000001</c:v>
                </c:pt>
                <c:pt idx="9">
                  <c:v>-4.5499999999999999E-2</c:v>
                </c:pt>
                <c:pt idx="10">
                  <c:v>1.1017999999999999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744-4570-B834-B1A0E1A11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015913"/>
        <c:axId val="1439484217"/>
      </c:barChart>
      <c:catAx>
        <c:axId val="16450159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9484217"/>
        <c:crosses val="autoZero"/>
        <c:auto val="1"/>
        <c:lblAlgn val="ctr"/>
        <c:lblOffset val="100"/>
        <c:noMultiLvlLbl val="1"/>
      </c:catAx>
      <c:valAx>
        <c:axId val="14394842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50159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Projects'!$C$106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Projects'!$B$107:$B$118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Projects'!$C$107:$C$118</c:f>
              <c:numCache>
                <c:formatCode>0.00</c:formatCode>
                <c:ptCount val="12"/>
                <c:pt idx="0">
                  <c:v>0.10541823112223613</c:v>
                </c:pt>
                <c:pt idx="1">
                  <c:v>0.56897166916434738</c:v>
                </c:pt>
                <c:pt idx="2">
                  <c:v>1.4106214924132197</c:v>
                </c:pt>
                <c:pt idx="3">
                  <c:v>0.15751609238924649</c:v>
                </c:pt>
                <c:pt idx="4">
                  <c:v>0.27781072608658813</c:v>
                </c:pt>
                <c:pt idx="5">
                  <c:v>0.4172441724417244</c:v>
                </c:pt>
                <c:pt idx="6">
                  <c:v>1.4802724950326427</c:v>
                </c:pt>
                <c:pt idx="7">
                  <c:v>0.28000000000000003</c:v>
                </c:pt>
                <c:pt idx="8">
                  <c:v>3.9217687074829932</c:v>
                </c:pt>
                <c:pt idx="9">
                  <c:v>0.59767891682785301</c:v>
                </c:pt>
                <c:pt idx="10">
                  <c:v>0.26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8A0-41A8-93FA-6442F6C5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301100"/>
        <c:axId val="1174914315"/>
      </c:barChart>
      <c:catAx>
        <c:axId val="1070301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914315"/>
        <c:crosses val="autoZero"/>
        <c:auto val="1"/>
        <c:lblAlgn val="ctr"/>
        <c:lblOffset val="100"/>
        <c:noMultiLvlLbl val="1"/>
      </c:catAx>
      <c:valAx>
        <c:axId val="1174914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03011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Projects'!$G$106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Projects'!$F$107:$F$118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Projects'!$G$107:$G$118</c:f>
              <c:numCache>
                <c:formatCode>0</c:formatCode>
                <c:ptCount val="12"/>
                <c:pt idx="0">
                  <c:v>7.24</c:v>
                </c:pt>
                <c:pt idx="1">
                  <c:v>6.85</c:v>
                </c:pt>
                <c:pt idx="2">
                  <c:v>11.2</c:v>
                </c:pt>
                <c:pt idx="3">
                  <c:v>15.26</c:v>
                </c:pt>
                <c:pt idx="4">
                  <c:v>1.8</c:v>
                </c:pt>
                <c:pt idx="5">
                  <c:v>5.07</c:v>
                </c:pt>
                <c:pt idx="6">
                  <c:v>2.16</c:v>
                </c:pt>
                <c:pt idx="7">
                  <c:v>17.649999999999999</c:v>
                </c:pt>
                <c:pt idx="8">
                  <c:v>2.14</c:v>
                </c:pt>
                <c:pt idx="9">
                  <c:v>1.36</c:v>
                </c:pt>
                <c:pt idx="10">
                  <c:v>4.26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2F9-4E08-A020-B7DA7F4A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429457"/>
        <c:axId val="1938299821"/>
      </c:barChart>
      <c:catAx>
        <c:axId val="9374294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8299821"/>
        <c:crosses val="autoZero"/>
        <c:auto val="1"/>
        <c:lblAlgn val="ctr"/>
        <c:lblOffset val="100"/>
        <c:noMultiLvlLbl val="1"/>
      </c:catAx>
      <c:valAx>
        <c:axId val="19382998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4294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Projects'!$K$106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Projects'!$J$107:$J$118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Projects'!$K$107:$K$118</c:f>
              <c:numCache>
                <c:formatCode>0.00</c:formatCode>
                <c:ptCount val="12"/>
                <c:pt idx="0">
                  <c:v>0.32113148558010751</c:v>
                </c:pt>
                <c:pt idx="1">
                  <c:v>0.68187026157334052</c:v>
                </c:pt>
                <c:pt idx="2">
                  <c:v>0.67779967382440875</c:v>
                </c:pt>
                <c:pt idx="3">
                  <c:v>0.30613788631942945</c:v>
                </c:pt>
                <c:pt idx="4">
                  <c:v>0.37023139462163851</c:v>
                </c:pt>
                <c:pt idx="5">
                  <c:v>0.72858400971127979</c:v>
                </c:pt>
                <c:pt idx="6">
                  <c:v>0.80594374668317703</c:v>
                </c:pt>
                <c:pt idx="7">
                  <c:v>0.62271731190650115</c:v>
                </c:pt>
                <c:pt idx="8">
                  <c:v>0.91534391534391535</c:v>
                </c:pt>
                <c:pt idx="9">
                  <c:v>0.80955292319449756</c:v>
                </c:pt>
                <c:pt idx="10">
                  <c:v>0.63906056860321381</c:v>
                </c:pt>
                <c:pt idx="11">
                  <c:v>0.33461018476791349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1A1-45AD-90C4-2514C065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948336"/>
        <c:axId val="267823213"/>
      </c:barChart>
      <c:catAx>
        <c:axId val="148594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7823213"/>
        <c:crosses val="autoZero"/>
        <c:auto val="1"/>
        <c:lblAlgn val="ctr"/>
        <c:lblOffset val="100"/>
        <c:noMultiLvlLbl val="1"/>
      </c:catAx>
      <c:valAx>
        <c:axId val="2678232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59483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 %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Projects'!$C$138</c:f>
              <c:strCache>
                <c:ptCount val="1"/>
                <c:pt idx="0">
                  <c:v>Margin_H1_Fy25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Projects'!$B$139:$B$150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Projects'!$C$139:$C$150</c:f>
              <c:numCache>
                <c:formatCode>0.0%</c:formatCode>
                <c:ptCount val="12"/>
                <c:pt idx="0">
                  <c:v>0.60919999999999996</c:v>
                </c:pt>
                <c:pt idx="1">
                  <c:v>0.1643</c:v>
                </c:pt>
                <c:pt idx="2">
                  <c:v>0.2797</c:v>
                </c:pt>
                <c:pt idx="3">
                  <c:v>0.41930000000000001</c:v>
                </c:pt>
                <c:pt idx="4">
                  <c:v>2.1399999999999999E-2</c:v>
                </c:pt>
                <c:pt idx="5">
                  <c:v>0.23719999999999999</c:v>
                </c:pt>
                <c:pt idx="6">
                  <c:v>9.1200000000000003E-2</c:v>
                </c:pt>
                <c:pt idx="7">
                  <c:v>0.2</c:v>
                </c:pt>
                <c:pt idx="8">
                  <c:v>9.5999999999999992E-3</c:v>
                </c:pt>
                <c:pt idx="9">
                  <c:v>9.4999999999999998E-3</c:v>
                </c:pt>
                <c:pt idx="10">
                  <c:v>5.8500000000000003E-2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432-4513-B36B-587B57ADD98B}"/>
            </c:ext>
          </c:extLst>
        </c:ser>
        <c:ser>
          <c:idx val="1"/>
          <c:order val="1"/>
          <c:tx>
            <c:strRef>
              <c:f>'Residential,Commercial Projects'!$D$138</c:f>
              <c:strCache>
                <c:ptCount val="1"/>
                <c:pt idx="0">
                  <c:v>Margin_H1_Fy24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Projects'!$B$139:$B$150</c:f>
              <c:strCache>
                <c:ptCount val="11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PRESTIGE</c:v>
                </c:pt>
                <c:pt idx="5">
                  <c:v>PHOENIXLTD</c:v>
                </c:pt>
                <c:pt idx="6">
                  <c:v>BRIGADE</c:v>
                </c:pt>
                <c:pt idx="7">
                  <c:v>ANANTRAJ</c:v>
                </c:pt>
                <c:pt idx="8">
                  <c:v>SIGNATURE</c:v>
                </c:pt>
                <c:pt idx="9">
                  <c:v>SOBHA</c:v>
                </c:pt>
                <c:pt idx="10">
                  <c:v>RAYMOND</c:v>
                </c:pt>
              </c:strCache>
            </c:strRef>
          </c:cat>
          <c:val>
            <c:numRef>
              <c:f>'Residential,Commercial Projects'!$D$139:$D$150</c:f>
              <c:numCache>
                <c:formatCode>0%</c:formatCode>
                <c:ptCount val="12"/>
                <c:pt idx="0">
                  <c:v>0.4168</c:v>
                </c:pt>
                <c:pt idx="1">
                  <c:v>0.1135</c:v>
                </c:pt>
                <c:pt idx="2">
                  <c:v>0.1101</c:v>
                </c:pt>
                <c:pt idx="3">
                  <c:v>0.3574</c:v>
                </c:pt>
                <c:pt idx="4">
                  <c:v>0.1031</c:v>
                </c:pt>
                <c:pt idx="5">
                  <c:v>0.28239999999999998</c:v>
                </c:pt>
                <c:pt idx="6">
                  <c:v>9.2999999999999999E-2</c:v>
                </c:pt>
                <c:pt idx="7">
                  <c:v>0.16980000000000001</c:v>
                </c:pt>
                <c:pt idx="8">
                  <c:v>-0.1023</c:v>
                </c:pt>
                <c:pt idx="9">
                  <c:v>9.1000000000000004E-3</c:v>
                </c:pt>
                <c:pt idx="10">
                  <c:v>7.7399999999999997E-2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432-4513-B36B-587B57ADD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085538"/>
        <c:axId val="659245374"/>
      </c:barChart>
      <c:catAx>
        <c:axId val="7160855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9245374"/>
        <c:crosses val="autoZero"/>
        <c:auto val="1"/>
        <c:lblAlgn val="ctr"/>
        <c:lblOffset val="100"/>
        <c:noMultiLvlLbl val="1"/>
      </c:catAx>
      <c:valAx>
        <c:axId val="6592453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60855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47</xdr:row>
      <xdr:rowOff>76200</xdr:rowOff>
    </xdr:from>
    <xdr:ext cx="10991850" cy="467677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844D3C9F-743E-4B54-BD5E-78551CB088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9151620"/>
          <a:ext cx="10991850" cy="4676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55</xdr:row>
      <xdr:rowOff>209550</xdr:rowOff>
    </xdr:from>
    <xdr:ext cx="4724400" cy="29432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1A16BD3-1BCB-4376-904E-01533D1D9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476250</xdr:colOff>
      <xdr:row>55</xdr:row>
      <xdr:rowOff>209550</xdr:rowOff>
    </xdr:from>
    <xdr:ext cx="4800600" cy="29432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F32DBE06-813D-469A-ACBE-13020AC85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447675</xdr:colOff>
      <xdr:row>55</xdr:row>
      <xdr:rowOff>209550</xdr:rowOff>
    </xdr:from>
    <xdr:ext cx="4724400" cy="29432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26BB0148-A9BE-4E52-B594-03F927C1A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133350</xdr:colOff>
      <xdr:row>88</xdr:row>
      <xdr:rowOff>47625</xdr:rowOff>
    </xdr:from>
    <xdr:ext cx="4867275" cy="30099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9A28E6CD-A64B-4B2E-B1EC-69F15F517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619125</xdr:colOff>
      <xdr:row>88</xdr:row>
      <xdr:rowOff>47625</xdr:rowOff>
    </xdr:from>
    <xdr:ext cx="4867275" cy="30099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3B815D45-114B-41B8-AF8B-BAC136162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119</xdr:row>
      <xdr:rowOff>200025</xdr:rowOff>
    </xdr:from>
    <xdr:ext cx="4914900" cy="30956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0B95202-160B-4CA4-B697-574C81B36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533400</xdr:colOff>
      <xdr:row>119</xdr:row>
      <xdr:rowOff>200025</xdr:rowOff>
    </xdr:from>
    <xdr:ext cx="4972050" cy="30956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6BB296ED-C899-467E-B7D3-C8B69CEF2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685800</xdr:colOff>
      <xdr:row>119</xdr:row>
      <xdr:rowOff>200025</xdr:rowOff>
    </xdr:from>
    <xdr:ext cx="4972050" cy="30956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75FA880A-BF35-4877-8528-9899BA625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0</xdr:colOff>
      <xdr:row>152</xdr:row>
      <xdr:rowOff>123825</xdr:rowOff>
    </xdr:from>
    <xdr:ext cx="4800600" cy="30099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2C1E2F6B-8C9B-4725-90E5-8A57BA30B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10</xdr:col>
      <xdr:colOff>381000</xdr:colOff>
      <xdr:row>152</xdr:row>
      <xdr:rowOff>123825</xdr:rowOff>
    </xdr:from>
    <xdr:ext cx="4867275" cy="30099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D80A03BA-CD12-4112-ADF5-0DA9F2AE8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5</xdr:col>
      <xdr:colOff>400050</xdr:colOff>
      <xdr:row>152</xdr:row>
      <xdr:rowOff>123825</xdr:rowOff>
    </xdr:from>
    <xdr:ext cx="4800600" cy="30099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CE3B24A2-6C38-448D-A813-29C55E900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6</xdr:col>
      <xdr:colOff>838200</xdr:colOff>
      <xdr:row>6</xdr:row>
      <xdr:rowOff>85725</xdr:rowOff>
    </xdr:from>
    <xdr:ext cx="5248275" cy="2152650"/>
    <xdr:pic>
      <xdr:nvPicPr>
        <xdr:cNvPr id="13" name="image4.png" title="Image">
          <a:extLst>
            <a:ext uri="{FF2B5EF4-FFF2-40B4-BE49-F238E27FC236}">
              <a16:creationId xmlns:a16="http://schemas.microsoft.com/office/drawing/2014/main" id="{D07D7CF6-6A26-4B5C-B8EB-110EF251C9D2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79820" y="1274445"/>
          <a:ext cx="5248275" cy="21526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323850</xdr:colOff>
      <xdr:row>6</xdr:row>
      <xdr:rowOff>133350</xdr:rowOff>
    </xdr:from>
    <xdr:ext cx="3581400" cy="2105025"/>
    <xdr:pic>
      <xdr:nvPicPr>
        <xdr:cNvPr id="14" name="image2.png" title="Image">
          <a:extLst>
            <a:ext uri="{FF2B5EF4-FFF2-40B4-BE49-F238E27FC236}">
              <a16:creationId xmlns:a16="http://schemas.microsoft.com/office/drawing/2014/main" id="{0855B099-E2C3-4E07-AB54-9FDE455C0CF3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426190" y="1322070"/>
          <a:ext cx="3581400" cy="2105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5</xdr:row>
      <xdr:rowOff>190500</xdr:rowOff>
    </xdr:from>
    <xdr:ext cx="5962650" cy="2543175"/>
    <xdr:pic>
      <xdr:nvPicPr>
        <xdr:cNvPr id="15" name="image3.png" title="Image">
          <a:extLst>
            <a:ext uri="{FF2B5EF4-FFF2-40B4-BE49-F238E27FC236}">
              <a16:creationId xmlns:a16="http://schemas.microsoft.com/office/drawing/2014/main" id="{E383B7F2-4EDA-4B80-B4BA-73D786A33456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19075" y="1181100"/>
          <a:ext cx="5962650" cy="2543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20</xdr:row>
      <xdr:rowOff>76200</xdr:rowOff>
    </xdr:from>
    <xdr:ext cx="4724400" cy="2152650"/>
    <xdr:pic>
      <xdr:nvPicPr>
        <xdr:cNvPr id="16" name="image1.png" title="Image">
          <a:extLst>
            <a:ext uri="{FF2B5EF4-FFF2-40B4-BE49-F238E27FC236}">
              <a16:creationId xmlns:a16="http://schemas.microsoft.com/office/drawing/2014/main" id="{AB24D159-FF43-4FA5-8A0F-52A654CFA40B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7150" y="4038600"/>
          <a:ext cx="4724400" cy="21526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Residential,%20Commercial%20Projects%20(3).xlsx" TargetMode="External"/><Relationship Id="rId1" Type="http://schemas.openxmlformats.org/officeDocument/2006/relationships/externalLinkPath" Target="/Users/profi/Downloads/Residential,%20Commercial%20Project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idential,Commercial Projects"/>
      <sheetName val="GODREJ_PROPERTIES"/>
      <sheetName val="Sheet2"/>
      <sheetName val="Sheet1"/>
      <sheetName val="Sheet3"/>
      <sheetName val="Realty"/>
      <sheetName val="dataStudy"/>
      <sheetName val="IBREALEST"/>
      <sheetName val="OBEROIRLTY"/>
      <sheetName val="KOLTEPATIL"/>
      <sheetName val="ASHIANA"/>
      <sheetName val="AHLUCONT"/>
      <sheetName val="PRESTIGE"/>
      <sheetName val="BRIGADE"/>
      <sheetName val="CAPACITE"/>
      <sheetName val="SUNTECK"/>
      <sheetName val="DLF"/>
      <sheetName val="GEECEE"/>
      <sheetName val="HDIL"/>
      <sheetName val="PURVA"/>
      <sheetName val="PHOENIXLTD"/>
      <sheetName val="SOBHA"/>
      <sheetName val="UNITECH"/>
    </sheetNames>
    <sheetDataSet>
      <sheetData sheetId="0">
        <row r="34">
          <cell r="C34" t="str">
            <v>MARKETCAP in Cr</v>
          </cell>
          <cell r="G34" t="str">
            <v>SALES_24</v>
          </cell>
          <cell r="K34" t="str">
            <v>PROFIT_24</v>
          </cell>
        </row>
        <row r="35">
          <cell r="B35" t="str">
            <v>DLF</v>
          </cell>
          <cell r="C35">
            <v>216193.6687832</v>
          </cell>
          <cell r="F35" t="str">
            <v>LODHA</v>
          </cell>
          <cell r="G35">
            <v>12421</v>
          </cell>
          <cell r="J35" t="str">
            <v>DLF</v>
          </cell>
          <cell r="K35">
            <v>2724</v>
          </cell>
        </row>
        <row r="36">
          <cell r="B36" t="str">
            <v>LODHA</v>
          </cell>
          <cell r="C36">
            <v>147297.29665559999</v>
          </cell>
          <cell r="F36" t="str">
            <v>PRESTIGE</v>
          </cell>
          <cell r="G36">
            <v>8126</v>
          </cell>
          <cell r="J36" t="str">
            <v>LODHA</v>
          </cell>
          <cell r="K36">
            <v>1554</v>
          </cell>
        </row>
        <row r="37">
          <cell r="B37" t="str">
            <v>GODREJPROP</v>
          </cell>
          <cell r="C37">
            <v>90324.931649999999</v>
          </cell>
          <cell r="F37" t="str">
            <v>DLF</v>
          </cell>
          <cell r="G37">
            <v>6993</v>
          </cell>
          <cell r="J37" t="str">
            <v>GODREJPROP</v>
          </cell>
          <cell r="K37">
            <v>2252</v>
          </cell>
        </row>
        <row r="38">
          <cell r="B38" t="str">
            <v>OBEROIRLTY</v>
          </cell>
          <cell r="C38">
            <v>84137.549079999997</v>
          </cell>
          <cell r="F38" t="str">
            <v>RAYMOND</v>
          </cell>
          <cell r="G38">
            <v>5312</v>
          </cell>
          <cell r="J38" t="str">
            <v>OBEROIRLTY</v>
          </cell>
          <cell r="K38">
            <v>1927</v>
          </cell>
        </row>
        <row r="39">
          <cell r="B39" t="str">
            <v>PRESTIGE</v>
          </cell>
          <cell r="C39">
            <v>81265.864730800007</v>
          </cell>
          <cell r="F39" t="str">
            <v>OBEROIRLTY</v>
          </cell>
          <cell r="G39">
            <v>5094</v>
          </cell>
          <cell r="J39" t="str">
            <v>PRESTIGE</v>
          </cell>
          <cell r="K39">
            <v>681</v>
          </cell>
        </row>
        <row r="40">
          <cell r="B40" t="str">
            <v>PHOENIXLTD</v>
          </cell>
          <cell r="C40">
            <v>61271.960150799998</v>
          </cell>
          <cell r="F40" t="str">
            <v>BRIGADE</v>
          </cell>
          <cell r="G40">
            <v>5026</v>
          </cell>
          <cell r="J40" t="str">
            <v>PHOENIXLTD</v>
          </cell>
          <cell r="K40">
            <v>1057</v>
          </cell>
        </row>
        <row r="41">
          <cell r="B41" t="str">
            <v>BRIGADE</v>
          </cell>
          <cell r="C41">
            <v>31145.807127799999</v>
          </cell>
          <cell r="F41" t="str">
            <v>PHOENIXLTD</v>
          </cell>
          <cell r="G41">
            <v>4114</v>
          </cell>
          <cell r="J41" t="str">
            <v>BRIGADE</v>
          </cell>
          <cell r="K41">
            <v>458</v>
          </cell>
        </row>
        <row r="42">
          <cell r="B42" t="str">
            <v>ANANTRAJ</v>
          </cell>
          <cell r="C42">
            <v>27563.1064214</v>
          </cell>
          <cell r="F42" t="str">
            <v>GODREJPROP</v>
          </cell>
          <cell r="G42">
            <v>3589</v>
          </cell>
          <cell r="J42" t="str">
            <v>ANANTRAJ</v>
          </cell>
          <cell r="K42">
            <v>346</v>
          </cell>
        </row>
        <row r="43">
          <cell r="B43" t="str">
            <v>SIGNATURE</v>
          </cell>
          <cell r="C43">
            <v>18184.881165899998</v>
          </cell>
          <cell r="F43" t="str">
            <v>SOBHA</v>
          </cell>
          <cell r="G43">
            <v>3022</v>
          </cell>
          <cell r="J43" t="str">
            <v>SIGNATURE</v>
          </cell>
          <cell r="K43">
            <v>54</v>
          </cell>
        </row>
        <row r="44">
          <cell r="B44" t="str">
            <v>SOBHA</v>
          </cell>
          <cell r="C44">
            <v>16448.840062499999</v>
          </cell>
          <cell r="F44" t="str">
            <v>SIGNATURE</v>
          </cell>
          <cell r="G44">
            <v>2126</v>
          </cell>
          <cell r="J44" t="str">
            <v>SOBHA</v>
          </cell>
          <cell r="K44">
            <v>54</v>
          </cell>
        </row>
        <row r="45">
          <cell r="B45" t="str">
            <v>RAYMOND</v>
          </cell>
          <cell r="C45">
            <v>11497.0612435</v>
          </cell>
          <cell r="F45" t="str">
            <v>ANANTRAJ</v>
          </cell>
          <cell r="G45">
            <v>1820</v>
          </cell>
          <cell r="J45" t="str">
            <v>RAYMOND</v>
          </cell>
          <cell r="K45">
            <v>430</v>
          </cell>
        </row>
        <row r="46">
          <cell r="B46" t="str">
            <v>OTHER_128</v>
          </cell>
          <cell r="C46">
            <v>160443</v>
          </cell>
        </row>
        <row r="50">
          <cell r="B50" t="str">
            <v>INDUSTRY</v>
          </cell>
          <cell r="C50">
            <v>947757</v>
          </cell>
        </row>
        <row r="74">
          <cell r="C74" t="str">
            <v>SALES_6Y_GR</v>
          </cell>
          <cell r="G74" t="str">
            <v>H1_FY25_SALES</v>
          </cell>
        </row>
        <row r="75">
          <cell r="B75" t="str">
            <v>DLF</v>
          </cell>
          <cell r="C75">
            <v>6.9839232366470938E-3</v>
          </cell>
          <cell r="F75" t="str">
            <v>DLF</v>
          </cell>
          <cell r="G75">
            <v>0.20430000000000001</v>
          </cell>
        </row>
        <row r="76">
          <cell r="B76" t="str">
            <v>LODHA</v>
          </cell>
          <cell r="C76">
            <v>4.2483772661357611E-2</v>
          </cell>
          <cell r="F76" t="str">
            <v>LODHA</v>
          </cell>
          <cell r="G76">
            <v>0.62519999999999998</v>
          </cell>
        </row>
        <row r="77">
          <cell r="B77" t="str">
            <v>GODREJPROP</v>
          </cell>
          <cell r="C77">
            <v>0.11290198423989484</v>
          </cell>
          <cell r="F77" t="str">
            <v>GODREJPROP</v>
          </cell>
          <cell r="G77">
            <v>0.628</v>
          </cell>
        </row>
        <row r="78">
          <cell r="B78" t="str">
            <v>OBEROIRLTY</v>
          </cell>
          <cell r="C78">
            <v>0.26132809444848459</v>
          </cell>
          <cell r="F78" t="str">
            <v>OBEROIRLTY</v>
          </cell>
          <cell r="G78">
            <v>0.28620000000000001</v>
          </cell>
        </row>
        <row r="79">
          <cell r="B79" t="str">
            <v>PRESTIGE</v>
          </cell>
          <cell r="C79">
            <v>0.30849377699415736</v>
          </cell>
          <cell r="F79" t="str">
            <v>PRESTIGE</v>
          </cell>
          <cell r="G79">
            <v>5.9499999999999997E-2</v>
          </cell>
        </row>
        <row r="80">
          <cell r="B80" t="str">
            <v>PHOENIXLTD</v>
          </cell>
          <cell r="C80">
            <v>-4.7210941360180447E-2</v>
          </cell>
          <cell r="F80" t="str">
            <v>PHOENIXLTD</v>
          </cell>
          <cell r="G80">
            <v>8.6499999999999994E-2</v>
          </cell>
        </row>
        <row r="81">
          <cell r="B81" t="str">
            <v>BRIGADE</v>
          </cell>
          <cell r="C81">
            <v>0.17632102346512468</v>
          </cell>
          <cell r="F81" t="str">
            <v>BRIGADE</v>
          </cell>
          <cell r="G81">
            <v>6.3799999999999996E-2</v>
          </cell>
        </row>
        <row r="82">
          <cell r="B82" t="str">
            <v>ANANTRAJ</v>
          </cell>
          <cell r="C82">
            <v>0.24873904648863632</v>
          </cell>
          <cell r="F82" t="str">
            <v>ANANTRAJ</v>
          </cell>
          <cell r="G82">
            <v>0.52010000000000001</v>
          </cell>
        </row>
        <row r="83">
          <cell r="B83" t="str">
            <v>SIGNATURE</v>
          </cell>
          <cell r="C83">
            <v>0.43645265281183465</v>
          </cell>
          <cell r="F83" t="str">
            <v>SIGNATURE</v>
          </cell>
          <cell r="G83">
            <v>3.3561000000000001</v>
          </cell>
        </row>
        <row r="84">
          <cell r="B84" t="str">
            <v>SOBHA</v>
          </cell>
          <cell r="C84">
            <v>1.3644242636489112E-2</v>
          </cell>
          <cell r="F84" t="str">
            <v>SOBHA</v>
          </cell>
          <cell r="G84">
            <v>-4.5499999999999999E-2</v>
          </cell>
        </row>
        <row r="85">
          <cell r="B85" t="str">
            <v>RAYMOND</v>
          </cell>
          <cell r="F85" t="str">
            <v>RAYMOND</v>
          </cell>
          <cell r="G85">
            <v>1.1017999999999999</v>
          </cell>
        </row>
        <row r="106">
          <cell r="C106" t="str">
            <v>DEBT2EQUITY</v>
          </cell>
          <cell r="G106" t="str">
            <v>ICR</v>
          </cell>
          <cell r="K106" t="str">
            <v>DEBTRATIO</v>
          </cell>
        </row>
        <row r="107">
          <cell r="B107" t="str">
            <v>DLF</v>
          </cell>
          <cell r="C107">
            <v>0.10541823112223613</v>
          </cell>
          <cell r="F107" t="str">
            <v>DLF</v>
          </cell>
          <cell r="G107">
            <v>7.24</v>
          </cell>
          <cell r="J107" t="str">
            <v>DLF</v>
          </cell>
          <cell r="K107">
            <v>0.32113148558010751</v>
          </cell>
        </row>
        <row r="108">
          <cell r="B108" t="str">
            <v>LODHA</v>
          </cell>
          <cell r="C108">
            <v>0.56897166916434738</v>
          </cell>
          <cell r="F108" t="str">
            <v>LODHA</v>
          </cell>
          <cell r="G108">
            <v>6.85</v>
          </cell>
          <cell r="J108" t="str">
            <v>LODHA</v>
          </cell>
          <cell r="K108">
            <v>0.68187026157334052</v>
          </cell>
        </row>
        <row r="109">
          <cell r="B109" t="str">
            <v>GODREJPROP</v>
          </cell>
          <cell r="C109">
            <v>1.4106214924132197</v>
          </cell>
          <cell r="F109" t="str">
            <v>GODREJPROP</v>
          </cell>
          <cell r="G109">
            <v>11.2</v>
          </cell>
          <cell r="J109" t="str">
            <v>GODREJPROP</v>
          </cell>
          <cell r="K109">
            <v>0.67779967382440875</v>
          </cell>
        </row>
        <row r="110">
          <cell r="B110" t="str">
            <v>OBEROIRLTY</v>
          </cell>
          <cell r="C110">
            <v>0.15751609238924649</v>
          </cell>
          <cell r="F110" t="str">
            <v>OBEROIRLTY</v>
          </cell>
          <cell r="G110">
            <v>15.26</v>
          </cell>
          <cell r="J110" t="str">
            <v>OBEROIRLTY</v>
          </cell>
          <cell r="K110">
            <v>0.30613788631942945</v>
          </cell>
        </row>
        <row r="111">
          <cell r="B111" t="str">
            <v>PRESTIGE</v>
          </cell>
          <cell r="C111">
            <v>0.27781072608658813</v>
          </cell>
          <cell r="F111" t="str">
            <v>PRESTIGE</v>
          </cell>
          <cell r="G111">
            <v>1.8</v>
          </cell>
          <cell r="J111" t="str">
            <v>PHOENIXLTD</v>
          </cell>
          <cell r="K111">
            <v>0.37023139462163851</v>
          </cell>
        </row>
        <row r="112">
          <cell r="B112" t="str">
            <v>PHOENIXLTD</v>
          </cell>
          <cell r="C112">
            <v>0.4172441724417244</v>
          </cell>
          <cell r="F112" t="str">
            <v>PHOENIXLTD</v>
          </cell>
          <cell r="G112">
            <v>5.07</v>
          </cell>
          <cell r="J112" t="str">
            <v>PRESTIGE</v>
          </cell>
          <cell r="K112">
            <v>0.72858400971127979</v>
          </cell>
        </row>
        <row r="113">
          <cell r="B113" t="str">
            <v>BRIGADE</v>
          </cell>
          <cell r="C113">
            <v>1.4802724950326427</v>
          </cell>
          <cell r="F113" t="str">
            <v>BRIGADE</v>
          </cell>
          <cell r="G113">
            <v>2.16</v>
          </cell>
          <cell r="J113" t="str">
            <v>BRIGADE</v>
          </cell>
          <cell r="K113">
            <v>0.80594374668317703</v>
          </cell>
        </row>
        <row r="114">
          <cell r="B114" t="str">
            <v>ANANTRAJ</v>
          </cell>
          <cell r="C114">
            <v>0.28000000000000003</v>
          </cell>
          <cell r="F114" t="str">
            <v>ANANTRAJ</v>
          </cell>
          <cell r="G114">
            <v>17.649999999999999</v>
          </cell>
          <cell r="J114" t="str">
            <v>SWANENERGY</v>
          </cell>
          <cell r="K114">
            <v>0.62271731190650115</v>
          </cell>
        </row>
        <row r="115">
          <cell r="B115" t="str">
            <v>SIGNATURE</v>
          </cell>
          <cell r="C115">
            <v>3.9217687074829932</v>
          </cell>
          <cell r="F115" t="str">
            <v>SIGNATURE</v>
          </cell>
          <cell r="G115">
            <v>2.14</v>
          </cell>
          <cell r="J115" t="str">
            <v>SIGNATURE</v>
          </cell>
          <cell r="K115">
            <v>0.91534391534391535</v>
          </cell>
        </row>
        <row r="116">
          <cell r="B116" t="str">
            <v>SOBHA</v>
          </cell>
          <cell r="C116">
            <v>0.59767891682785301</v>
          </cell>
          <cell r="F116" t="str">
            <v>SOBHA</v>
          </cell>
          <cell r="G116">
            <v>1.36</v>
          </cell>
          <cell r="J116" t="str">
            <v>SOBHA</v>
          </cell>
          <cell r="K116">
            <v>0.80955292319449756</v>
          </cell>
        </row>
        <row r="117">
          <cell r="B117" t="str">
            <v>RAYMOND</v>
          </cell>
          <cell r="C117">
            <v>0.26</v>
          </cell>
          <cell r="F117" t="str">
            <v>RAYMOND</v>
          </cell>
          <cell r="G117">
            <v>4.26</v>
          </cell>
          <cell r="J117" t="str">
            <v>DBREALTY</v>
          </cell>
          <cell r="K117">
            <v>0.63906056860321381</v>
          </cell>
        </row>
        <row r="118">
          <cell r="J118" t="str">
            <v>ANANTRAJ</v>
          </cell>
          <cell r="K118">
            <v>0.33461018476791349</v>
          </cell>
        </row>
        <row r="138">
          <cell r="C138" t="str">
            <v>Margin_H1_Fy25</v>
          </cell>
          <cell r="D138" t="str">
            <v>Margin_H1_Fy24</v>
          </cell>
          <cell r="H138" t="str">
            <v>TR.DAYS</v>
          </cell>
          <cell r="L138" t="str">
            <v>CUR. RATIO</v>
          </cell>
        </row>
        <row r="139">
          <cell r="B139" t="str">
            <v>DLF</v>
          </cell>
          <cell r="C139">
            <v>0.60919999999999996</v>
          </cell>
          <cell r="D139">
            <v>0.4168</v>
          </cell>
          <cell r="G139" t="str">
            <v>DLF</v>
          </cell>
          <cell r="H139">
            <v>34.704487179487181</v>
          </cell>
          <cell r="K139" t="str">
            <v>DLF</v>
          </cell>
          <cell r="L139">
            <v>2.077187828627975</v>
          </cell>
        </row>
        <row r="140">
          <cell r="B140" t="str">
            <v>LODHA</v>
          </cell>
          <cell r="C140">
            <v>0.1643</v>
          </cell>
          <cell r="D140">
            <v>0.1135</v>
          </cell>
          <cell r="G140" t="str">
            <v>LODHA</v>
          </cell>
          <cell r="H140">
            <v>26.286166842661032</v>
          </cell>
          <cell r="K140" t="str">
            <v>LODHA</v>
          </cell>
          <cell r="L140">
            <v>1.5145623267585264</v>
          </cell>
        </row>
        <row r="141">
          <cell r="B141" t="str">
            <v>GODREJPROP</v>
          </cell>
          <cell r="C141">
            <v>0.2797</v>
          </cell>
          <cell r="D141">
            <v>0.1101</v>
          </cell>
          <cell r="G141" t="str">
            <v>GODREJPROP</v>
          </cell>
          <cell r="H141">
            <v>64.993339253996439</v>
          </cell>
          <cell r="K141" t="str">
            <v>GODREJPROP</v>
          </cell>
          <cell r="L141">
            <v>1.5340711554061883</v>
          </cell>
        </row>
        <row r="142">
          <cell r="B142" t="str">
            <v>OBEROIRLTY</v>
          </cell>
          <cell r="C142">
            <v>0.41930000000000001</v>
          </cell>
          <cell r="D142">
            <v>0.3574</v>
          </cell>
          <cell r="G142" t="str">
            <v>OBEROIRLTY</v>
          </cell>
          <cell r="H142">
            <v>38.833492366412216</v>
          </cell>
          <cell r="K142" t="str">
            <v>OBEROIRLTY</v>
          </cell>
          <cell r="L142">
            <v>4.7149088025376686</v>
          </cell>
        </row>
        <row r="143">
          <cell r="B143" t="str">
            <v>PRESTIGE</v>
          </cell>
          <cell r="C143">
            <v>2.1399999999999999E-2</v>
          </cell>
          <cell r="D143">
            <v>0.1031</v>
          </cell>
          <cell r="G143" t="str">
            <v>PHOENIXLTD</v>
          </cell>
          <cell r="H143">
            <v>32.930250189537531</v>
          </cell>
          <cell r="K143" t="str">
            <v>PHOENIXLTD</v>
          </cell>
          <cell r="L143">
            <v>1.3436772692009309</v>
          </cell>
        </row>
        <row r="144">
          <cell r="B144" t="str">
            <v>PHOENIXLTD</v>
          </cell>
          <cell r="C144">
            <v>0.23719999999999999</v>
          </cell>
          <cell r="D144">
            <v>0.28239999999999998</v>
          </cell>
          <cell r="G144" t="str">
            <v>PRESTIGE</v>
          </cell>
          <cell r="H144">
            <v>43.018641010222488</v>
          </cell>
          <cell r="K144" t="str">
            <v>PRESTIGE</v>
          </cell>
          <cell r="L144">
            <v>1.1404882357664821</v>
          </cell>
        </row>
        <row r="145">
          <cell r="B145" t="str">
            <v>BRIGADE</v>
          </cell>
          <cell r="C145">
            <v>9.1200000000000003E-2</v>
          </cell>
          <cell r="D145">
            <v>9.2999999999999999E-2</v>
          </cell>
          <cell r="G145" t="str">
            <v>BRIGADE</v>
          </cell>
          <cell r="H145">
            <v>54.15650406504065</v>
          </cell>
          <cell r="K145" t="str">
            <v>BRIGADE</v>
          </cell>
          <cell r="L145">
            <v>1.1540364290532943</v>
          </cell>
        </row>
        <row r="146">
          <cell r="B146" t="str">
            <v>ANANTRAJ</v>
          </cell>
          <cell r="C146">
            <v>0.2</v>
          </cell>
          <cell r="D146">
            <v>0.16980000000000001</v>
          </cell>
          <cell r="G146" t="str">
            <v>SWANENERGY</v>
          </cell>
          <cell r="H146">
            <v>458.153685674548</v>
          </cell>
          <cell r="K146" t="str">
            <v>SWANENERGY</v>
          </cell>
          <cell r="L146">
            <v>1.3311008790288823</v>
          </cell>
        </row>
        <row r="147">
          <cell r="B147" t="str">
            <v>SIGNATURE</v>
          </cell>
          <cell r="C147">
            <v>9.5999999999999992E-3</v>
          </cell>
          <cell r="D147">
            <v>-0.1023</v>
          </cell>
          <cell r="G147" t="str">
            <v>SIGNATURE</v>
          </cell>
          <cell r="H147">
            <v>3.6845425867507888</v>
          </cell>
          <cell r="K147" t="str">
            <v>SIGNATURE</v>
          </cell>
          <cell r="L147">
            <v>1.2001449012859988</v>
          </cell>
        </row>
        <row r="148">
          <cell r="B148" t="str">
            <v>SOBHA</v>
          </cell>
          <cell r="C148">
            <v>9.4999999999999998E-3</v>
          </cell>
          <cell r="D148">
            <v>9.1000000000000004E-3</v>
          </cell>
          <cell r="G148" t="str">
            <v>SOBHA</v>
          </cell>
          <cell r="H148">
            <v>26.024169184290027</v>
          </cell>
          <cell r="K148" t="str">
            <v>SOBHA</v>
          </cell>
          <cell r="L148">
            <v>1.1182949214766469</v>
          </cell>
        </row>
        <row r="149">
          <cell r="B149" t="str">
            <v>RAYMOND</v>
          </cell>
          <cell r="C149">
            <v>5.8500000000000003E-2</v>
          </cell>
          <cell r="D149">
            <v>7.7399999999999997E-2</v>
          </cell>
          <cell r="G149" t="str">
            <v>DBREALTY</v>
          </cell>
          <cell r="H149">
            <v>49.154727793696281</v>
          </cell>
          <cell r="K149" t="str">
            <v>DBREALTY</v>
          </cell>
          <cell r="L149">
            <v>1.1452742123687281</v>
          </cell>
        </row>
        <row r="150">
          <cell r="G150" t="str">
            <v>ANANTRAJ</v>
          </cell>
          <cell r="H150">
            <v>30.92573221757322</v>
          </cell>
          <cell r="K150" t="str">
            <v>ANANTRAJ</v>
          </cell>
          <cell r="L150">
            <v>5.3487804878048779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35A6-E3FF-44AF-9691-D5EBFC7E92CF}">
  <dimension ref="A1:AE1006"/>
  <sheetViews>
    <sheetView showGridLines="0" tabSelected="1" workbookViewId="0"/>
  </sheetViews>
  <sheetFormatPr defaultColWidth="14" defaultRowHeight="15" customHeight="1" x14ac:dyDescent="0.3"/>
  <cols>
    <col min="1" max="1" width="8.77734375" customWidth="1"/>
    <col min="2" max="2" width="17.44140625" customWidth="1"/>
    <col min="3" max="3" width="11.21875" customWidth="1"/>
    <col min="4" max="4" width="12.21875" customWidth="1"/>
    <col min="5" max="5" width="12.88671875" customWidth="1"/>
    <col min="6" max="6" width="15.21875" customWidth="1"/>
    <col min="7" max="7" width="12.6640625" customWidth="1"/>
    <col min="8" max="8" width="12.33203125" customWidth="1"/>
    <col min="9" max="9" width="13" customWidth="1"/>
    <col min="10" max="10" width="9.33203125" customWidth="1"/>
    <col min="11" max="11" width="10.21875" customWidth="1"/>
    <col min="12" max="12" width="11.5546875" customWidth="1"/>
    <col min="13" max="13" width="11.109375" customWidth="1"/>
    <col min="14" max="14" width="14" customWidth="1"/>
    <col min="15" max="15" width="7.88671875" customWidth="1"/>
    <col min="16" max="16" width="10" customWidth="1"/>
    <col min="17" max="17" width="11.21875" customWidth="1"/>
    <col min="18" max="18" width="13.21875" customWidth="1"/>
    <col min="19" max="19" width="17.33203125" customWidth="1"/>
    <col min="20" max="20" width="10.109375" customWidth="1"/>
    <col min="21" max="21" width="8.77734375" customWidth="1"/>
    <col min="22" max="22" width="8" customWidth="1"/>
    <col min="23" max="23" width="11.88671875" customWidth="1"/>
    <col min="24" max="24" width="13" customWidth="1"/>
    <col min="25" max="25" width="13.44140625" customWidth="1"/>
    <col min="26" max="26" width="8.44140625" customWidth="1"/>
    <col min="27" max="31" width="9.6640625" customWidth="1"/>
  </cols>
  <sheetData>
    <row r="1" spans="1:24" ht="14.4" x14ac:dyDescent="0.3">
      <c r="A1" s="1"/>
      <c r="B1" s="2" t="s">
        <v>0</v>
      </c>
      <c r="C1" s="1"/>
      <c r="D1" s="1"/>
      <c r="E1" s="2" t="s">
        <v>1</v>
      </c>
      <c r="F1" s="1"/>
      <c r="G1" s="1"/>
      <c r="H1" s="1"/>
      <c r="I1" s="2" t="s">
        <v>2</v>
      </c>
      <c r="J1" s="1"/>
      <c r="K1" s="1"/>
      <c r="L1" s="1"/>
      <c r="M1" s="1"/>
      <c r="N1" s="1"/>
      <c r="O1" s="1"/>
      <c r="P1" s="1"/>
      <c r="Q1" s="1"/>
      <c r="R1" s="2" t="s">
        <v>3</v>
      </c>
      <c r="S1" s="1"/>
      <c r="T1" s="1"/>
      <c r="U1" s="1"/>
      <c r="V1" s="1"/>
      <c r="W1" s="1"/>
      <c r="X1" s="1"/>
    </row>
    <row r="2" spans="1:24" ht="14.4" x14ac:dyDescent="0.3">
      <c r="A2" s="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1"/>
      <c r="W2" s="1"/>
      <c r="X2" s="1"/>
    </row>
    <row r="3" spans="1:24" ht="14.4" x14ac:dyDescent="0.3">
      <c r="A3" s="1"/>
      <c r="B3" s="4" t="s">
        <v>24</v>
      </c>
      <c r="C3" s="5">
        <f ca="1">IFERROR(__xludf.DUMMYFUNCTION("GOOGLEFINANCE(""nse:""&amp;B3,""price"")"),2998.5)</f>
        <v>2998.5</v>
      </c>
      <c r="D3" s="5">
        <f ca="1">IFERROR(__xludf.DUMMYFUNCTION("GOOGLEFINANCE(""nse:""&amp;B3,""marketcap"")/10000000"),90324.93165)</f>
        <v>90324.931649999999</v>
      </c>
      <c r="E3" s="6">
        <v>4210</v>
      </c>
      <c r="F3" s="6">
        <v>1393</v>
      </c>
      <c r="G3" s="6">
        <v>49.95</v>
      </c>
      <c r="H3" s="7">
        <v>5</v>
      </c>
      <c r="I3" s="6">
        <v>139</v>
      </c>
      <c r="J3" s="7">
        <v>10711</v>
      </c>
      <c r="K3" s="6">
        <v>13573</v>
      </c>
      <c r="L3" s="6">
        <v>16</v>
      </c>
      <c r="M3" s="6">
        <v>38495</v>
      </c>
      <c r="N3" s="6">
        <v>27440</v>
      </c>
      <c r="O3" s="6">
        <v>42604</v>
      </c>
      <c r="P3" s="6">
        <v>31485</v>
      </c>
      <c r="Q3" s="6">
        <v>339</v>
      </c>
      <c r="R3" s="8">
        <v>-925</v>
      </c>
      <c r="S3" s="9">
        <v>-2021</v>
      </c>
      <c r="T3" s="9">
        <v>2418</v>
      </c>
      <c r="U3" s="9">
        <v>-70</v>
      </c>
      <c r="V3" s="1"/>
      <c r="W3" s="1"/>
      <c r="X3" s="1"/>
    </row>
    <row r="4" spans="1:24" ht="14.4" x14ac:dyDescent="0.3">
      <c r="A4" s="1"/>
      <c r="B4" s="9" t="s">
        <v>25</v>
      </c>
      <c r="C4" s="9">
        <v>2300</v>
      </c>
      <c r="D4" s="10">
        <f ca="1">C4*D3/C3</f>
        <v>69283.756143071529</v>
      </c>
      <c r="E4" s="9">
        <v>3035</v>
      </c>
      <c r="F4" s="9">
        <v>747</v>
      </c>
      <c r="G4" s="10">
        <v>26.09</v>
      </c>
      <c r="H4" s="11">
        <v>5</v>
      </c>
      <c r="I4" s="11">
        <v>139</v>
      </c>
      <c r="J4" s="11">
        <v>9853</v>
      </c>
      <c r="K4" s="6">
        <v>10656</v>
      </c>
      <c r="L4" s="9">
        <v>22</v>
      </c>
      <c r="M4" s="11">
        <v>32450</v>
      </c>
      <c r="N4" s="11">
        <v>22731</v>
      </c>
      <c r="O4" s="11">
        <v>35734</v>
      </c>
      <c r="P4" s="11">
        <v>25434</v>
      </c>
      <c r="Q4" s="9">
        <v>310</v>
      </c>
      <c r="R4" s="12">
        <v>-1314</v>
      </c>
      <c r="S4" s="9">
        <v>-2089</v>
      </c>
      <c r="T4" s="9">
        <v>3318</v>
      </c>
      <c r="U4" s="9">
        <v>-106</v>
      </c>
      <c r="V4" s="1"/>
      <c r="W4" s="1"/>
      <c r="X4" s="1"/>
    </row>
    <row r="5" spans="1:24" thickBot="1" x14ac:dyDescent="0.35">
      <c r="A5" s="1"/>
      <c r="B5" s="13" t="s">
        <v>26</v>
      </c>
      <c r="C5" s="14">
        <f t="shared" ref="C5:U5" ca="1" si="0">(C3/C4)-1</f>
        <v>0.30369565217391314</v>
      </c>
      <c r="D5" s="14">
        <f t="shared" ca="1" si="0"/>
        <v>0.30369565217391314</v>
      </c>
      <c r="E5" s="14">
        <f t="shared" si="0"/>
        <v>0.38714991762767714</v>
      </c>
      <c r="F5" s="14">
        <f t="shared" si="0"/>
        <v>0.86479250334672031</v>
      </c>
      <c r="G5" s="14">
        <f t="shared" si="0"/>
        <v>0.91452663855883487</v>
      </c>
      <c r="H5" s="14">
        <f t="shared" si="0"/>
        <v>0</v>
      </c>
      <c r="I5" s="14">
        <f t="shared" si="0"/>
        <v>0</v>
      </c>
      <c r="J5" s="14">
        <f t="shared" si="0"/>
        <v>8.7080077133867784E-2</v>
      </c>
      <c r="K5" s="14">
        <f t="shared" si="0"/>
        <v>0.2737424924924925</v>
      </c>
      <c r="L5" s="14">
        <f t="shared" si="0"/>
        <v>-0.27272727272727271</v>
      </c>
      <c r="M5" s="14">
        <f t="shared" si="0"/>
        <v>0.18628659476117093</v>
      </c>
      <c r="N5" s="14">
        <f t="shared" si="0"/>
        <v>0.20716202542782991</v>
      </c>
      <c r="O5" s="14">
        <f t="shared" si="0"/>
        <v>0.192253875860525</v>
      </c>
      <c r="P5" s="14">
        <f t="shared" si="0"/>
        <v>0.2379098844066998</v>
      </c>
      <c r="Q5" s="15">
        <f t="shared" si="0"/>
        <v>9.3548387096774155E-2</v>
      </c>
      <c r="R5" s="14">
        <f t="shared" si="0"/>
        <v>-0.29604261796042619</v>
      </c>
      <c r="S5" s="14">
        <f t="shared" si="0"/>
        <v>-3.255146002872189E-2</v>
      </c>
      <c r="T5" s="14">
        <f t="shared" si="0"/>
        <v>-0.27124773960216997</v>
      </c>
      <c r="U5" s="14">
        <f t="shared" si="0"/>
        <v>-0.339622641509434</v>
      </c>
      <c r="V5" s="1"/>
      <c r="W5" s="1"/>
      <c r="X5" s="1"/>
    </row>
    <row r="6" spans="1:24" thickTop="1" x14ac:dyDescent="0.3">
      <c r="A6" s="1"/>
      <c r="B6" s="1"/>
      <c r="C6" s="1"/>
      <c r="D6" s="1"/>
      <c r="E6" s="1"/>
      <c r="F6" s="1"/>
      <c r="G6" s="1"/>
      <c r="H6" s="16"/>
      <c r="I6" s="16"/>
      <c r="J6" s="16"/>
      <c r="K6" s="16"/>
      <c r="L6" s="1"/>
      <c r="M6" s="16"/>
      <c r="N6" s="16"/>
      <c r="O6" s="16"/>
      <c r="P6" s="16"/>
      <c r="Q6" s="1"/>
      <c r="R6" s="1"/>
      <c r="S6" s="1"/>
      <c r="T6" s="1"/>
      <c r="U6" s="1"/>
      <c r="V6" s="1"/>
      <c r="W6" s="1"/>
      <c r="X6" s="1"/>
    </row>
    <row r="7" spans="1:24" ht="14.4" x14ac:dyDescent="0.3">
      <c r="A7" s="1"/>
      <c r="B7" s="2" t="s">
        <v>27</v>
      </c>
      <c r="C7" s="2" t="s">
        <v>28</v>
      </c>
      <c r="D7" s="16"/>
      <c r="E7" s="16"/>
      <c r="F7" s="2" t="s">
        <v>29</v>
      </c>
      <c r="G7" s="16"/>
      <c r="H7" s="16"/>
      <c r="I7" s="2" t="s">
        <v>30</v>
      </c>
      <c r="J7" s="16"/>
      <c r="K7" s="16"/>
      <c r="L7" s="2" t="s">
        <v>31</v>
      </c>
      <c r="M7" s="16"/>
      <c r="N7" s="16"/>
      <c r="O7" s="16"/>
      <c r="P7" s="16"/>
      <c r="Q7" s="1"/>
      <c r="R7" s="1"/>
      <c r="S7" s="1"/>
      <c r="T7" s="1"/>
      <c r="U7" s="1"/>
      <c r="V7" s="1"/>
      <c r="W7" s="1"/>
      <c r="X7" s="1"/>
    </row>
    <row r="8" spans="1:24" ht="14.4" x14ac:dyDescent="0.3">
      <c r="A8" s="1"/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  <c r="K8" s="2" t="s">
        <v>41</v>
      </c>
      <c r="L8" s="2" t="s">
        <v>42</v>
      </c>
      <c r="M8" s="2" t="s">
        <v>43</v>
      </c>
      <c r="N8" s="2" t="s">
        <v>44</v>
      </c>
      <c r="O8" s="2" t="s">
        <v>45</v>
      </c>
      <c r="P8" s="16"/>
      <c r="Q8" s="1"/>
      <c r="R8" s="1"/>
      <c r="S8" s="16"/>
      <c r="T8" s="16"/>
      <c r="U8" s="16"/>
      <c r="V8" s="16"/>
      <c r="W8" s="16"/>
      <c r="X8" s="1"/>
    </row>
    <row r="9" spans="1:24" thickBot="1" x14ac:dyDescent="0.35">
      <c r="A9" s="1"/>
      <c r="B9" s="17">
        <f>M17</f>
        <v>0.63</v>
      </c>
      <c r="C9" s="17">
        <f>M19</f>
        <v>0.28000000000000003</v>
      </c>
      <c r="D9" s="18">
        <f>M3/N3</f>
        <v>1.4028790087463556</v>
      </c>
      <c r="E9" s="19">
        <f>(Q3/E3)*365</f>
        <v>29.390736342042754</v>
      </c>
      <c r="F9" s="17">
        <f>(K3+L3)/(I3+J3)</f>
        <v>1.252442396313364</v>
      </c>
      <c r="G9" s="17">
        <f>P3/O3</f>
        <v>0.73901511595155389</v>
      </c>
      <c r="H9" s="20">
        <f>R30</f>
        <v>1001</v>
      </c>
      <c r="I9" s="17">
        <f>F3/(I3+J3)</f>
        <v>0.12838709677419355</v>
      </c>
      <c r="J9" s="21">
        <f>F3/I3</f>
        <v>10.02158273381295</v>
      </c>
      <c r="K9" s="17">
        <f>F3/O3</f>
        <v>3.2696460426251059E-2</v>
      </c>
      <c r="L9" s="21">
        <f ca="1">C3/G3</f>
        <v>60.030030030030026</v>
      </c>
      <c r="M9" s="22">
        <f ca="1">G3/C3</f>
        <v>1.6658329164582292E-2</v>
      </c>
      <c r="N9" s="20">
        <f>(J3+I3)/(I3/H3)</f>
        <v>390.28776978417267</v>
      </c>
      <c r="O9" s="21">
        <f ca="1">C3/N9</f>
        <v>7.6827926267281104</v>
      </c>
      <c r="P9" s="16"/>
      <c r="Q9" s="1"/>
      <c r="R9" s="1"/>
      <c r="S9" s="16"/>
      <c r="T9" s="16"/>
      <c r="U9" s="16"/>
      <c r="V9" s="16"/>
      <c r="W9" s="16"/>
      <c r="X9" s="1"/>
    </row>
    <row r="10" spans="1:24" thickTop="1" x14ac:dyDescent="0.3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"/>
      <c r="M10" s="16"/>
      <c r="N10" s="16"/>
      <c r="O10" s="16"/>
      <c r="P10" s="16"/>
      <c r="Q10" s="1"/>
      <c r="R10" s="1"/>
      <c r="S10" s="16"/>
      <c r="T10" s="16"/>
      <c r="U10" s="16"/>
      <c r="V10" s="16"/>
      <c r="W10" s="16"/>
      <c r="X10" s="1"/>
    </row>
    <row r="11" spans="1:24" ht="14.4" x14ac:dyDescent="0.3">
      <c r="A11" s="1"/>
      <c r="H11" s="16"/>
      <c r="I11" s="16"/>
      <c r="O11" s="16"/>
      <c r="T11" s="16"/>
      <c r="U11" s="16"/>
      <c r="V11" s="16"/>
      <c r="W11" s="16"/>
      <c r="X11" s="1"/>
    </row>
    <row r="12" spans="1:24" ht="14.4" x14ac:dyDescent="0.3">
      <c r="A12" s="1"/>
      <c r="B12" s="2" t="s">
        <v>46</v>
      </c>
      <c r="C12" s="3" t="s">
        <v>47</v>
      </c>
      <c r="D12" s="3" t="s">
        <v>7</v>
      </c>
      <c r="E12" s="3" t="s">
        <v>8</v>
      </c>
      <c r="F12" s="3" t="s">
        <v>9</v>
      </c>
      <c r="G12" s="3" t="s">
        <v>48</v>
      </c>
      <c r="H12" s="16"/>
      <c r="I12" s="2" t="s">
        <v>49</v>
      </c>
      <c r="J12" s="2" t="s">
        <v>50</v>
      </c>
      <c r="O12" s="16"/>
      <c r="P12" s="2" t="s">
        <v>51</v>
      </c>
      <c r="Q12" s="16"/>
      <c r="R12" s="1"/>
      <c r="S12" s="16"/>
      <c r="T12" s="16"/>
      <c r="U12" s="16"/>
      <c r="V12" s="16"/>
      <c r="W12" s="16"/>
      <c r="X12" s="1"/>
    </row>
    <row r="13" spans="1:24" ht="16.2" thickBot="1" x14ac:dyDescent="0.35">
      <c r="A13" s="1"/>
      <c r="B13" s="1"/>
      <c r="C13" s="9" t="s">
        <v>52</v>
      </c>
      <c r="D13" s="23">
        <f t="shared" ref="D13:F13" si="1">FV(12%,5,0,-D14,0)</f>
        <v>16137.24042810335</v>
      </c>
      <c r="E13" s="23">
        <f t="shared" si="1"/>
        <v>2471.1280592622024</v>
      </c>
      <c r="F13" s="23">
        <f t="shared" si="1"/>
        <v>81.905938093287531</v>
      </c>
      <c r="G13" s="24">
        <f t="shared" ref="G13:G15" si="2">F13*50</f>
        <v>4095.2969046643766</v>
      </c>
      <c r="H13" s="16"/>
      <c r="I13" s="25">
        <v>50</v>
      </c>
      <c r="J13" s="25">
        <v>4.7</v>
      </c>
      <c r="P13" s="2" t="s">
        <v>53</v>
      </c>
      <c r="Q13" s="2" t="s">
        <v>54</v>
      </c>
      <c r="R13" s="2" t="s">
        <v>55</v>
      </c>
      <c r="S13" s="2" t="s">
        <v>56</v>
      </c>
      <c r="T13" s="2" t="s">
        <v>51</v>
      </c>
      <c r="U13" s="16"/>
      <c r="V13" s="16"/>
      <c r="W13" s="16"/>
      <c r="X13" s="1"/>
    </row>
    <row r="14" spans="1:24" ht="16.8" thickTop="1" thickBot="1" x14ac:dyDescent="0.35">
      <c r="A14" s="1"/>
      <c r="B14" s="1"/>
      <c r="C14" s="9" t="s">
        <v>57</v>
      </c>
      <c r="D14" s="23">
        <f>FV(D18,5,0,-D15,0)</f>
        <v>9156.7035960937465</v>
      </c>
      <c r="E14" s="24">
        <f>D14*$G$18</f>
        <v>1402.1844247451559</v>
      </c>
      <c r="F14" s="24">
        <f>(E14*F15)/E15</f>
        <v>46.475628916956381</v>
      </c>
      <c r="G14" s="24">
        <f t="shared" si="2"/>
        <v>2323.7814458478192</v>
      </c>
      <c r="H14" s="16"/>
      <c r="N14" s="16"/>
      <c r="P14" s="26">
        <v>2.2400000000000002</v>
      </c>
      <c r="Q14" s="26">
        <v>16.95</v>
      </c>
      <c r="R14" s="26">
        <v>18.7</v>
      </c>
      <c r="S14" s="26">
        <v>12.06</v>
      </c>
      <c r="T14" s="27">
        <f>SUM(P14:S14)</f>
        <v>49.95</v>
      </c>
      <c r="U14" s="16"/>
      <c r="V14" s="16"/>
      <c r="W14" s="16"/>
      <c r="X14" s="1"/>
    </row>
    <row r="15" spans="1:24" ht="16.2" thickTop="1" x14ac:dyDescent="0.3">
      <c r="A15" s="1"/>
      <c r="B15" s="16"/>
      <c r="C15" s="28" t="s">
        <v>58</v>
      </c>
      <c r="D15" s="24">
        <f>FV(D19,1,0,-D30,0)</f>
        <v>4552.5</v>
      </c>
      <c r="E15" s="24">
        <f>D15*G19</f>
        <v>1138.125</v>
      </c>
      <c r="F15" s="24">
        <f>E15*F31/E31</f>
        <v>37.72333669354839</v>
      </c>
      <c r="G15" s="24">
        <f t="shared" si="2"/>
        <v>1886.1668346774195</v>
      </c>
      <c r="H15" s="29"/>
      <c r="T15" s="16"/>
      <c r="U15" s="16"/>
      <c r="V15" s="16"/>
      <c r="W15" s="16"/>
      <c r="X15" s="1"/>
    </row>
    <row r="16" spans="1:24" ht="14.4" x14ac:dyDescent="0.3">
      <c r="A16" s="1"/>
      <c r="B16" s="16"/>
      <c r="C16" s="16"/>
      <c r="D16" s="16"/>
      <c r="E16" s="30"/>
      <c r="F16" s="16"/>
      <c r="G16" s="16"/>
      <c r="H16" s="16"/>
      <c r="I16" s="2" t="s">
        <v>59</v>
      </c>
      <c r="J16" s="2" t="s">
        <v>60</v>
      </c>
      <c r="K16" s="2" t="s">
        <v>61</v>
      </c>
      <c r="L16" s="2" t="s">
        <v>62</v>
      </c>
      <c r="M16" s="2" t="s">
        <v>63</v>
      </c>
      <c r="N16" s="2" t="s">
        <v>64</v>
      </c>
      <c r="P16" s="2" t="s">
        <v>65</v>
      </c>
      <c r="Q16" s="2" t="s">
        <v>66</v>
      </c>
      <c r="R16" s="2" t="s">
        <v>67</v>
      </c>
      <c r="S16" s="2" t="s">
        <v>68</v>
      </c>
      <c r="T16" s="16"/>
      <c r="U16" s="16"/>
      <c r="V16" s="16"/>
      <c r="W16" s="16"/>
      <c r="X16" s="1"/>
    </row>
    <row r="17" spans="1:31" ht="14.4" x14ac:dyDescent="0.3">
      <c r="A17" s="1"/>
      <c r="B17" s="2" t="s">
        <v>69</v>
      </c>
      <c r="C17" s="3" t="s">
        <v>47</v>
      </c>
      <c r="D17" s="3" t="s">
        <v>7</v>
      </c>
      <c r="E17" s="3" t="s">
        <v>8</v>
      </c>
      <c r="F17" s="3" t="s">
        <v>9</v>
      </c>
      <c r="G17" s="3" t="s">
        <v>70</v>
      </c>
      <c r="I17" s="16" t="s">
        <v>71</v>
      </c>
      <c r="J17" s="31">
        <v>1.66</v>
      </c>
      <c r="K17" s="31">
        <v>0.35</v>
      </c>
      <c r="L17" s="31">
        <v>-0.21</v>
      </c>
      <c r="M17" s="31">
        <v>0.63</v>
      </c>
      <c r="N17" s="31">
        <v>0.5</v>
      </c>
      <c r="P17" s="32">
        <v>26.09</v>
      </c>
      <c r="Q17" s="32">
        <v>49.95</v>
      </c>
      <c r="R17" s="32">
        <v>38</v>
      </c>
      <c r="S17" s="33">
        <f ca="1">R19/42</f>
        <v>1.8787593984962407</v>
      </c>
      <c r="T17" s="16"/>
      <c r="U17" s="16"/>
      <c r="V17" s="16"/>
      <c r="W17" s="16"/>
      <c r="X17" s="1"/>
    </row>
    <row r="18" spans="1:31" ht="15.6" x14ac:dyDescent="0.3">
      <c r="A18" s="1"/>
      <c r="B18" s="1"/>
      <c r="C18" s="28" t="s">
        <v>72</v>
      </c>
      <c r="D18" s="34">
        <v>0.15</v>
      </c>
      <c r="E18" s="34">
        <v>0.15</v>
      </c>
      <c r="F18" s="34">
        <v>0.15</v>
      </c>
      <c r="G18" s="35">
        <f>AVERAGE(G23:G26)</f>
        <v>0.15313200979262104</v>
      </c>
      <c r="I18" s="1" t="s">
        <v>73</v>
      </c>
      <c r="J18" s="36">
        <v>0.61</v>
      </c>
      <c r="K18" s="36">
        <v>0.2</v>
      </c>
      <c r="L18" s="36">
        <v>2.89</v>
      </c>
      <c r="M18" s="36">
        <v>3.14</v>
      </c>
      <c r="N18" s="37">
        <v>0.52</v>
      </c>
      <c r="P18" s="38" t="s">
        <v>74</v>
      </c>
      <c r="Q18" s="38" t="s">
        <v>74</v>
      </c>
      <c r="R18" s="38" t="s">
        <v>75</v>
      </c>
      <c r="S18" s="39"/>
      <c r="T18" s="16"/>
      <c r="U18" s="16"/>
      <c r="V18" s="16"/>
      <c r="W18" s="16"/>
      <c r="X18" s="1"/>
    </row>
    <row r="19" spans="1:31" ht="16.2" thickBot="1" x14ac:dyDescent="0.35">
      <c r="A19" s="1"/>
      <c r="B19" s="1"/>
      <c r="C19" s="28" t="s">
        <v>76</v>
      </c>
      <c r="D19" s="34">
        <v>0.5</v>
      </c>
      <c r="E19" s="34">
        <f>(E15/E30)-1</f>
        <v>0.52359437751004023</v>
      </c>
      <c r="F19" s="34">
        <v>0.52</v>
      </c>
      <c r="G19" s="35">
        <v>0.25</v>
      </c>
      <c r="I19" s="25" t="s">
        <v>70</v>
      </c>
      <c r="J19" s="40">
        <v>0.16700000000000001</v>
      </c>
      <c r="K19" s="40">
        <v>0.246</v>
      </c>
      <c r="L19" s="40">
        <v>0.70099999999999996</v>
      </c>
      <c r="M19" s="40">
        <v>0.28000000000000003</v>
      </c>
      <c r="N19" s="41">
        <v>0.25</v>
      </c>
      <c r="O19" s="16"/>
      <c r="P19" s="42">
        <f>C4/P17</f>
        <v>88.156381755461865</v>
      </c>
      <c r="Q19" s="43">
        <f ca="1">C3/Q17</f>
        <v>60.030030030030026</v>
      </c>
      <c r="R19" s="43">
        <f ca="1">C3/R17</f>
        <v>78.90789473684211</v>
      </c>
      <c r="S19" s="44"/>
      <c r="T19" s="16"/>
      <c r="U19" s="16"/>
      <c r="V19" s="16"/>
      <c r="W19" s="16"/>
      <c r="X19" s="1"/>
    </row>
    <row r="20" spans="1:31" thickTop="1" x14ac:dyDescent="0.3">
      <c r="A20" s="1"/>
      <c r="B20" s="1"/>
      <c r="C20" s="1"/>
      <c r="D20" s="1"/>
      <c r="E20" s="1"/>
      <c r="F20" s="1"/>
      <c r="G20" s="1"/>
      <c r="N20" s="16"/>
      <c r="O20" s="16"/>
      <c r="P20" s="16"/>
      <c r="Q20" s="1"/>
      <c r="R20" s="1"/>
      <c r="S20" s="16"/>
      <c r="T20" s="16"/>
      <c r="U20" s="16"/>
      <c r="V20" s="16"/>
      <c r="W20" s="16"/>
      <c r="X20" s="1"/>
    </row>
    <row r="21" spans="1:31" ht="14.4" x14ac:dyDescent="0.3">
      <c r="A21" s="1"/>
      <c r="D21" s="45"/>
      <c r="M21" s="16"/>
      <c r="O21" s="46"/>
      <c r="R21" s="1"/>
      <c r="X21" s="1"/>
    </row>
    <row r="22" spans="1:31" ht="14.4" x14ac:dyDescent="0.3">
      <c r="A22" s="3" t="s">
        <v>26</v>
      </c>
      <c r="B22" s="3" t="s">
        <v>47</v>
      </c>
      <c r="C22" s="3" t="s">
        <v>77</v>
      </c>
      <c r="D22" s="3" t="s">
        <v>7</v>
      </c>
      <c r="E22" s="3" t="s">
        <v>8</v>
      </c>
      <c r="F22" s="3" t="s">
        <v>9</v>
      </c>
      <c r="G22" s="3" t="s">
        <v>78</v>
      </c>
      <c r="H22" s="3" t="s">
        <v>79</v>
      </c>
      <c r="I22" s="3" t="s">
        <v>80</v>
      </c>
      <c r="J22" s="3" t="s">
        <v>81</v>
      </c>
      <c r="K22" s="3" t="s">
        <v>82</v>
      </c>
      <c r="L22" s="3" t="s">
        <v>49</v>
      </c>
      <c r="M22" s="3" t="s">
        <v>83</v>
      </c>
      <c r="N22" s="3" t="s">
        <v>44</v>
      </c>
      <c r="O22" s="3" t="s">
        <v>45</v>
      </c>
      <c r="Q22" s="3" t="s">
        <v>84</v>
      </c>
      <c r="R22" s="3" t="s">
        <v>63</v>
      </c>
      <c r="S22" s="3" t="s">
        <v>85</v>
      </c>
      <c r="T22" s="3" t="s">
        <v>27</v>
      </c>
      <c r="U22" s="1"/>
      <c r="W22" s="3" t="s">
        <v>84</v>
      </c>
      <c r="X22" s="3" t="s">
        <v>56</v>
      </c>
      <c r="Y22" s="3" t="s">
        <v>86</v>
      </c>
      <c r="Z22" s="3" t="s">
        <v>27</v>
      </c>
      <c r="AB22" s="3" t="s">
        <v>84</v>
      </c>
      <c r="AC22" s="3" t="s">
        <v>62</v>
      </c>
      <c r="AD22" s="3" t="s">
        <v>87</v>
      </c>
      <c r="AE22" s="3" t="s">
        <v>27</v>
      </c>
    </row>
    <row r="23" spans="1:31" ht="15.75" customHeight="1" x14ac:dyDescent="0.3">
      <c r="A23" s="11"/>
      <c r="B23" s="11" t="s">
        <v>88</v>
      </c>
      <c r="C23" s="47">
        <f t="shared" ref="C23:F23" si="3">(C30/C31)^(1/1)-1</f>
        <v>0.75972858077174621</v>
      </c>
      <c r="D23" s="47">
        <f t="shared" si="3"/>
        <v>0.34769094138543521</v>
      </c>
      <c r="E23" s="47">
        <f t="shared" si="3"/>
        <v>0.20483870967741935</v>
      </c>
      <c r="F23" s="47">
        <f t="shared" si="3"/>
        <v>0.26958637469586377</v>
      </c>
      <c r="G23" s="48">
        <f>G30</f>
        <v>0.24612850082372323</v>
      </c>
      <c r="H23" s="47">
        <f t="shared" ref="H23:I23" si="4">(H30/H31)^(1/1)-1</f>
        <v>0.48163265306122449</v>
      </c>
      <c r="I23" s="47">
        <f t="shared" si="4"/>
        <v>2.3880597014925398E-2</v>
      </c>
      <c r="J23" s="49">
        <f t="shared" ref="J23:K23" si="5">J30</f>
        <v>97.393637408968956</v>
      </c>
      <c r="K23" s="49">
        <f t="shared" si="5"/>
        <v>39.440398620160984</v>
      </c>
      <c r="L23" s="50">
        <f t="shared" ref="L23:L26" si="6">AVERAGE(J23:K23)</f>
        <v>68.417018014564974</v>
      </c>
      <c r="M23" s="47">
        <f t="shared" ref="M23:N23" si="7">(M30/M31)^(1/1)-1</f>
        <v>7.978082191780822E-2</v>
      </c>
      <c r="N23" s="47">
        <f t="shared" si="7"/>
        <v>7.978082191780822E-2</v>
      </c>
      <c r="O23" s="51">
        <f>O30</f>
        <v>5.0363341114381406</v>
      </c>
      <c r="Q23" s="3" t="s">
        <v>89</v>
      </c>
      <c r="R23" s="52">
        <v>13835</v>
      </c>
      <c r="S23" s="52">
        <v>7288</v>
      </c>
      <c r="T23" s="53">
        <f t="shared" ref="T23:T28" si="8">(R23/S23)^(1/1)-1</f>
        <v>0.89832601536772771</v>
      </c>
      <c r="U23" s="1"/>
      <c r="W23" s="3" t="s">
        <v>89</v>
      </c>
      <c r="X23" s="52">
        <v>5198</v>
      </c>
      <c r="Y23" s="52">
        <v>5034</v>
      </c>
      <c r="Z23" s="53">
        <f t="shared" ref="Z23:Z30" si="9">(X23/Y23)^(1/1)-1</f>
        <v>3.2578466428287545E-2</v>
      </c>
      <c r="AB23" s="3" t="s">
        <v>89</v>
      </c>
      <c r="AC23" s="52">
        <f t="shared" ref="AC23:AD23" si="10">R23-X23</f>
        <v>8637</v>
      </c>
      <c r="AD23" s="52">
        <f t="shared" si="10"/>
        <v>2254</v>
      </c>
      <c r="AE23" s="53">
        <f t="shared" ref="AE23:AE28" si="11">(AC23/AD23)^(1/1)-1</f>
        <v>2.8318544809228041</v>
      </c>
    </row>
    <row r="24" spans="1:31" ht="15.75" customHeight="1" x14ac:dyDescent="0.3">
      <c r="A24" s="11"/>
      <c r="B24" s="28" t="s">
        <v>90</v>
      </c>
      <c r="C24" s="34">
        <f t="shared" ref="C24:F24" si="12">(C30/C35)^(1/5)-1</f>
        <v>0.32273132169877705</v>
      </c>
      <c r="D24" s="34">
        <f t="shared" si="12"/>
        <v>-1.1825610449318402E-2</v>
      </c>
      <c r="E24" s="34">
        <f t="shared" si="12"/>
        <v>0.24176671937695282</v>
      </c>
      <c r="F24" s="34">
        <f t="shared" si="12"/>
        <v>0.18511904379372357</v>
      </c>
      <c r="G24" s="35">
        <f>MEDIAN(G30:G35)</f>
        <v>0.14288869569303789</v>
      </c>
      <c r="H24" s="34">
        <f t="shared" ref="H24:I24" si="13">(H30/H35)^(1/5)-1</f>
        <v>0.22610331287338403</v>
      </c>
      <c r="I24" s="34">
        <f t="shared" si="13"/>
        <v>0.17369344704758083</v>
      </c>
      <c r="J24" s="54">
        <f t="shared" ref="J24:K24" si="14">MEDIAN(J30:J35)</f>
        <v>90.424312621759412</v>
      </c>
      <c r="K24" s="54">
        <f t="shared" si="14"/>
        <v>43.761823546132661</v>
      </c>
      <c r="L24" s="50">
        <f t="shared" si="6"/>
        <v>67.093068083946036</v>
      </c>
      <c r="M24" s="34">
        <f t="shared" ref="M24:N24" si="15">(M30/M35)^(1/5)-1</f>
        <v>0.32984395785930198</v>
      </c>
      <c r="N24" s="34">
        <f t="shared" si="15"/>
        <v>0.2803753145941783</v>
      </c>
      <c r="O24" s="55">
        <f>MEDIAN(O31:O36)</f>
        <v>5.339781921412758</v>
      </c>
      <c r="Q24" s="3" t="s">
        <v>7</v>
      </c>
      <c r="R24" s="52">
        <v>3046</v>
      </c>
      <c r="S24" s="52">
        <v>1871</v>
      </c>
      <c r="T24" s="53">
        <f t="shared" si="8"/>
        <v>0.62800641368252275</v>
      </c>
      <c r="U24" s="1"/>
      <c r="W24" s="3" t="s">
        <v>7</v>
      </c>
      <c r="X24" s="52">
        <v>1347</v>
      </c>
      <c r="Y24" s="52">
        <v>605</v>
      </c>
      <c r="Z24" s="53">
        <f t="shared" si="9"/>
        <v>1.2264462809917354</v>
      </c>
      <c r="AB24" s="3" t="s">
        <v>7</v>
      </c>
      <c r="AC24" s="52">
        <v>739</v>
      </c>
      <c r="AD24" s="52">
        <v>936</v>
      </c>
      <c r="AE24" s="53">
        <f t="shared" si="11"/>
        <v>-0.2104700854700855</v>
      </c>
    </row>
    <row r="25" spans="1:31" ht="15.75" customHeight="1" x14ac:dyDescent="0.3">
      <c r="A25" s="11"/>
      <c r="B25" s="28" t="s">
        <v>91</v>
      </c>
      <c r="C25" s="34">
        <f t="shared" ref="C25:F25" si="16">(C30/C40)^(1/10)-1</f>
        <v>0.35057465528123855</v>
      </c>
      <c r="D25" s="34">
        <f t="shared" si="16"/>
        <v>9.2411129004759118E-2</v>
      </c>
      <c r="E25" s="34">
        <f t="shared" si="16"/>
        <v>0.16659486889908925</v>
      </c>
      <c r="F25" s="34">
        <f t="shared" si="16"/>
        <v>0.11711190818485151</v>
      </c>
      <c r="G25" s="35">
        <f>MEDIAN(G30:G40)</f>
        <v>9.9117799688635183E-2</v>
      </c>
      <c r="H25" s="34">
        <f t="shared" ref="H25:I25" si="17">((2*H30)/H40)^(1/10)-1</f>
        <v>0.4046191138428572</v>
      </c>
      <c r="I25" s="34">
        <f t="shared" si="17"/>
        <v>0.295962589514426</v>
      </c>
      <c r="J25" s="54">
        <f t="shared" ref="J25:K25" si="18">MEDIAN(J30:J40)</f>
        <v>82.168458781362006</v>
      </c>
      <c r="K25" s="54">
        <f t="shared" si="18"/>
        <v>39.440398620160984</v>
      </c>
      <c r="L25" s="50">
        <f t="shared" si="6"/>
        <v>60.804428700761491</v>
      </c>
      <c r="M25" s="34">
        <f t="shared" ref="M25:N25" si="19">(M30/M40)^(1/10)-1</f>
        <v>0.18576552452897288</v>
      </c>
      <c r="N25" s="34">
        <f t="shared" si="19"/>
        <v>0.14620119988476632</v>
      </c>
      <c r="O25" s="55">
        <f>MEDIAN(O30:O40)</f>
        <v>4.1433424657534248</v>
      </c>
      <c r="Q25" s="3" t="s">
        <v>92</v>
      </c>
      <c r="R25" s="52">
        <v>2045</v>
      </c>
      <c r="S25" s="52">
        <v>1582</v>
      </c>
      <c r="T25" s="53">
        <f t="shared" si="8"/>
        <v>0.29266750948166886</v>
      </c>
      <c r="U25" s="1"/>
      <c r="W25" s="3" t="s">
        <v>92</v>
      </c>
      <c r="X25" s="52">
        <v>1124</v>
      </c>
      <c r="Y25" s="52">
        <v>460</v>
      </c>
      <c r="Z25" s="53">
        <f t="shared" si="9"/>
        <v>1.4434782608695653</v>
      </c>
      <c r="AB25" s="3" t="s">
        <v>92</v>
      </c>
      <c r="AC25" s="52">
        <v>921</v>
      </c>
      <c r="AD25" s="52">
        <v>1121</v>
      </c>
      <c r="AE25" s="53">
        <f t="shared" si="11"/>
        <v>-0.17841213202497774</v>
      </c>
    </row>
    <row r="26" spans="1:31" ht="15.75" customHeight="1" x14ac:dyDescent="0.3">
      <c r="A26" s="11"/>
      <c r="B26" s="28" t="s">
        <v>93</v>
      </c>
      <c r="C26" s="34"/>
      <c r="D26" s="34">
        <f t="shared" ref="D26:F26" si="20">(D30/D45)^(1/15)-1</f>
        <v>0.1673367605554843</v>
      </c>
      <c r="E26" s="34">
        <f t="shared" si="20"/>
        <v>0.16560290880611328</v>
      </c>
      <c r="F26" s="34">
        <f t="shared" si="20"/>
        <v>5.1066934624690585E-2</v>
      </c>
      <c r="G26" s="35">
        <f>MEDIAN(G30:G45)</f>
        <v>0.12439304296508782</v>
      </c>
      <c r="H26" s="34">
        <f t="shared" ref="H26:I26" si="21">((2*H30)/H44)^(1/14)-1</f>
        <v>0.16641040003675833</v>
      </c>
      <c r="I26" s="34">
        <f t="shared" si="21"/>
        <v>0.11523653673651246</v>
      </c>
      <c r="J26" s="54">
        <f t="shared" ref="J26:K26" si="22">MEDIAN(J30:J45)</f>
        <v>49.603174603174608</v>
      </c>
      <c r="K26" s="54">
        <f t="shared" si="22"/>
        <v>31.084656084656086</v>
      </c>
      <c r="L26" s="50">
        <f t="shared" si="6"/>
        <v>40.343915343915349</v>
      </c>
      <c r="M26" s="34">
        <f t="shared" ref="M26:N26" si="23">(M30/M45)^(1/15)-1</f>
        <v>0.2626708309466208</v>
      </c>
      <c r="N26" s="34">
        <f t="shared" si="23"/>
        <v>0.19389438934941117</v>
      </c>
      <c r="O26" s="55">
        <f>MEDIAN(O30:O45)</f>
        <v>5.0363341114381406</v>
      </c>
      <c r="Q26" s="3" t="s">
        <v>94</v>
      </c>
      <c r="R26" s="50">
        <v>85</v>
      </c>
      <c r="S26" s="50">
        <v>78</v>
      </c>
      <c r="T26" s="53">
        <f t="shared" si="8"/>
        <v>8.9743589743589647E-2</v>
      </c>
      <c r="U26" s="16"/>
      <c r="W26" s="3" t="s">
        <v>94</v>
      </c>
      <c r="X26" s="50">
        <v>45</v>
      </c>
      <c r="Y26" s="50">
        <v>48</v>
      </c>
      <c r="Z26" s="53">
        <f t="shared" si="9"/>
        <v>-6.25E-2</v>
      </c>
      <c r="AB26" s="3" t="s">
        <v>94</v>
      </c>
      <c r="AC26" s="50">
        <v>41</v>
      </c>
      <c r="AD26" s="50">
        <v>30</v>
      </c>
      <c r="AE26" s="53">
        <f t="shared" si="11"/>
        <v>0.3666666666666667</v>
      </c>
    </row>
    <row r="27" spans="1:31" ht="15.75" customHeight="1" x14ac:dyDescent="0.3">
      <c r="A27" s="1"/>
      <c r="L27" s="56">
        <f>AVERAGE(L25:L26)</f>
        <v>50.574172022338416</v>
      </c>
      <c r="M27" s="16"/>
      <c r="Q27" s="3" t="s">
        <v>8</v>
      </c>
      <c r="R27" s="50">
        <v>852</v>
      </c>
      <c r="S27" s="50">
        <v>206</v>
      </c>
      <c r="T27" s="53">
        <f t="shared" si="8"/>
        <v>3.1359223300970873</v>
      </c>
      <c r="U27" s="16"/>
      <c r="W27" s="3" t="s">
        <v>8</v>
      </c>
      <c r="X27" s="50">
        <v>334</v>
      </c>
      <c r="Y27" s="50">
        <v>73</v>
      </c>
      <c r="Z27" s="53">
        <f t="shared" si="9"/>
        <v>3.5753424657534243</v>
      </c>
      <c r="AB27" s="3" t="s">
        <v>8</v>
      </c>
      <c r="AC27" s="50">
        <v>518</v>
      </c>
      <c r="AD27" s="50">
        <v>133</v>
      </c>
      <c r="AE27" s="53">
        <f t="shared" si="11"/>
        <v>2.8947368421052633</v>
      </c>
    </row>
    <row r="28" spans="1:31" ht="15.75" customHeight="1" x14ac:dyDescent="0.3">
      <c r="A28" s="3" t="s">
        <v>95</v>
      </c>
      <c r="B28" s="3" t="s">
        <v>47</v>
      </c>
      <c r="C28" s="3" t="s">
        <v>77</v>
      </c>
      <c r="D28" s="3" t="s">
        <v>7</v>
      </c>
      <c r="E28" s="3" t="s">
        <v>8</v>
      </c>
      <c r="F28" s="3" t="s">
        <v>9</v>
      </c>
      <c r="G28" s="3" t="s">
        <v>78</v>
      </c>
      <c r="H28" s="3" t="s">
        <v>79</v>
      </c>
      <c r="I28" s="3" t="s">
        <v>80</v>
      </c>
      <c r="J28" s="3" t="s">
        <v>81</v>
      </c>
      <c r="K28" s="3" t="s">
        <v>82</v>
      </c>
      <c r="L28" s="3" t="s">
        <v>96</v>
      </c>
      <c r="M28" s="3" t="s">
        <v>83</v>
      </c>
      <c r="N28" s="3" t="s">
        <v>44</v>
      </c>
      <c r="O28" s="3" t="s">
        <v>45</v>
      </c>
      <c r="Q28" s="3" t="s">
        <v>9</v>
      </c>
      <c r="R28" s="57">
        <v>30.76</v>
      </c>
      <c r="S28" s="57">
        <v>6.9</v>
      </c>
      <c r="T28" s="53">
        <f t="shared" si="8"/>
        <v>3.4579710144927533</v>
      </c>
      <c r="U28" s="16"/>
      <c r="W28" s="3" t="s">
        <v>9</v>
      </c>
      <c r="X28" s="57">
        <v>12.06</v>
      </c>
      <c r="Y28" s="57">
        <v>2.4</v>
      </c>
      <c r="Z28" s="53">
        <f t="shared" si="9"/>
        <v>4.0250000000000004</v>
      </c>
      <c r="AB28" s="3" t="s">
        <v>9</v>
      </c>
      <c r="AC28" s="57">
        <v>18.7</v>
      </c>
      <c r="AD28" s="57">
        <v>4.59</v>
      </c>
      <c r="AE28" s="53">
        <f t="shared" si="11"/>
        <v>3.0740740740740744</v>
      </c>
    </row>
    <row r="29" spans="1:31" ht="15.75" customHeight="1" x14ac:dyDescent="0.3">
      <c r="B29" s="58" t="s">
        <v>97</v>
      </c>
      <c r="C29" s="59">
        <f>C30-7288+13835</f>
        <v>28072</v>
      </c>
      <c r="D29" s="59">
        <f>D30+R24-S24</f>
        <v>4210</v>
      </c>
      <c r="E29" s="60">
        <f>E30+R27-S27</f>
        <v>1393</v>
      </c>
      <c r="F29" s="61">
        <f>T14</f>
        <v>49.95</v>
      </c>
      <c r="G29" s="62">
        <v>0.28000000000000003</v>
      </c>
      <c r="H29" s="59">
        <v>3402</v>
      </c>
      <c r="I29" s="59">
        <v>1532</v>
      </c>
      <c r="J29" s="63">
        <f t="shared" ref="J29:J44" si="24">H29/F29</f>
        <v>68.108108108108098</v>
      </c>
      <c r="K29" s="63">
        <f t="shared" ref="K29:K44" si="25">I29/F29</f>
        <v>30.67067067067067</v>
      </c>
      <c r="L29" s="59">
        <v>139</v>
      </c>
      <c r="M29" s="59">
        <v>10710</v>
      </c>
      <c r="N29" s="63">
        <f t="shared" ref="N29:N47" si="26">(M29)/(L29/5)</f>
        <v>385.25179856115108</v>
      </c>
      <c r="O29" s="63">
        <f t="shared" ref="O29:O44" si="27">AVERAGE(H29:I29)/N29</f>
        <v>6.4036041083099908</v>
      </c>
      <c r="Q29" s="3" t="s">
        <v>78</v>
      </c>
      <c r="R29" s="64">
        <f t="shared" ref="R29:S29" si="28">R27/R24</f>
        <v>0.27971109652002624</v>
      </c>
      <c r="S29" s="64">
        <f t="shared" si="28"/>
        <v>0.11010154997327633</v>
      </c>
      <c r="T29" s="53">
        <f t="shared" ref="T29:T30" si="29">R29-S29</f>
        <v>0.16960954654674992</v>
      </c>
      <c r="U29" s="16"/>
      <c r="W29" s="3" t="s">
        <v>78</v>
      </c>
      <c r="X29" s="64">
        <f t="shared" ref="X29:Y29" si="30">X27/X24</f>
        <v>0.2479584261321455</v>
      </c>
      <c r="Y29" s="64">
        <f t="shared" si="30"/>
        <v>0.12066115702479339</v>
      </c>
      <c r="Z29" s="53">
        <f t="shared" si="9"/>
        <v>1.0549979152047673</v>
      </c>
      <c r="AB29" s="3" t="s">
        <v>78</v>
      </c>
      <c r="AC29" s="64">
        <f t="shared" ref="AC29:AD29" si="31">AC27/AC24</f>
        <v>0.70094722598105552</v>
      </c>
      <c r="AD29" s="64">
        <f t="shared" si="31"/>
        <v>0.14209401709401709</v>
      </c>
      <c r="AE29" s="53">
        <f t="shared" ref="AE29:AE30" si="32">AC29-AD29</f>
        <v>0.55885320888703838</v>
      </c>
    </row>
    <row r="30" spans="1:31" ht="15.75" customHeight="1" x14ac:dyDescent="0.3">
      <c r="A30" s="58"/>
      <c r="B30" s="58" t="s">
        <v>58</v>
      </c>
      <c r="C30" s="58">
        <v>21525</v>
      </c>
      <c r="D30" s="58">
        <v>3035</v>
      </c>
      <c r="E30" s="58">
        <v>747</v>
      </c>
      <c r="F30" s="65">
        <v>26.09</v>
      </c>
      <c r="G30" s="66">
        <f t="shared" ref="G30:G47" si="33">E30/D30</f>
        <v>0.24612850082372323</v>
      </c>
      <c r="H30" s="58">
        <v>2541</v>
      </c>
      <c r="I30" s="58">
        <v>1029</v>
      </c>
      <c r="J30" s="63">
        <f t="shared" si="24"/>
        <v>97.393637408968956</v>
      </c>
      <c r="K30" s="63">
        <f t="shared" si="25"/>
        <v>39.440398620160984</v>
      </c>
      <c r="L30" s="58">
        <v>139</v>
      </c>
      <c r="M30" s="58">
        <v>9853</v>
      </c>
      <c r="N30" s="63">
        <f t="shared" si="26"/>
        <v>354.42446043165467</v>
      </c>
      <c r="O30" s="63">
        <f t="shared" si="27"/>
        <v>5.0363341114381406</v>
      </c>
      <c r="Q30" s="3" t="s">
        <v>38</v>
      </c>
      <c r="R30" s="50">
        <f t="shared" ref="R30:S30" si="34">(R24-R25+R26)-R26</f>
        <v>1001</v>
      </c>
      <c r="S30" s="50">
        <f t="shared" si="34"/>
        <v>289</v>
      </c>
      <c r="T30" s="67">
        <f t="shared" si="29"/>
        <v>712</v>
      </c>
      <c r="U30" s="16"/>
      <c r="W30" s="3" t="s">
        <v>38</v>
      </c>
      <c r="X30" s="50">
        <f t="shared" ref="X30:Y30" si="35">(X24-X25+X26)-X26</f>
        <v>223</v>
      </c>
      <c r="Y30" s="50">
        <f t="shared" si="35"/>
        <v>145</v>
      </c>
      <c r="Z30" s="53">
        <f t="shared" si="9"/>
        <v>0.53793103448275859</v>
      </c>
      <c r="AB30" s="3" t="s">
        <v>38</v>
      </c>
      <c r="AC30" s="50">
        <f t="shared" ref="AC30:AD30" si="36">(AC24-AC25+AC26)-AC26</f>
        <v>-182</v>
      </c>
      <c r="AD30" s="50">
        <f t="shared" si="36"/>
        <v>-185</v>
      </c>
      <c r="AE30" s="67">
        <f t="shared" si="32"/>
        <v>3</v>
      </c>
    </row>
    <row r="31" spans="1:31" ht="15.75" customHeight="1" x14ac:dyDescent="0.3">
      <c r="A31" s="9"/>
      <c r="B31" s="58" t="s">
        <v>98</v>
      </c>
      <c r="C31" s="58">
        <v>12232</v>
      </c>
      <c r="D31" s="58">
        <v>2252</v>
      </c>
      <c r="E31" s="58">
        <v>620</v>
      </c>
      <c r="F31" s="65">
        <v>20.55</v>
      </c>
      <c r="G31" s="66">
        <f t="shared" si="33"/>
        <v>0.27531083481349911</v>
      </c>
      <c r="H31" s="58">
        <v>1715</v>
      </c>
      <c r="I31" s="58">
        <v>1005</v>
      </c>
      <c r="J31" s="63">
        <f t="shared" si="24"/>
        <v>83.454987834549883</v>
      </c>
      <c r="K31" s="63">
        <f t="shared" si="25"/>
        <v>48.905109489051092</v>
      </c>
      <c r="L31" s="58">
        <v>139</v>
      </c>
      <c r="M31" s="58">
        <v>9125</v>
      </c>
      <c r="N31" s="63">
        <f t="shared" si="26"/>
        <v>328.23741007194246</v>
      </c>
      <c r="O31" s="63">
        <f t="shared" si="27"/>
        <v>4.1433424657534248</v>
      </c>
      <c r="Q31" s="16"/>
      <c r="R31" s="16"/>
      <c r="S31" s="16"/>
      <c r="T31" s="16"/>
      <c r="U31" s="16"/>
    </row>
    <row r="32" spans="1:31" ht="15.75" customHeight="1" x14ac:dyDescent="0.3">
      <c r="A32" s="9"/>
      <c r="B32" s="58" t="s">
        <v>99</v>
      </c>
      <c r="C32" s="58">
        <v>7861</v>
      </c>
      <c r="D32" s="58">
        <v>1825</v>
      </c>
      <c r="E32" s="58">
        <v>350</v>
      </c>
      <c r="F32" s="65">
        <v>12.68</v>
      </c>
      <c r="G32" s="66">
        <f t="shared" si="33"/>
        <v>0.19178082191780821</v>
      </c>
      <c r="H32" s="58">
        <v>2410</v>
      </c>
      <c r="I32" s="58">
        <v>1200</v>
      </c>
      <c r="J32" s="63">
        <f t="shared" si="24"/>
        <v>190.06309148264984</v>
      </c>
      <c r="K32" s="63">
        <f t="shared" si="25"/>
        <v>94.637223974763415</v>
      </c>
      <c r="L32" s="58">
        <v>139</v>
      </c>
      <c r="M32" s="58">
        <f>8125+L32</f>
        <v>8264</v>
      </c>
      <c r="N32" s="63">
        <f t="shared" si="26"/>
        <v>297.26618705035969</v>
      </c>
      <c r="O32" s="63">
        <f t="shared" si="27"/>
        <v>6.071999031945789</v>
      </c>
      <c r="Q32" s="3" t="s">
        <v>100</v>
      </c>
      <c r="R32" s="3" t="s">
        <v>63</v>
      </c>
      <c r="S32" s="3" t="s">
        <v>85</v>
      </c>
      <c r="T32" s="3" t="s">
        <v>101</v>
      </c>
      <c r="U32" s="3" t="s">
        <v>27</v>
      </c>
    </row>
    <row r="33" spans="1:31" ht="15.75" customHeight="1" x14ac:dyDescent="0.3">
      <c r="A33" s="9" t="s">
        <v>102</v>
      </c>
      <c r="B33" s="68" t="s">
        <v>103</v>
      </c>
      <c r="C33" s="58">
        <v>6725</v>
      </c>
      <c r="D33" s="69">
        <v>1333</v>
      </c>
      <c r="E33" s="69">
        <v>-189</v>
      </c>
      <c r="F33" s="70">
        <v>-7.48</v>
      </c>
      <c r="G33" s="66">
        <f t="shared" si="33"/>
        <v>-0.14178544636159041</v>
      </c>
      <c r="H33" s="71">
        <v>1573</v>
      </c>
      <c r="I33" s="71">
        <v>575</v>
      </c>
      <c r="J33" s="72">
        <f t="shared" si="24"/>
        <v>-210.29411764705881</v>
      </c>
      <c r="K33" s="72">
        <f t="shared" si="25"/>
        <v>-76.871657754010684</v>
      </c>
      <c r="L33" s="9">
        <v>139</v>
      </c>
      <c r="M33" s="11">
        <f>L33+8180</f>
        <v>8319</v>
      </c>
      <c r="N33" s="63">
        <f t="shared" si="26"/>
        <v>299.24460431654677</v>
      </c>
      <c r="O33" s="63">
        <f t="shared" si="27"/>
        <v>3.5890371438874862</v>
      </c>
      <c r="Q33" s="3" t="s">
        <v>104</v>
      </c>
      <c r="R33" s="7">
        <v>4392</v>
      </c>
      <c r="S33" s="7">
        <v>1872</v>
      </c>
      <c r="T33" s="53">
        <f t="shared" ref="T33:T38" si="37">R33/$R$40</f>
        <v>2.1476772616136919</v>
      </c>
      <c r="U33" s="64">
        <f>(R33/S33)-1</f>
        <v>1.3461538461538463</v>
      </c>
      <c r="AB33" s="73"/>
      <c r="AC33" s="73"/>
      <c r="AD33" s="73"/>
      <c r="AE33" s="73"/>
    </row>
    <row r="34" spans="1:31" ht="15.75" customHeight="1" x14ac:dyDescent="0.3">
      <c r="A34" s="9" t="s">
        <v>105</v>
      </c>
      <c r="B34" s="58" t="s">
        <v>106</v>
      </c>
      <c r="C34" s="58">
        <v>5915</v>
      </c>
      <c r="D34" s="69">
        <v>2915</v>
      </c>
      <c r="E34" s="71">
        <v>274</v>
      </c>
      <c r="F34" s="70">
        <v>10.97</v>
      </c>
      <c r="G34" s="66">
        <f t="shared" si="33"/>
        <v>9.399656946826758E-2</v>
      </c>
      <c r="H34" s="71">
        <v>1188</v>
      </c>
      <c r="I34" s="71">
        <v>506</v>
      </c>
      <c r="J34" s="72">
        <f t="shared" si="24"/>
        <v>108.29535095715588</v>
      </c>
      <c r="K34" s="72">
        <f t="shared" si="25"/>
        <v>46.125797629899722</v>
      </c>
      <c r="L34" s="9">
        <v>128</v>
      </c>
      <c r="M34" s="11">
        <f>L34+4578</f>
        <v>4706</v>
      </c>
      <c r="N34" s="63">
        <f t="shared" si="26"/>
        <v>183.828125</v>
      </c>
      <c r="O34" s="63">
        <f t="shared" si="27"/>
        <v>4.6075648108797278</v>
      </c>
      <c r="Q34" s="3" t="s">
        <v>107</v>
      </c>
      <c r="R34" s="52">
        <v>-3300</v>
      </c>
      <c r="S34" s="52">
        <v>-1060</v>
      </c>
      <c r="T34" s="53">
        <f t="shared" si="37"/>
        <v>-1.6136919315403424</v>
      </c>
      <c r="U34" s="53">
        <f t="shared" ref="U34:U38" si="38">(R34/S34)^(1/1)-1</f>
        <v>2.1132075471698113</v>
      </c>
      <c r="AB34" s="74"/>
      <c r="AC34" s="74"/>
      <c r="AD34" s="74"/>
      <c r="AE34" s="74"/>
    </row>
    <row r="35" spans="1:31" ht="15.75" customHeight="1" x14ac:dyDescent="0.3">
      <c r="A35" s="9"/>
      <c r="B35" s="58" t="s">
        <v>108</v>
      </c>
      <c r="C35" s="58">
        <v>5316</v>
      </c>
      <c r="D35" s="71">
        <v>3221</v>
      </c>
      <c r="E35" s="75">
        <v>253</v>
      </c>
      <c r="F35" s="70">
        <v>11.16</v>
      </c>
      <c r="G35" s="66">
        <f t="shared" si="33"/>
        <v>7.8547035082272593E-2</v>
      </c>
      <c r="H35" s="76">
        <v>917</v>
      </c>
      <c r="I35" s="76">
        <v>462</v>
      </c>
      <c r="J35" s="72">
        <f t="shared" si="24"/>
        <v>82.168458781362006</v>
      </c>
      <c r="K35" s="72">
        <f t="shared" si="25"/>
        <v>41.397849462365592</v>
      </c>
      <c r="L35" s="9">
        <v>115</v>
      </c>
      <c r="M35" s="11">
        <f>L35+2254</f>
        <v>2369</v>
      </c>
      <c r="N35" s="63">
        <f t="shared" si="26"/>
        <v>103</v>
      </c>
      <c r="O35" s="63">
        <f t="shared" si="27"/>
        <v>6.6941747572815533</v>
      </c>
      <c r="Q35" s="3" t="s">
        <v>109</v>
      </c>
      <c r="R35" s="52">
        <v>206</v>
      </c>
      <c r="S35" s="52">
        <v>132</v>
      </c>
      <c r="T35" s="53">
        <f t="shared" si="37"/>
        <v>0.10073349633251834</v>
      </c>
      <c r="U35" s="53">
        <f t="shared" si="38"/>
        <v>0.56060606060606055</v>
      </c>
      <c r="AB35" s="74"/>
      <c r="AC35" s="74"/>
      <c r="AD35" s="74"/>
      <c r="AE35" s="74"/>
    </row>
    <row r="36" spans="1:31" ht="15.75" customHeight="1" x14ac:dyDescent="0.3">
      <c r="A36" s="9"/>
      <c r="B36" s="68" t="s">
        <v>110</v>
      </c>
      <c r="C36" s="58">
        <v>5083</v>
      </c>
      <c r="D36" s="71">
        <v>2102</v>
      </c>
      <c r="E36" s="69">
        <v>87</v>
      </c>
      <c r="F36" s="70">
        <v>4.01</v>
      </c>
      <c r="G36" s="66">
        <f t="shared" si="33"/>
        <v>4.1389153187440533E-2</v>
      </c>
      <c r="H36" s="71">
        <v>910</v>
      </c>
      <c r="I36" s="76">
        <v>388</v>
      </c>
      <c r="J36" s="72">
        <f t="shared" si="24"/>
        <v>226.93266832917706</v>
      </c>
      <c r="K36" s="72">
        <f t="shared" si="25"/>
        <v>96.758104738154614</v>
      </c>
      <c r="L36" s="9">
        <v>108</v>
      </c>
      <c r="M36" s="11">
        <f>L36+1052</f>
        <v>1160</v>
      </c>
      <c r="N36" s="63">
        <f t="shared" si="26"/>
        <v>53.703703703703702</v>
      </c>
      <c r="O36" s="63">
        <f t="shared" si="27"/>
        <v>12.084827586206897</v>
      </c>
      <c r="Q36" s="3" t="s">
        <v>111</v>
      </c>
      <c r="R36" s="52">
        <v>85</v>
      </c>
      <c r="S36" s="52">
        <v>78</v>
      </c>
      <c r="T36" s="53">
        <f t="shared" si="37"/>
        <v>4.1564792176039117E-2</v>
      </c>
      <c r="U36" s="53">
        <f t="shared" si="38"/>
        <v>8.9743589743589647E-2</v>
      </c>
      <c r="V36" s="1"/>
      <c r="W36" s="1"/>
      <c r="AB36" s="74"/>
      <c r="AC36" s="74"/>
      <c r="AD36" s="74"/>
      <c r="AE36" s="74"/>
    </row>
    <row r="37" spans="1:31" ht="15.75" customHeight="1" x14ac:dyDescent="0.3">
      <c r="A37" s="28"/>
      <c r="B37" s="58" t="s">
        <v>112</v>
      </c>
      <c r="C37" s="58">
        <v>2020</v>
      </c>
      <c r="D37" s="69">
        <v>1708</v>
      </c>
      <c r="E37" s="71">
        <v>207</v>
      </c>
      <c r="F37" s="70">
        <v>9.6</v>
      </c>
      <c r="G37" s="66">
        <f t="shared" si="33"/>
        <v>0.1211943793911007</v>
      </c>
      <c r="H37" s="71">
        <v>407</v>
      </c>
      <c r="I37" s="71">
        <v>287</v>
      </c>
      <c r="J37" s="72">
        <f t="shared" si="24"/>
        <v>42.395833333333336</v>
      </c>
      <c r="K37" s="72">
        <f t="shared" si="25"/>
        <v>29.895833333333336</v>
      </c>
      <c r="L37" s="9">
        <v>108</v>
      </c>
      <c r="M37" s="11">
        <f>L37+1895</f>
        <v>2003</v>
      </c>
      <c r="N37" s="63">
        <f t="shared" si="26"/>
        <v>92.731481481481481</v>
      </c>
      <c r="O37" s="63">
        <f t="shared" si="27"/>
        <v>3.7419870194707938</v>
      </c>
      <c r="Q37" s="3" t="s">
        <v>113</v>
      </c>
      <c r="R37" s="52">
        <v>35</v>
      </c>
      <c r="S37" s="52">
        <v>14</v>
      </c>
      <c r="T37" s="53">
        <f t="shared" si="37"/>
        <v>1.7114914425427872E-2</v>
      </c>
      <c r="U37" s="53">
        <f t="shared" si="38"/>
        <v>1.5</v>
      </c>
      <c r="AB37" s="74"/>
      <c r="AC37" s="74"/>
      <c r="AD37" s="74"/>
      <c r="AE37" s="74"/>
    </row>
    <row r="38" spans="1:31" ht="15.75" customHeight="1" x14ac:dyDescent="0.3">
      <c r="A38" s="9"/>
      <c r="B38" s="58" t="s">
        <v>114</v>
      </c>
      <c r="C38" s="58">
        <v>5038</v>
      </c>
      <c r="D38" s="71">
        <v>2252</v>
      </c>
      <c r="E38" s="69">
        <v>160</v>
      </c>
      <c r="F38" s="70">
        <v>7.56</v>
      </c>
      <c r="G38" s="66">
        <f t="shared" si="33"/>
        <v>7.1047957371225573E-2</v>
      </c>
      <c r="H38" s="71">
        <v>375</v>
      </c>
      <c r="I38" s="71">
        <v>235</v>
      </c>
      <c r="J38" s="72">
        <f t="shared" si="24"/>
        <v>49.603174603174608</v>
      </c>
      <c r="K38" s="72">
        <f t="shared" si="25"/>
        <v>31.084656084656086</v>
      </c>
      <c r="L38" s="9">
        <v>108</v>
      </c>
      <c r="M38" s="11">
        <f>L38+2060</f>
        <v>2168</v>
      </c>
      <c r="N38" s="63">
        <f t="shared" si="26"/>
        <v>100.37037037037037</v>
      </c>
      <c r="O38" s="63">
        <f t="shared" si="27"/>
        <v>3.0387453874538748</v>
      </c>
      <c r="Q38" s="3" t="s">
        <v>115</v>
      </c>
      <c r="R38" s="58">
        <v>612</v>
      </c>
      <c r="S38" s="58">
        <v>515</v>
      </c>
      <c r="T38" s="53">
        <f t="shared" si="37"/>
        <v>0.29926650366748164</v>
      </c>
      <c r="U38" s="53">
        <f t="shared" si="38"/>
        <v>0.18834951456310689</v>
      </c>
      <c r="AB38" s="74"/>
      <c r="AC38" s="74"/>
      <c r="AD38" s="74"/>
      <c r="AE38" s="74"/>
    </row>
    <row r="39" spans="1:31" ht="16.5" customHeight="1" thickBot="1" x14ac:dyDescent="0.35">
      <c r="A39" s="9"/>
      <c r="B39" s="68" t="s">
        <v>116</v>
      </c>
      <c r="C39" s="58">
        <v>2681</v>
      </c>
      <c r="D39" s="71">
        <v>1927</v>
      </c>
      <c r="E39" s="71">
        <v>191</v>
      </c>
      <c r="F39" s="70">
        <v>9.58</v>
      </c>
      <c r="G39" s="66">
        <f t="shared" si="33"/>
        <v>9.9117799688635183E-2</v>
      </c>
      <c r="H39" s="71">
        <v>309</v>
      </c>
      <c r="I39" s="71">
        <v>205</v>
      </c>
      <c r="J39" s="72">
        <f t="shared" si="24"/>
        <v>32.254697286012529</v>
      </c>
      <c r="K39" s="72">
        <f t="shared" si="25"/>
        <v>21.398747390396661</v>
      </c>
      <c r="L39" s="9">
        <v>99</v>
      </c>
      <c r="M39" s="11">
        <f>L39+1747</f>
        <v>1846</v>
      </c>
      <c r="N39" s="63">
        <f t="shared" si="26"/>
        <v>93.232323232323225</v>
      </c>
      <c r="O39" s="63">
        <f t="shared" si="27"/>
        <v>2.7565547128927412</v>
      </c>
      <c r="Q39" s="3" t="s">
        <v>117</v>
      </c>
      <c r="R39" s="11">
        <v>15</v>
      </c>
      <c r="S39" s="11">
        <v>32</v>
      </c>
      <c r="T39" s="11"/>
      <c r="U39" s="11"/>
      <c r="AB39" s="74"/>
      <c r="AC39" s="74"/>
      <c r="AD39" s="74"/>
      <c r="AE39" s="74"/>
    </row>
    <row r="40" spans="1:31" ht="16.5" customHeight="1" thickTop="1" x14ac:dyDescent="0.3">
      <c r="A40" s="9" t="s">
        <v>118</v>
      </c>
      <c r="B40" s="58" t="s">
        <v>119</v>
      </c>
      <c r="C40" s="58">
        <v>1066</v>
      </c>
      <c r="D40" s="71">
        <v>1254</v>
      </c>
      <c r="E40" s="71">
        <v>160</v>
      </c>
      <c r="F40" s="70">
        <v>8.6199999999999992</v>
      </c>
      <c r="G40" s="66">
        <f t="shared" si="33"/>
        <v>0.12759170653907495</v>
      </c>
      <c r="H40" s="71">
        <v>170</v>
      </c>
      <c r="I40" s="71">
        <v>154</v>
      </c>
      <c r="J40" s="72">
        <f t="shared" si="24"/>
        <v>19.721577726218101</v>
      </c>
      <c r="K40" s="72">
        <f t="shared" si="25"/>
        <v>17.865429234338748</v>
      </c>
      <c r="L40" s="9">
        <v>99</v>
      </c>
      <c r="M40" s="11">
        <f>L40+1694</f>
        <v>1793</v>
      </c>
      <c r="N40" s="63">
        <f t="shared" si="26"/>
        <v>90.555555555555557</v>
      </c>
      <c r="O40" s="63">
        <f t="shared" si="27"/>
        <v>1.7889570552147238</v>
      </c>
      <c r="Q40" s="77" t="s">
        <v>120</v>
      </c>
      <c r="R40" s="78">
        <f t="shared" ref="R40:S40" si="39">SUM(R33:R39)</f>
        <v>2045</v>
      </c>
      <c r="S40" s="78">
        <f t="shared" si="39"/>
        <v>1583</v>
      </c>
      <c r="T40" s="74">
        <f>R40/$R$40</f>
        <v>1</v>
      </c>
      <c r="U40" s="79">
        <f>(R40/S40)^(1/1)-1</f>
        <v>0.29185091598231216</v>
      </c>
      <c r="AB40" s="74"/>
      <c r="AC40" s="74"/>
      <c r="AD40" s="74"/>
      <c r="AE40" s="74"/>
    </row>
    <row r="41" spans="1:31" ht="16.5" customHeight="1" x14ac:dyDescent="0.3">
      <c r="A41" s="58"/>
      <c r="B41" s="58" t="s">
        <v>121</v>
      </c>
      <c r="C41" s="58">
        <v>276</v>
      </c>
      <c r="D41" s="71">
        <v>1048</v>
      </c>
      <c r="E41" s="71">
        <v>138</v>
      </c>
      <c r="F41" s="70">
        <v>17.739999999999998</v>
      </c>
      <c r="G41" s="66">
        <f t="shared" si="33"/>
        <v>0.1316793893129771</v>
      </c>
      <c r="H41" s="71">
        <v>689</v>
      </c>
      <c r="I41" s="71">
        <v>482</v>
      </c>
      <c r="J41" s="72">
        <f t="shared" si="24"/>
        <v>38.838782412626834</v>
      </c>
      <c r="K41" s="72">
        <f t="shared" si="25"/>
        <v>27.17023675310034</v>
      </c>
      <c r="L41" s="11">
        <v>78</v>
      </c>
      <c r="M41" s="11">
        <f>L41+1351</f>
        <v>1429</v>
      </c>
      <c r="N41" s="63">
        <f t="shared" si="26"/>
        <v>91.602564102564102</v>
      </c>
      <c r="O41" s="63">
        <f t="shared" si="27"/>
        <v>6.3917424772568232</v>
      </c>
      <c r="AB41" s="80"/>
      <c r="AC41" s="80"/>
      <c r="AD41" s="80"/>
      <c r="AE41" s="80"/>
    </row>
    <row r="42" spans="1:31" ht="15.75" customHeight="1" x14ac:dyDescent="0.3">
      <c r="A42" s="9"/>
      <c r="B42" s="68" t="s">
        <v>122</v>
      </c>
      <c r="C42" s="58">
        <v>161</v>
      </c>
      <c r="D42" s="71">
        <v>820</v>
      </c>
      <c r="E42" s="69">
        <v>98</v>
      </c>
      <c r="F42" s="70">
        <v>14</v>
      </c>
      <c r="G42" s="66">
        <f t="shared" si="33"/>
        <v>0.11951219512195121</v>
      </c>
      <c r="H42" s="71">
        <v>845</v>
      </c>
      <c r="I42" s="71">
        <v>592</v>
      </c>
      <c r="J42" s="72">
        <f t="shared" si="24"/>
        <v>60.357142857142854</v>
      </c>
      <c r="K42" s="72">
        <f t="shared" si="25"/>
        <v>42.285714285714285</v>
      </c>
      <c r="L42" s="11">
        <v>78</v>
      </c>
      <c r="M42" s="11">
        <f>L42+1364</f>
        <v>1442</v>
      </c>
      <c r="N42" s="63">
        <f t="shared" si="26"/>
        <v>92.435897435897445</v>
      </c>
      <c r="O42" s="63">
        <f t="shared" si="27"/>
        <v>7.7729542302357828</v>
      </c>
      <c r="Q42" s="2" t="s">
        <v>123</v>
      </c>
      <c r="V42" s="62"/>
      <c r="W42" s="62"/>
    </row>
    <row r="43" spans="1:31" ht="15.75" customHeight="1" x14ac:dyDescent="0.3">
      <c r="A43" s="11"/>
      <c r="B43" s="58" t="s">
        <v>124</v>
      </c>
      <c r="C43" s="58"/>
      <c r="D43" s="81">
        <v>559</v>
      </c>
      <c r="E43" s="81">
        <v>131</v>
      </c>
      <c r="F43" s="82">
        <v>18.73</v>
      </c>
      <c r="G43" s="66">
        <f t="shared" si="33"/>
        <v>0.23434704830053668</v>
      </c>
      <c r="H43" s="58">
        <v>823</v>
      </c>
      <c r="I43" s="58">
        <v>438</v>
      </c>
      <c r="J43" s="72">
        <f t="shared" si="24"/>
        <v>43.94020288307528</v>
      </c>
      <c r="K43" s="72">
        <f t="shared" si="25"/>
        <v>23.384943940202884</v>
      </c>
      <c r="L43" s="11">
        <v>70</v>
      </c>
      <c r="M43" s="11">
        <f>L43+841</f>
        <v>911</v>
      </c>
      <c r="N43" s="63">
        <f t="shared" si="26"/>
        <v>65.071428571428569</v>
      </c>
      <c r="O43" s="63">
        <f t="shared" si="27"/>
        <v>9.6893523600439089</v>
      </c>
      <c r="Q43" s="2" t="s">
        <v>125</v>
      </c>
      <c r="R43" s="2" t="s">
        <v>126</v>
      </c>
    </row>
    <row r="44" spans="1:31" ht="15.75" customHeight="1" x14ac:dyDescent="0.3">
      <c r="A44" s="11" t="s">
        <v>127</v>
      </c>
      <c r="B44" s="58" t="s">
        <v>128</v>
      </c>
      <c r="C44" s="58"/>
      <c r="D44" s="81">
        <v>456</v>
      </c>
      <c r="E44" s="81">
        <v>123</v>
      </c>
      <c r="F44" s="82">
        <v>19.5</v>
      </c>
      <c r="G44" s="66">
        <f t="shared" si="33"/>
        <v>0.26973684210526316</v>
      </c>
      <c r="H44" s="81">
        <v>589</v>
      </c>
      <c r="I44" s="81">
        <v>447</v>
      </c>
      <c r="J44" s="72">
        <f t="shared" si="24"/>
        <v>30.205128205128204</v>
      </c>
      <c r="K44" s="72">
        <f t="shared" si="25"/>
        <v>22.923076923076923</v>
      </c>
      <c r="L44" s="11">
        <v>70</v>
      </c>
      <c r="M44" s="11">
        <f>L44+747</f>
        <v>817</v>
      </c>
      <c r="N44" s="63">
        <f t="shared" si="26"/>
        <v>58.357142857142854</v>
      </c>
      <c r="O44" s="63">
        <f t="shared" si="27"/>
        <v>8.876376988984088</v>
      </c>
      <c r="Q44" s="59" t="s">
        <v>129</v>
      </c>
      <c r="R44" s="59">
        <v>58.5</v>
      </c>
    </row>
    <row r="45" spans="1:31" ht="15.75" customHeight="1" x14ac:dyDescent="0.3">
      <c r="A45" s="11"/>
      <c r="B45" s="68" t="s">
        <v>130</v>
      </c>
      <c r="C45" s="58"/>
      <c r="D45" s="81">
        <v>298</v>
      </c>
      <c r="E45" s="83">
        <v>75</v>
      </c>
      <c r="F45" s="82">
        <v>12.36</v>
      </c>
      <c r="G45" s="66">
        <f t="shared" si="33"/>
        <v>0.25167785234899331</v>
      </c>
      <c r="H45" s="81"/>
      <c r="I45" s="81"/>
      <c r="J45" s="81"/>
      <c r="K45" s="81"/>
      <c r="L45" s="11">
        <v>60</v>
      </c>
      <c r="M45" s="11">
        <f>L45+238</f>
        <v>298</v>
      </c>
      <c r="N45" s="63">
        <f t="shared" si="26"/>
        <v>24.833333333333332</v>
      </c>
      <c r="O45" s="63"/>
      <c r="Q45" s="59" t="s">
        <v>131</v>
      </c>
      <c r="R45" s="59">
        <v>4.7</v>
      </c>
    </row>
    <row r="46" spans="1:31" ht="15.75" customHeight="1" x14ac:dyDescent="0.3">
      <c r="A46" s="11"/>
      <c r="B46" s="58" t="s">
        <v>132</v>
      </c>
      <c r="C46" s="58"/>
      <c r="D46" s="68">
        <v>228</v>
      </c>
      <c r="E46" s="81">
        <v>76</v>
      </c>
      <c r="F46" s="82">
        <v>10.64</v>
      </c>
      <c r="G46" s="66">
        <f t="shared" si="33"/>
        <v>0.33333333333333331</v>
      </c>
      <c r="H46" s="81"/>
      <c r="I46" s="81"/>
      <c r="J46" s="81"/>
      <c r="K46" s="81"/>
      <c r="L46" s="11">
        <v>6</v>
      </c>
      <c r="M46" s="11">
        <f>L46+182</f>
        <v>188</v>
      </c>
      <c r="N46" s="63">
        <f t="shared" si="26"/>
        <v>156.66666666666669</v>
      </c>
      <c r="O46" s="63"/>
      <c r="P46" s="16"/>
      <c r="Q46" s="16" t="s">
        <v>133</v>
      </c>
      <c r="R46" s="59">
        <v>29.7</v>
      </c>
      <c r="V46" s="62"/>
      <c r="W46" s="62"/>
    </row>
    <row r="47" spans="1:31" ht="15.75" customHeight="1" thickBot="1" x14ac:dyDescent="0.35">
      <c r="A47" s="11"/>
      <c r="B47" s="58" t="s">
        <v>134</v>
      </c>
      <c r="C47" s="58"/>
      <c r="D47" s="68">
        <v>137</v>
      </c>
      <c r="E47" s="81">
        <v>42</v>
      </c>
      <c r="F47" s="82">
        <v>7.15</v>
      </c>
      <c r="G47" s="66">
        <f t="shared" si="33"/>
        <v>0.30656934306569344</v>
      </c>
      <c r="H47" s="81"/>
      <c r="I47" s="81"/>
      <c r="J47" s="81"/>
      <c r="K47" s="81"/>
      <c r="L47" s="11">
        <v>6</v>
      </c>
      <c r="M47" s="11">
        <f>L47+52</f>
        <v>58</v>
      </c>
      <c r="N47" s="63">
        <f t="shared" si="26"/>
        <v>48.333333333333336</v>
      </c>
      <c r="O47" s="63"/>
      <c r="P47" s="1"/>
      <c r="Q47" s="84" t="s">
        <v>135</v>
      </c>
      <c r="R47" s="25">
        <v>7.09</v>
      </c>
      <c r="V47" s="62"/>
      <c r="W47" s="62"/>
    </row>
    <row r="48" spans="1:31" ht="15.75" customHeight="1" thickTop="1" thickBot="1" x14ac:dyDescent="0.35">
      <c r="A48" s="1"/>
      <c r="H48" s="16"/>
      <c r="I48" s="16"/>
      <c r="J48" s="16"/>
      <c r="K48" s="16"/>
      <c r="L48" s="1"/>
      <c r="M48" s="16"/>
      <c r="P48" s="1"/>
      <c r="Q48" s="1"/>
      <c r="V48" s="62"/>
      <c r="W48" s="62"/>
    </row>
    <row r="49" spans="1:24" ht="15.75" customHeight="1" thickTop="1" x14ac:dyDescent="0.3">
      <c r="A49" s="1"/>
      <c r="E49" s="62"/>
      <c r="F49" s="62"/>
      <c r="H49" s="1"/>
      <c r="I49" s="1"/>
      <c r="J49" s="1"/>
      <c r="K49" s="1"/>
      <c r="L49" s="1"/>
      <c r="M49" s="16"/>
      <c r="P49" s="1"/>
      <c r="Q49" s="77" t="s">
        <v>120</v>
      </c>
      <c r="R49" s="85">
        <f>SUM(R42:R47)</f>
        <v>99.990000000000009</v>
      </c>
    </row>
    <row r="50" spans="1:24" ht="15.75" customHeight="1" x14ac:dyDescent="0.3">
      <c r="A50" s="1"/>
      <c r="E50" s="62"/>
      <c r="F50" s="62"/>
      <c r="H50" s="1"/>
      <c r="I50" s="1"/>
      <c r="J50" s="1"/>
      <c r="K50" s="1"/>
      <c r="L50" s="1"/>
      <c r="M50" s="16"/>
      <c r="N50" s="16"/>
      <c r="O50" s="16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">
      <c r="A51" s="1"/>
      <c r="C51" s="60"/>
      <c r="D51" s="60"/>
      <c r="E51" s="62"/>
      <c r="F51" s="62"/>
      <c r="H51" s="1"/>
      <c r="I51" s="1"/>
      <c r="J51" s="1"/>
      <c r="K51" s="1"/>
      <c r="L51" s="1"/>
      <c r="M51" s="1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">
      <c r="A52" s="1"/>
      <c r="C52" s="60"/>
      <c r="D52" s="60"/>
      <c r="E52" s="62"/>
      <c r="F52" s="62"/>
      <c r="H52" s="1"/>
      <c r="I52" s="1"/>
      <c r="J52" s="1"/>
      <c r="K52" s="1"/>
      <c r="L52" s="1"/>
      <c r="M52" s="1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">
      <c r="A53" s="1"/>
      <c r="C53" s="60"/>
      <c r="D53" s="60"/>
      <c r="F53" s="62"/>
      <c r="H53" s="1"/>
      <c r="I53" s="1"/>
      <c r="J53" s="1"/>
      <c r="K53" s="1"/>
      <c r="L53" s="1"/>
      <c r="M53" s="1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">
      <c r="A54" s="1"/>
      <c r="C54" s="60"/>
      <c r="D54" s="60"/>
      <c r="E54" s="62"/>
      <c r="F54" s="62"/>
      <c r="H54" s="1"/>
      <c r="I54" s="1"/>
      <c r="J54" s="1"/>
      <c r="K54" s="1"/>
      <c r="L54" s="1"/>
      <c r="M54" s="1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">
      <c r="A55" s="1"/>
      <c r="C55" s="60"/>
      <c r="D55" s="60"/>
      <c r="E55" s="62"/>
      <c r="F55" s="62"/>
      <c r="H55" s="1"/>
      <c r="I55" s="1"/>
      <c r="J55" s="1"/>
      <c r="K55" s="1"/>
      <c r="L55" s="1"/>
      <c r="M55" s="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">
      <c r="A56" s="1"/>
      <c r="C56" s="60"/>
      <c r="D56" s="60"/>
      <c r="E56" s="62"/>
      <c r="F56" s="62"/>
      <c r="H56" s="1"/>
      <c r="I56" s="1"/>
      <c r="J56" s="1"/>
      <c r="K56" s="1"/>
      <c r="L56" s="1"/>
      <c r="M56" s="1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">
      <c r="A57" s="1"/>
      <c r="H57" s="1"/>
      <c r="I57" s="1"/>
      <c r="J57" s="1"/>
      <c r="K57" s="1"/>
      <c r="L57" s="1"/>
      <c r="M57" s="1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">
      <c r="A58" s="1"/>
      <c r="E58" s="62"/>
      <c r="F58" s="62"/>
      <c r="H58" s="1"/>
      <c r="I58" s="1"/>
      <c r="J58" s="1"/>
      <c r="K58" s="1"/>
      <c r="L58" s="1"/>
      <c r="M58" s="1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24" ht="15.75" customHeight="1" x14ac:dyDescent="0.3">
      <c r="A60" s="1"/>
      <c r="G60" s="1"/>
      <c r="H60" s="1"/>
      <c r="I60" s="1"/>
      <c r="J60" s="1"/>
      <c r="K60" s="1"/>
      <c r="L60" s="1"/>
      <c r="M60" s="1"/>
      <c r="N60" s="1"/>
      <c r="O60" s="1"/>
    </row>
    <row r="61" spans="1:24" ht="15.75" customHeight="1" x14ac:dyDescent="0.3">
      <c r="G61" s="1"/>
      <c r="H61" s="1"/>
      <c r="I61" s="1"/>
      <c r="J61" s="1"/>
      <c r="K61" s="1"/>
      <c r="L61" s="1"/>
      <c r="M61" s="1"/>
      <c r="N61" s="1"/>
      <c r="O61" s="1"/>
    </row>
    <row r="62" spans="1:24" ht="15.75" customHeight="1" x14ac:dyDescent="0.3">
      <c r="G62" s="16"/>
      <c r="H62" s="16"/>
      <c r="I62" s="1"/>
      <c r="J62" s="1"/>
      <c r="K62" s="1"/>
      <c r="L62" s="1"/>
      <c r="M62" s="1"/>
      <c r="N62" s="1"/>
      <c r="O62" s="1"/>
    </row>
    <row r="63" spans="1:24" ht="15.75" customHeight="1" x14ac:dyDescent="0.3">
      <c r="C63" s="62"/>
      <c r="F63" s="62"/>
      <c r="G63" s="16"/>
      <c r="H63" s="16"/>
      <c r="I63" s="1"/>
      <c r="J63" s="1"/>
      <c r="K63" s="1"/>
    </row>
    <row r="64" spans="1:24" ht="15.75" customHeight="1" x14ac:dyDescent="0.3">
      <c r="C64" s="62"/>
      <c r="F64" s="62"/>
      <c r="G64" s="16"/>
      <c r="H64" s="16"/>
      <c r="I64" s="1"/>
      <c r="J64" s="1"/>
      <c r="K64" s="1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mergeCells count="1">
    <mergeCell ref="S17:S19"/>
  </mergeCells>
  <conditionalFormatting sqref="C29:C42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3:F2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9:D47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8:F19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9:E47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9:F47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3:G2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9:G47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3:I26 M23:N2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I4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9:K44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23:L26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17:N18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9:N19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9:L47">
    <cfRule type="colorScale" priority="7">
      <colorScale>
        <cfvo type="min"/>
        <cfvo type="max"/>
        <color rgb="FFFFFFFF"/>
        <color rgb="FF57BB8A"/>
      </colorScale>
    </cfRule>
  </conditionalFormatting>
  <conditionalFormatting sqref="M29:M47">
    <cfRule type="colorScale" priority="6">
      <colorScale>
        <cfvo type="min"/>
        <cfvo type="max"/>
        <color rgb="FFFFFFFF"/>
        <color rgb="FF57BB8A"/>
      </colorScale>
    </cfRule>
  </conditionalFormatting>
  <conditionalFormatting sqref="N29:N47">
    <cfRule type="colorScale" priority="8">
      <colorScale>
        <cfvo type="min"/>
        <cfvo type="max"/>
        <color rgb="FFFFFFFF"/>
        <color rgb="FF57BB8A"/>
      </colorScale>
    </cfRule>
  </conditionalFormatting>
  <conditionalFormatting sqref="O23:O26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9:O4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7:R17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9:R19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14:S14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4:R47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3:T30 Z23 AE23:AE30 AD24:AD30 AB34:AE41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3:T38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3:U3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Z23:Z3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BC79-2D73-4BCB-A43A-24C631AC13A1}">
  <sheetPr>
    <outlinePr summaryBelow="0" summaryRight="0"/>
  </sheetPr>
  <dimension ref="A1:AP1000"/>
  <sheetViews>
    <sheetView showGridLines="0" workbookViewId="0"/>
  </sheetViews>
  <sheetFormatPr defaultColWidth="14" defaultRowHeight="15" customHeight="1" x14ac:dyDescent="0.3"/>
  <cols>
    <col min="1" max="1" width="7.88671875" customWidth="1"/>
    <col min="2" max="6" width="14" customWidth="1"/>
  </cols>
  <sheetData>
    <row r="1" spans="1:42" ht="15.75" customHeight="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</row>
    <row r="2" spans="1:42" ht="15.75" customHeight="1" x14ac:dyDescent="0.3">
      <c r="A2" s="86"/>
      <c r="B2" s="87" t="s">
        <v>136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90">
        <f ca="1">SUM(AC5:AC142)</f>
        <v>942988.00811290019</v>
      </c>
      <c r="AD2" s="91">
        <f ca="1">AC2*80%</f>
        <v>754390.40649032022</v>
      </c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</row>
    <row r="3" spans="1:42" ht="15.75" customHeight="1" x14ac:dyDescent="0.3">
      <c r="A3" s="86"/>
      <c r="B3" s="92"/>
      <c r="C3" s="39"/>
      <c r="D3" s="39"/>
      <c r="E3" s="39"/>
      <c r="F3" s="39"/>
      <c r="G3" s="39"/>
      <c r="H3" s="39"/>
      <c r="I3" s="39"/>
      <c r="J3" s="39"/>
      <c r="K3" s="39"/>
      <c r="L3" s="39"/>
      <c r="M3" s="93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</row>
    <row r="4" spans="1:42" ht="15.75" customHeight="1" x14ac:dyDescent="0.3">
      <c r="A4" s="86"/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16" t="s">
        <v>137</v>
      </c>
      <c r="AB4" s="16" t="s">
        <v>138</v>
      </c>
      <c r="AC4" s="16" t="s">
        <v>139</v>
      </c>
      <c r="AD4" s="16" t="s">
        <v>140</v>
      </c>
      <c r="AE4" s="16" t="s">
        <v>141</v>
      </c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</row>
    <row r="5" spans="1:42" ht="15.75" customHeight="1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97">
        <v>532868</v>
      </c>
      <c r="AB5" s="16" t="s">
        <v>142</v>
      </c>
      <c r="AC5" s="98">
        <f ca="1">IFERROR(__xludf.DUMMYFUNCTION("GOOGLEFINANCE(""nse:""&amp;AB5,""marketcap"")/10000000"),216193.6687832)</f>
        <v>216193.6687832</v>
      </c>
      <c r="AD5" s="97">
        <v>-2.2000000000000002</v>
      </c>
      <c r="AE5" s="16" t="s">
        <v>143</v>
      </c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</row>
    <row r="6" spans="1:42" ht="15.75" customHeight="1" x14ac:dyDescent="0.3">
      <c r="A6" s="86"/>
      <c r="B6" s="86" t="s">
        <v>144</v>
      </c>
      <c r="C6" s="86"/>
      <c r="D6" s="86"/>
      <c r="E6" s="86"/>
      <c r="F6" s="86"/>
      <c r="G6" s="86"/>
      <c r="H6" s="86"/>
      <c r="I6" s="86"/>
      <c r="J6" s="86"/>
      <c r="K6" s="86" t="s">
        <v>145</v>
      </c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97">
        <v>543287</v>
      </c>
      <c r="AB6" s="16" t="s">
        <v>146</v>
      </c>
      <c r="AC6" s="99">
        <f ca="1">IFERROR(__xludf.DUMMYFUNCTION("GOOGLEFINANCE(""nse:""&amp;AB6,""marketcap"")/10000000"),147297.2966556)</f>
        <v>147297.29665559999</v>
      </c>
      <c r="AD6" s="97">
        <v>1.81</v>
      </c>
      <c r="AE6" s="16" t="s">
        <v>143</v>
      </c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2" ht="15.75" customHeigh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97">
        <v>533150</v>
      </c>
      <c r="AB7" s="16" t="s">
        <v>24</v>
      </c>
      <c r="AC7" s="100">
        <f ca="1">IFERROR(__xludf.DUMMYFUNCTION("GOOGLEFINANCE(""nse:""&amp;AB7,""marketcap"")/10000000"),90324.93165)</f>
        <v>90324.931649999999</v>
      </c>
      <c r="AD7" s="97">
        <v>0.75</v>
      </c>
      <c r="AE7" s="16" t="s">
        <v>143</v>
      </c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</row>
    <row r="8" spans="1:42" ht="15.75" customHeight="1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97">
        <v>533273</v>
      </c>
      <c r="AB8" s="16" t="s">
        <v>147</v>
      </c>
      <c r="AC8" s="101">
        <f ca="1">IFERROR(__xludf.DUMMYFUNCTION("GOOGLEFINANCE(""nse:""&amp;AB8,""marketcap"")/10000000"),84137.54908)</f>
        <v>84137.549079999997</v>
      </c>
      <c r="AD8" s="97">
        <v>2.85</v>
      </c>
      <c r="AE8" s="16" t="s">
        <v>143</v>
      </c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1:42" ht="15.75" customHeight="1" x14ac:dyDescent="0.3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97">
        <v>533274</v>
      </c>
      <c r="AB9" s="16" t="s">
        <v>148</v>
      </c>
      <c r="AC9" s="102">
        <f ca="1">IFERROR(__xludf.DUMMYFUNCTION("GOOGLEFINANCE(""nse:""&amp;AB9,""marketcap"")/10000000"),81265.8647308)</f>
        <v>81265.864730800007</v>
      </c>
      <c r="AD9" s="97">
        <v>1.44</v>
      </c>
      <c r="AE9" s="16" t="s">
        <v>143</v>
      </c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1:42" ht="15.75" customHeight="1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97">
        <v>503100</v>
      </c>
      <c r="AB10" s="16" t="s">
        <v>149</v>
      </c>
      <c r="AC10" s="103">
        <f ca="1">IFERROR(__xludf.DUMMYFUNCTION("GOOGLEFINANCE(""nse:""&amp;AB10,""marketcap"")/10000000"),61271.9601508)</f>
        <v>61271.960150799998</v>
      </c>
      <c r="AD10" s="97">
        <v>-2.86</v>
      </c>
      <c r="AE10" s="16" t="s">
        <v>143</v>
      </c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</row>
    <row r="11" spans="1:42" ht="15.75" customHeight="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97">
        <v>532929</v>
      </c>
      <c r="AB11" s="16" t="s">
        <v>150</v>
      </c>
      <c r="AC11" s="104">
        <f ca="1">IFERROR(__xludf.DUMMYFUNCTION("GOOGLEFINANCE(""nse:""&amp;AB11,""marketcap"")/10000000"),31145.8071278)</f>
        <v>31145.807127799999</v>
      </c>
      <c r="AD11" s="97">
        <v>0.49</v>
      </c>
      <c r="AE11" s="16" t="s">
        <v>143</v>
      </c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</row>
    <row r="12" spans="1:42" ht="15.75" customHeight="1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97">
        <v>515055</v>
      </c>
      <c r="AB12" s="16" t="s">
        <v>151</v>
      </c>
      <c r="AC12" s="105">
        <f ca="1">IFERROR(__xludf.DUMMYFUNCTION("GOOGLEFINANCE(""nse:""&amp;AB12,""marketcap"")/10000000"),27563.1064214)</f>
        <v>27563.1064214</v>
      </c>
      <c r="AD12" s="97">
        <v>2.64</v>
      </c>
      <c r="AE12" s="16" t="s">
        <v>143</v>
      </c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</row>
    <row r="13" spans="1:42" ht="15.75" customHeight="1" x14ac:dyDescent="0.3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97">
        <v>543990</v>
      </c>
      <c r="AB13" s="16" t="s">
        <v>152</v>
      </c>
      <c r="AC13" s="106">
        <f ca="1">IFERROR(__xludf.DUMMYFUNCTION("GOOGLEFINANCE(""nse:""&amp;AB13,""marketcap"")/10000000"),18184.8811659)</f>
        <v>18184.881165899998</v>
      </c>
      <c r="AD13" s="97">
        <v>2.4700000000000002</v>
      </c>
      <c r="AE13" s="16" t="s">
        <v>143</v>
      </c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</row>
    <row r="14" spans="1:42" ht="15.75" customHeight="1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97">
        <v>532784</v>
      </c>
      <c r="AB14" s="16" t="s">
        <v>153</v>
      </c>
      <c r="AC14" s="107">
        <f ca="1">IFERROR(__xludf.DUMMYFUNCTION("GOOGLEFINANCE(""nse:""&amp;AB14,""marketcap"")/10000000"),16448.8400625)</f>
        <v>16448.840062499999</v>
      </c>
      <c r="AD14" s="97">
        <v>1.93</v>
      </c>
      <c r="AE14" s="16" t="s">
        <v>143</v>
      </c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</row>
    <row r="15" spans="1:42" ht="15.75" customHeight="1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97">
        <v>500330</v>
      </c>
      <c r="AB15" s="16" t="s">
        <v>154</v>
      </c>
      <c r="AC15" s="108">
        <f ca="1">IFERROR(__xludf.DUMMYFUNCTION("GOOGLEFINANCE(""nse:""&amp;AB15,""marketcap"")/10000000"),11497.0612435)</f>
        <v>11497.0612435</v>
      </c>
      <c r="AD15" s="97">
        <v>-2.13</v>
      </c>
      <c r="AE15" s="16" t="s">
        <v>143</v>
      </c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</row>
    <row r="16" spans="1:42" ht="15.75" customHeight="1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97">
        <v>526367</v>
      </c>
      <c r="AB16" s="16" t="s">
        <v>155</v>
      </c>
      <c r="AC16" s="109">
        <f ca="1">IFERROR(__xludf.DUMMYFUNCTION("GOOGLEFINANCE(""nse:""&amp;AB16,""marketcap"")/10000000"),10530.5334056)</f>
        <v>10530.533405599999</v>
      </c>
      <c r="AD16" s="97">
        <v>-1.32</v>
      </c>
      <c r="AE16" s="16" t="s">
        <v>143</v>
      </c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</row>
    <row r="17" spans="1:42" ht="15.75" customHeight="1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97">
        <v>532891</v>
      </c>
      <c r="AB17" s="16" t="s">
        <v>156</v>
      </c>
      <c r="AC17" s="109">
        <f ca="1">IFERROR(__xludf.DUMMYFUNCTION("GOOGLEFINANCE(""nse:""&amp;AB17,""marketcap"")/10000000"),10083.6012814)</f>
        <v>10083.601281400001</v>
      </c>
      <c r="AD17" s="97">
        <v>0.66</v>
      </c>
      <c r="AE17" s="16" t="s">
        <v>143</v>
      </c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</row>
    <row r="18" spans="1:42" ht="15.75" customHeight="1" x14ac:dyDescent="0.3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97">
        <v>544008</v>
      </c>
      <c r="AB18" s="16" t="s">
        <v>157</v>
      </c>
      <c r="AC18" s="109">
        <f ca="1">IFERROR(__xludf.DUMMYFUNCTION("GOOGLEFINANCE(""nse:""&amp;AB18,""marketcap"")/10000000"),10096.4560335)</f>
        <v>10096.456033500001</v>
      </c>
      <c r="AD18" s="97">
        <v>0.98</v>
      </c>
      <c r="AE18" s="16" t="s">
        <v>143</v>
      </c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</row>
    <row r="19" spans="1:42" ht="15.75" customHeight="1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97">
        <v>533160</v>
      </c>
      <c r="AB19" s="16" t="s">
        <v>158</v>
      </c>
      <c r="AC19" s="109">
        <f ca="1">IFERROR(__xludf.DUMMYFUNCTION("GOOGLEFINANCE(""nse:""&amp;AB19,""marketcap"")/10000000"),9910.4558513)</f>
        <v>9910.4558512999993</v>
      </c>
      <c r="AD19" s="97">
        <v>1.31</v>
      </c>
      <c r="AE19" s="16" t="s">
        <v>143</v>
      </c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</row>
    <row r="20" spans="1:42" ht="15.75" customHeight="1" x14ac:dyDescent="0.3">
      <c r="A20" s="86"/>
      <c r="B20" s="86" t="s">
        <v>159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97">
        <v>504882</v>
      </c>
      <c r="AB20" s="16" t="s">
        <v>160</v>
      </c>
      <c r="AC20" s="110">
        <f ca="1">IFERROR(__xludf.DUMMYFUNCTION("GOOGLEFINANCE(""BOM:""&amp;AA20,""marketcap"")/10000000"),8726.0996093)</f>
        <v>8726.0996092999994</v>
      </c>
      <c r="AD20" s="97">
        <v>0.64</v>
      </c>
      <c r="AE20" s="16" t="s">
        <v>161</v>
      </c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</row>
    <row r="21" spans="1:42" ht="15.75" customHeight="1" x14ac:dyDescent="0.3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97">
        <v>543669</v>
      </c>
      <c r="AB21" s="16" t="s">
        <v>162</v>
      </c>
      <c r="AC21" s="110">
        <f ca="1">IFERROR(__xludf.DUMMYFUNCTION("GOOGLEFINANCE(""nse:""&amp;AB21,""marketcap"")/10000000"),8657.51217)</f>
        <v>8657.51217</v>
      </c>
      <c r="AD21" s="97">
        <v>-0.59</v>
      </c>
      <c r="AE21" s="16" t="s">
        <v>143</v>
      </c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</row>
    <row r="22" spans="1:42" ht="15.75" customHeight="1" x14ac:dyDescent="0.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97">
        <v>532832</v>
      </c>
      <c r="AB22" s="16" t="s">
        <v>163</v>
      </c>
      <c r="AC22" s="110">
        <f ca="1">IFERROR(__xludf.DUMMYFUNCTION("GOOGLEFINANCE(""nse:""&amp;AB22,""marketcap"")/10000000"),8301.2947935)</f>
        <v>8301.2947934999993</v>
      </c>
      <c r="AD22" s="97">
        <v>0.23</v>
      </c>
      <c r="AE22" s="16" t="s">
        <v>143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</row>
    <row r="23" spans="1:42" ht="15.75" customHeight="1" x14ac:dyDescent="0.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97">
        <v>532313</v>
      </c>
      <c r="AB23" s="16" t="s">
        <v>164</v>
      </c>
      <c r="AC23" s="111">
        <f ca="1">IFERROR(__xludf.DUMMYFUNCTION("GOOGLEFINANCE(""nse:""&amp;AB23,""marketcap"")/10000000"),7419.3141453)</f>
        <v>7419.3141452999998</v>
      </c>
      <c r="AD23" s="97">
        <v>-0.6</v>
      </c>
      <c r="AE23" s="16" t="s">
        <v>143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</row>
    <row r="24" spans="1:42" ht="15.75" customHeight="1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97">
        <v>512179</v>
      </c>
      <c r="AB24" s="16" t="s">
        <v>165</v>
      </c>
      <c r="AC24" s="111">
        <f ca="1">IFERROR(__xludf.DUMMYFUNCTION("GOOGLEFINANCE(""nse:""&amp;AB24,""marketcap"")/10000000"),7553.7056426)</f>
        <v>7553.7056425999999</v>
      </c>
      <c r="AD24" s="97">
        <v>-2.95</v>
      </c>
      <c r="AE24" s="16" t="s">
        <v>143</v>
      </c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</row>
    <row r="25" spans="1:42" ht="15.75" customHeight="1" x14ac:dyDescent="0.3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97">
        <v>543249</v>
      </c>
      <c r="AB25" s="16" t="s">
        <v>166</v>
      </c>
      <c r="AC25" s="112">
        <f ca="1">IFERROR(__xludf.DUMMYFUNCTION("GOOGLEFINANCE(""nse:""&amp;AB25,""marketcap"")/10000000"),5358.9489881)</f>
        <v>5358.9489881</v>
      </c>
      <c r="AD25" s="97">
        <v>-10</v>
      </c>
      <c r="AE25" s="16" t="s">
        <v>143</v>
      </c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</row>
    <row r="26" spans="1:42" ht="15.75" customHeight="1" x14ac:dyDescent="0.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97">
        <v>513349</v>
      </c>
      <c r="AB26" s="16" t="s">
        <v>167</v>
      </c>
      <c r="AC26" s="112">
        <f ca="1">IFERROR(__xludf.DUMMYFUNCTION("GOOGLEFINANCE(""nse:""&amp;AB26,""marketcap"")/10000000"),4393.2647822)</f>
        <v>4393.2647821999999</v>
      </c>
      <c r="AD26" s="97">
        <v>-1.36</v>
      </c>
      <c r="AE26" s="16" t="s">
        <v>143</v>
      </c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</row>
    <row r="27" spans="1:42" ht="15.75" customHeight="1" x14ac:dyDescent="0.3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97">
        <v>539301</v>
      </c>
      <c r="AB27" s="16" t="s">
        <v>168</v>
      </c>
      <c r="AC27" s="112">
        <f ca="1">IFERROR(__xludf.DUMMYFUNCTION("GOOGLEFINANCE(""nse:""&amp;AB27,""marketcap"")/10000000"),4350.9082735)</f>
        <v>4350.9082735000002</v>
      </c>
      <c r="AD27" s="97">
        <v>1.97</v>
      </c>
      <c r="AE27" s="16" t="s">
        <v>143</v>
      </c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</row>
    <row r="28" spans="1:42" ht="15.75" customHeight="1" x14ac:dyDescent="0.3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97">
        <v>506235</v>
      </c>
      <c r="AB28" s="16" t="s">
        <v>169</v>
      </c>
      <c r="AC28" s="113">
        <f ca="1">IFERROR(__xludf.DUMMYFUNCTION("GOOGLEFINANCE(""nse:""&amp;AB28,""marketcap"")/10000000"),3678.6559257)</f>
        <v>3678.6559256999999</v>
      </c>
      <c r="AD28" s="97">
        <v>-1.25</v>
      </c>
      <c r="AE28" s="16" t="s">
        <v>143</v>
      </c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</row>
    <row r="29" spans="1:42" ht="15.75" customHeight="1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97">
        <v>532799</v>
      </c>
      <c r="AB29" s="16" t="s">
        <v>170</v>
      </c>
      <c r="AC29" s="113">
        <f ca="1">IFERROR(__xludf.DUMMYFUNCTION("GOOGLEFINANCE(""nse:""&amp;AB29,""marketcap"")/10000000"),3654.15445)</f>
        <v>3654.15445</v>
      </c>
      <c r="AD29" s="97">
        <v>0.51</v>
      </c>
      <c r="AE29" s="16" t="s">
        <v>143</v>
      </c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</row>
    <row r="30" spans="1:42" ht="15.75" customHeight="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97">
        <v>523716</v>
      </c>
      <c r="AB30" s="16" t="s">
        <v>171</v>
      </c>
      <c r="AC30" s="114">
        <f ca="1">IFERROR(__xludf.DUMMYFUNCTION("GOOGLEFINANCE(""nse:""&amp;AB30,""marketcap"")/10000000"),3339.4339787)</f>
        <v>3339.4339786999999</v>
      </c>
      <c r="AD30" s="97">
        <v>-4.8099999999999996</v>
      </c>
      <c r="AE30" s="16" t="s">
        <v>143</v>
      </c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ht="15.75" customHeight="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97">
        <v>544261</v>
      </c>
      <c r="AB31" s="16" t="s">
        <v>172</v>
      </c>
      <c r="AC31" s="114">
        <f ca="1">IFERROR(__xludf.DUMMYFUNCTION("GOOGLEFINANCE(""nse:""&amp;AB31,""marketcap"")/10000000"),3115.5556983)</f>
        <v>3115.5556983000001</v>
      </c>
      <c r="AD31" s="97">
        <v>-2.57</v>
      </c>
      <c r="AE31" s="16" t="s">
        <v>143</v>
      </c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</row>
    <row r="32" spans="1:42" ht="15.75" customHeigh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97">
        <v>503101</v>
      </c>
      <c r="AB32" s="16" t="s">
        <v>173</v>
      </c>
      <c r="AC32" s="114">
        <f ca="1">IFERROR(__xludf.DUMMYFUNCTION("GOOGLEFINANCE(""nse:""&amp;AB32,""marketcap"")/10000000"),3116.2712971)</f>
        <v>3116.2712971000001</v>
      </c>
      <c r="AD32" s="97">
        <v>-2.84</v>
      </c>
      <c r="AE32" s="16" t="s">
        <v>143</v>
      </c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</row>
    <row r="33" spans="1:42" ht="15.75" customHeight="1" x14ac:dyDescent="0.3">
      <c r="A33" s="86"/>
      <c r="B33" s="115" t="s">
        <v>174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97">
        <v>544054</v>
      </c>
      <c r="AB33" s="16" t="s">
        <v>175</v>
      </c>
      <c r="AC33" s="114">
        <f ca="1">IFERROR(__xludf.DUMMYFUNCTION("GOOGLEFINANCE(""nse:""&amp;AB33,""marketcap"")/10000000"),2953.1044117)</f>
        <v>2953.1044117000001</v>
      </c>
      <c r="AD33" s="97">
        <v>1.52</v>
      </c>
      <c r="AE33" s="16" t="s">
        <v>143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</row>
    <row r="34" spans="1:42" ht="15.75" customHeight="1" x14ac:dyDescent="0.3">
      <c r="A34" s="86"/>
      <c r="B34" s="116" t="s">
        <v>138</v>
      </c>
      <c r="C34" s="116" t="s">
        <v>176</v>
      </c>
      <c r="D34" s="86"/>
      <c r="E34" s="86"/>
      <c r="F34" s="116" t="s">
        <v>177</v>
      </c>
      <c r="G34" s="116" t="s">
        <v>178</v>
      </c>
      <c r="H34" s="86"/>
      <c r="I34" s="86"/>
      <c r="J34" s="117" t="s">
        <v>138</v>
      </c>
      <c r="K34" s="117" t="s">
        <v>179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97">
        <v>532924</v>
      </c>
      <c r="AB34" s="16" t="s">
        <v>180</v>
      </c>
      <c r="AC34" s="114">
        <f ca="1">IFERROR(__xludf.DUMMYFUNCTION("GOOGLEFINANCE(""nse:""&amp;AB34,""marketcap"")/10000000"),2857.765816)</f>
        <v>2857.7658160000001</v>
      </c>
      <c r="AD34" s="97">
        <v>-0.11</v>
      </c>
      <c r="AE34" s="16" t="s">
        <v>143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</row>
    <row r="35" spans="1:42" ht="15.75" customHeight="1" x14ac:dyDescent="0.3">
      <c r="A35" s="86"/>
      <c r="B35" s="16" t="s">
        <v>142</v>
      </c>
      <c r="C35" s="98">
        <f ca="1">IFERROR(__xludf.DUMMYFUNCTION("GOOGLEFINANCE(""nse:""&amp;B35,""marketcap"")/10000000"),216193.6687832)</f>
        <v>216193.6687832</v>
      </c>
      <c r="D35" s="86"/>
      <c r="E35" s="86"/>
      <c r="F35" s="16" t="s">
        <v>146</v>
      </c>
      <c r="G35" s="91">
        <v>12421</v>
      </c>
      <c r="H35" s="86"/>
      <c r="I35" s="86"/>
      <c r="J35" s="16" t="s">
        <v>142</v>
      </c>
      <c r="K35" s="118">
        <v>2724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97">
        <v>507878</v>
      </c>
      <c r="AB35" s="16" t="s">
        <v>181</v>
      </c>
      <c r="AC35" s="119">
        <f ca="1">IFERROR(__xludf.DUMMYFUNCTION("GOOGLEFINANCE(""nse:""&amp;AB35,""marketcap"")/10000000"),2571.82288)</f>
        <v>2571.8228800000002</v>
      </c>
      <c r="AD35" s="97">
        <v>0.5</v>
      </c>
      <c r="AE35" s="16" t="s">
        <v>143</v>
      </c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</row>
    <row r="36" spans="1:42" ht="15.75" customHeight="1" x14ac:dyDescent="0.3">
      <c r="A36" s="86"/>
      <c r="B36" s="16" t="s">
        <v>146</v>
      </c>
      <c r="C36" s="99">
        <f ca="1">IFERROR(__xludf.DUMMYFUNCTION("GOOGLEFINANCE(""nse:""&amp;B36,""marketcap"")/10000000"),147297.2966556)</f>
        <v>147297.29665559999</v>
      </c>
      <c r="D36" s="86"/>
      <c r="E36" s="86"/>
      <c r="F36" s="16" t="s">
        <v>148</v>
      </c>
      <c r="G36" s="118">
        <v>8126</v>
      </c>
      <c r="H36" s="86"/>
      <c r="I36" s="86"/>
      <c r="J36" s="16" t="s">
        <v>146</v>
      </c>
      <c r="K36" s="120">
        <v>1554</v>
      </c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97">
        <v>543218</v>
      </c>
      <c r="AB36" s="16" t="s">
        <v>182</v>
      </c>
      <c r="AC36" s="119">
        <f ca="1">IFERROR(__xludf.DUMMYFUNCTION("GOOGLEFINANCE(""nse:""&amp;AB36,""marketcap"")/10000000"),2326.727807)</f>
        <v>2326.7278070000002</v>
      </c>
      <c r="AD36" s="97">
        <v>2.13</v>
      </c>
      <c r="AE36" s="16" t="s">
        <v>143</v>
      </c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</row>
    <row r="37" spans="1:42" ht="15.75" customHeight="1" x14ac:dyDescent="0.3">
      <c r="A37" s="86"/>
      <c r="B37" s="16" t="s">
        <v>24</v>
      </c>
      <c r="C37" s="100">
        <f ca="1">IFERROR(__xludf.DUMMYFUNCTION("GOOGLEFINANCE(""nse:""&amp;B37,""marketcap"")/10000000"),90324.93165)</f>
        <v>90324.931649999999</v>
      </c>
      <c r="D37" s="86"/>
      <c r="E37" s="86"/>
      <c r="F37" s="16" t="s">
        <v>142</v>
      </c>
      <c r="G37" s="91">
        <v>6993</v>
      </c>
      <c r="H37" s="86"/>
      <c r="I37" s="86"/>
      <c r="J37" s="16" t="s">
        <v>24</v>
      </c>
      <c r="K37" s="121">
        <v>2252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97">
        <v>543542</v>
      </c>
      <c r="AB37" s="16" t="s">
        <v>183</v>
      </c>
      <c r="AC37" s="119">
        <f ca="1">IFERROR(__xludf.DUMMYFUNCTION("GOOGLEFINANCE(""BOM:""&amp;AA37,""marketcap"")/10000000"),2245.7747912)</f>
        <v>2245.7747912</v>
      </c>
      <c r="AD37" s="97">
        <v>-7.0000000000000007E-2</v>
      </c>
      <c r="AE37" s="16" t="s">
        <v>184</v>
      </c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</row>
    <row r="38" spans="1:42" ht="15.75" customHeight="1" x14ac:dyDescent="0.3">
      <c r="A38" s="86"/>
      <c r="B38" s="16" t="s">
        <v>147</v>
      </c>
      <c r="C38" s="101">
        <f ca="1">IFERROR(__xludf.DUMMYFUNCTION("GOOGLEFINANCE(""nse:""&amp;B38,""marketcap"")/10000000"),84137.54908)</f>
        <v>84137.549079999997</v>
      </c>
      <c r="D38" s="86"/>
      <c r="E38" s="86"/>
      <c r="F38" s="16" t="s">
        <v>154</v>
      </c>
      <c r="G38" s="91">
        <v>5312</v>
      </c>
      <c r="H38" s="86"/>
      <c r="I38" s="86"/>
      <c r="J38" s="16" t="s">
        <v>147</v>
      </c>
      <c r="K38" s="122">
        <v>1927</v>
      </c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97">
        <v>539042</v>
      </c>
      <c r="AB38" s="16" t="s">
        <v>185</v>
      </c>
      <c r="AC38" s="119">
        <f ca="1">IFERROR(__xludf.DUMMYFUNCTION("GOOGLEFINANCE(""nse:""&amp;AB38,""marketcap"")/10000000"),2153.011857)</f>
        <v>2153.011857</v>
      </c>
      <c r="AD38" s="97">
        <v>-1.56</v>
      </c>
      <c r="AE38" s="16" t="s">
        <v>143</v>
      </c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</row>
    <row r="39" spans="1:42" ht="15.75" customHeight="1" x14ac:dyDescent="0.3">
      <c r="A39" s="86"/>
      <c r="B39" s="16" t="s">
        <v>148</v>
      </c>
      <c r="C39" s="102">
        <f ca="1">IFERROR(__xludf.DUMMYFUNCTION("GOOGLEFINANCE(""nse:""&amp;B39,""marketcap"")/10000000"),81265.8647308)</f>
        <v>81265.864730800007</v>
      </c>
      <c r="D39" s="86"/>
      <c r="E39" s="86"/>
      <c r="F39" s="16" t="s">
        <v>147</v>
      </c>
      <c r="G39" s="123">
        <v>5094</v>
      </c>
      <c r="H39" s="86"/>
      <c r="I39" s="86"/>
      <c r="J39" s="16" t="s">
        <v>148</v>
      </c>
      <c r="K39" s="124">
        <v>681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97">
        <v>532880</v>
      </c>
      <c r="AB39" s="16" t="s">
        <v>186</v>
      </c>
      <c r="AC39" s="119">
        <f ca="1">IFERROR(__xludf.DUMMYFUNCTION("GOOGLEFINANCE(""nse:""&amp;AB39,""marketcap"")/10000000"),2114.4953184)</f>
        <v>2114.4953184000001</v>
      </c>
      <c r="AD39" s="97">
        <v>-2.2400000000000002</v>
      </c>
      <c r="AE39" s="16" t="s">
        <v>143</v>
      </c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</row>
    <row r="40" spans="1:42" ht="15.75" customHeight="1" x14ac:dyDescent="0.3">
      <c r="A40" s="86"/>
      <c r="B40" s="16" t="s">
        <v>149</v>
      </c>
      <c r="C40" s="103">
        <f ca="1">IFERROR(__xludf.DUMMYFUNCTION("GOOGLEFINANCE(""nse:""&amp;B40,""marketcap"")/10000000"),61271.9601508)</f>
        <v>61271.960150799998</v>
      </c>
      <c r="D40" s="86"/>
      <c r="E40" s="86"/>
      <c r="F40" s="16" t="s">
        <v>150</v>
      </c>
      <c r="G40" s="125">
        <v>5026</v>
      </c>
      <c r="H40" s="86"/>
      <c r="I40" s="86"/>
      <c r="J40" s="16" t="s">
        <v>149</v>
      </c>
      <c r="K40" s="126">
        <v>1057</v>
      </c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97">
        <v>504000</v>
      </c>
      <c r="AB40" s="16" t="s">
        <v>187</v>
      </c>
      <c r="AC40" s="127">
        <f ca="1">IFERROR(__xludf.DUMMYFUNCTION("GOOGLEFINANCE(""BOM:""&amp;AA40,""marketcap"")/10000000"),2054.0866402)</f>
        <v>2054.0866402000001</v>
      </c>
      <c r="AD40" s="97">
        <v>-2.2200000000000002</v>
      </c>
      <c r="AE40" s="16" t="s">
        <v>143</v>
      </c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</row>
    <row r="41" spans="1:42" ht="15.75" customHeight="1" x14ac:dyDescent="0.3">
      <c r="A41" s="86"/>
      <c r="B41" s="16" t="s">
        <v>150</v>
      </c>
      <c r="C41" s="104">
        <f ca="1">IFERROR(__xludf.DUMMYFUNCTION("GOOGLEFINANCE(""nse:""&amp;B41,""marketcap"")/10000000"),31145.8071278)</f>
        <v>31145.807127799999</v>
      </c>
      <c r="D41" s="86"/>
      <c r="E41" s="86"/>
      <c r="F41" s="16" t="s">
        <v>149</v>
      </c>
      <c r="G41" s="124">
        <v>4114</v>
      </c>
      <c r="H41" s="86"/>
      <c r="I41" s="86"/>
      <c r="J41" s="16" t="s">
        <v>150</v>
      </c>
      <c r="K41" s="128">
        <v>458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97">
        <v>543419</v>
      </c>
      <c r="AB41" s="16" t="s">
        <v>188</v>
      </c>
      <c r="AC41" s="127">
        <f ca="1">IFERROR(__xludf.DUMMYFUNCTION("GOOGLEFINANCE(""nse:""&amp;AB41,""marketcap"")/10000000"),1869.8388072)</f>
        <v>1869.8388072</v>
      </c>
      <c r="AD41" s="97">
        <v>-2.37</v>
      </c>
      <c r="AE41" s="16" t="s">
        <v>143</v>
      </c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ht="15.75" customHeight="1" x14ac:dyDescent="0.3">
      <c r="A42" s="86"/>
      <c r="B42" s="16" t="s">
        <v>151</v>
      </c>
      <c r="C42" s="105">
        <f ca="1">IFERROR(__xludf.DUMMYFUNCTION("GOOGLEFINANCE(""nse:""&amp;B42,""marketcap"")/10000000"),27563.1064214)</f>
        <v>27563.1064214</v>
      </c>
      <c r="D42" s="86"/>
      <c r="E42" s="86"/>
      <c r="F42" s="16" t="s">
        <v>24</v>
      </c>
      <c r="G42" s="91">
        <v>3589</v>
      </c>
      <c r="H42" s="86"/>
      <c r="I42" s="86"/>
      <c r="J42" s="16" t="s">
        <v>151</v>
      </c>
      <c r="K42" s="129">
        <v>346</v>
      </c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97">
        <v>506194</v>
      </c>
      <c r="AB42" s="16" t="s">
        <v>189</v>
      </c>
      <c r="AC42" s="127">
        <f ca="1">IFERROR(__xludf.DUMMYFUNCTION("GOOGLEFINANCE(""nse:""&amp;AB42,""marketcap"")/10000000"),1872.9848396)</f>
        <v>1872.9848396</v>
      </c>
      <c r="AD42" s="97">
        <v>-4.33</v>
      </c>
      <c r="AE42" s="16" t="s">
        <v>143</v>
      </c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</row>
    <row r="43" spans="1:42" ht="15.75" customHeight="1" x14ac:dyDescent="0.3">
      <c r="A43" s="86"/>
      <c r="B43" s="16" t="s">
        <v>152</v>
      </c>
      <c r="C43" s="106">
        <f ca="1">IFERROR(__xludf.DUMMYFUNCTION("GOOGLEFINANCE(""nse:""&amp;B43,""marketcap"")/10000000"),18184.8811659)</f>
        <v>18184.881165899998</v>
      </c>
      <c r="D43" s="86"/>
      <c r="E43" s="86"/>
      <c r="F43" s="16" t="s">
        <v>153</v>
      </c>
      <c r="G43" s="130">
        <v>3022</v>
      </c>
      <c r="H43" s="86"/>
      <c r="I43" s="86"/>
      <c r="J43" s="16" t="s">
        <v>152</v>
      </c>
      <c r="K43" s="131">
        <v>54</v>
      </c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97">
        <v>503031</v>
      </c>
      <c r="AB43" s="16" t="s">
        <v>190</v>
      </c>
      <c r="AC43" s="127">
        <f ca="1">IFERROR(__xludf.DUMMYFUNCTION("GOOGLEFINANCE(""nse:""&amp;AB43,""marketcap"")/10000000"),1552.2897442)</f>
        <v>1552.2897442000001</v>
      </c>
      <c r="AD43" s="97">
        <v>1.02</v>
      </c>
      <c r="AE43" s="16" t="s">
        <v>143</v>
      </c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ht="15.75" customHeight="1" x14ac:dyDescent="0.3">
      <c r="A44" s="86"/>
      <c r="B44" s="16" t="s">
        <v>153</v>
      </c>
      <c r="C44" s="107">
        <f ca="1">IFERROR(__xludf.DUMMYFUNCTION("GOOGLEFINANCE(""nse:""&amp;B44,""marketcap"")/10000000"),16448.8400625)</f>
        <v>16448.840062499999</v>
      </c>
      <c r="D44" s="86"/>
      <c r="E44" s="86"/>
      <c r="F44" s="16" t="s">
        <v>152</v>
      </c>
      <c r="G44" s="132">
        <v>2126</v>
      </c>
      <c r="H44" s="86"/>
      <c r="I44" s="86"/>
      <c r="J44" s="16" t="s">
        <v>153</v>
      </c>
      <c r="K44" s="131">
        <v>54</v>
      </c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97">
        <v>532467</v>
      </c>
      <c r="AB44" s="16" t="s">
        <v>191</v>
      </c>
      <c r="AC44" s="133">
        <f ca="1">IFERROR(__xludf.DUMMYFUNCTION("GOOGLEFINANCE(""BOM:""&amp;AA44,""marketcap"")/10000000"),1033.335298)</f>
        <v>1033.335298</v>
      </c>
      <c r="AD44" s="97">
        <v>-3.55</v>
      </c>
      <c r="AE44" s="16" t="s">
        <v>143</v>
      </c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</row>
    <row r="45" spans="1:42" ht="15.75" customHeight="1" x14ac:dyDescent="0.3">
      <c r="A45" s="86"/>
      <c r="B45" s="16" t="s">
        <v>154</v>
      </c>
      <c r="C45" s="108">
        <f ca="1">IFERROR(__xludf.DUMMYFUNCTION("GOOGLEFINANCE(""nse:""&amp;B45,""marketcap"")/10000000"),11497.0612435)</f>
        <v>11497.0612435</v>
      </c>
      <c r="D45" s="86"/>
      <c r="E45" s="86"/>
      <c r="F45" s="16" t="s">
        <v>151</v>
      </c>
      <c r="G45" s="131">
        <v>1820</v>
      </c>
      <c r="H45" s="86"/>
      <c r="I45" s="86"/>
      <c r="J45" s="16" t="s">
        <v>154</v>
      </c>
      <c r="K45" s="134">
        <v>430</v>
      </c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97">
        <v>532780</v>
      </c>
      <c r="AB45" s="16" t="s">
        <v>192</v>
      </c>
      <c r="AC45" s="133">
        <f ca="1">IFERROR(__xludf.DUMMYFUNCTION("GOOGLEFINANCE(""nse:""&amp;AB45,""marketcap"")/10000000"),1048.4435893)</f>
        <v>1048.4435893</v>
      </c>
      <c r="AD45" s="97">
        <v>4.9800000000000004</v>
      </c>
      <c r="AE45" s="16" t="s">
        <v>193</v>
      </c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</row>
    <row r="46" spans="1:42" ht="15.75" customHeight="1" thickBot="1" x14ac:dyDescent="0.35">
      <c r="A46" s="86"/>
      <c r="B46" s="135" t="s">
        <v>194</v>
      </c>
      <c r="C46" s="136">
        <f>C50-787314</f>
        <v>160443</v>
      </c>
      <c r="D46" s="86"/>
      <c r="E46" s="86"/>
      <c r="F46" s="135"/>
      <c r="G46" s="135"/>
      <c r="H46" s="86"/>
      <c r="I46" s="86"/>
      <c r="J46" s="135"/>
      <c r="K46" s="135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97">
        <v>532764</v>
      </c>
      <c r="AB46" s="16" t="s">
        <v>195</v>
      </c>
      <c r="AC46" s="133">
        <f ca="1">IFERROR(__xludf.DUMMYFUNCTION("GOOGLEFINANCE(""nse:""&amp;AB46,""marketcap"")/10000000"),934.4406678)</f>
        <v>934.44066780000003</v>
      </c>
      <c r="AD46" s="97">
        <v>1.84</v>
      </c>
      <c r="AE46" s="16" t="s">
        <v>143</v>
      </c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</row>
    <row r="47" spans="1:42" ht="15.75" customHeight="1" thickTop="1" x14ac:dyDescent="0.3">
      <c r="A47" s="86"/>
      <c r="B47" s="86"/>
      <c r="C47" s="13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97">
        <v>533285</v>
      </c>
      <c r="AB47" s="16" t="s">
        <v>196</v>
      </c>
      <c r="AC47" s="133">
        <f ca="1">IFERROR(__xludf.DUMMYFUNCTION("GOOGLEFINANCE(""BOM:""&amp;AA47,""marketcap"")/10000000"),905.4768442)</f>
        <v>905.47684419999996</v>
      </c>
      <c r="AD47" s="97">
        <v>-1.05</v>
      </c>
      <c r="AE47" s="16" t="s">
        <v>143</v>
      </c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</row>
    <row r="48" spans="1:42" ht="15.75" customHeight="1" x14ac:dyDescent="0.3">
      <c r="A48" s="86"/>
      <c r="B48" s="86"/>
      <c r="C48" s="137"/>
      <c r="D48" s="86"/>
      <c r="E48" s="86"/>
      <c r="F48" s="138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97">
        <v>523329</v>
      </c>
      <c r="AB48" s="16" t="s">
        <v>197</v>
      </c>
      <c r="AC48" s="133">
        <f ca="1">IFERROR(__xludf.DUMMYFUNCTION("GOOGLEFINANCE(""nse:""&amp;AB48,""marketcap"")/10000000"),912.895744)</f>
        <v>912.89574400000004</v>
      </c>
      <c r="AD48" s="97">
        <v>-1.01</v>
      </c>
      <c r="AE48" s="16" t="s">
        <v>143</v>
      </c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</row>
    <row r="49" spans="1:42" ht="15.75" customHeight="1" thickBot="1" x14ac:dyDescent="0.35">
      <c r="A49" s="86"/>
      <c r="B49" s="86"/>
      <c r="C49" s="137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97">
        <v>531381</v>
      </c>
      <c r="AB49" s="16" t="s">
        <v>198</v>
      </c>
      <c r="AC49" s="133">
        <f ca="1">IFERROR(__xludf.DUMMYFUNCTION("GOOGLEFINANCE(""BOM:""&amp;AA49,""marketcap"")/10000000"),829.0402848)</f>
        <v>829.04028479999999</v>
      </c>
      <c r="AD49" s="97">
        <v>1.99</v>
      </c>
      <c r="AE49" s="16" t="s">
        <v>143</v>
      </c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</row>
    <row r="50" spans="1:42" ht="15.75" customHeight="1" thickTop="1" x14ac:dyDescent="0.3">
      <c r="A50" s="86"/>
      <c r="B50" s="139" t="s">
        <v>174</v>
      </c>
      <c r="C50" s="140">
        <v>947757</v>
      </c>
      <c r="D50" s="86"/>
      <c r="E50" s="86"/>
      <c r="F50" s="139" t="s">
        <v>174</v>
      </c>
      <c r="G50" s="140">
        <f>SUM(G35:G45)</f>
        <v>57643</v>
      </c>
      <c r="H50" s="86"/>
      <c r="I50" s="86"/>
      <c r="J50" s="139" t="s">
        <v>174</v>
      </c>
      <c r="K50" s="140">
        <f>SUM(K35:K45)</f>
        <v>11537</v>
      </c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97">
        <v>538668</v>
      </c>
      <c r="AB50" s="16" t="s">
        <v>199</v>
      </c>
      <c r="AC50" s="133">
        <f ca="1">IFERROR(__xludf.DUMMYFUNCTION("GOOGLEFINANCE(""BOM:""&amp;AA50,""marketcap"")/10000000"),789.657949)</f>
        <v>789.65794900000003</v>
      </c>
      <c r="AD50" s="97">
        <v>-0.56000000000000005</v>
      </c>
      <c r="AE50" s="16" t="s">
        <v>200</v>
      </c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</row>
    <row r="51" spans="1:42" ht="15.75" customHeight="1" x14ac:dyDescent="0.3">
      <c r="A51" s="86"/>
      <c r="B51" s="86"/>
      <c r="C51" s="137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97">
        <v>526407</v>
      </c>
      <c r="AB51" s="16" t="s">
        <v>201</v>
      </c>
      <c r="AC51" s="133">
        <f ca="1">IFERROR(__xludf.DUMMYFUNCTION("GOOGLEFINANCE(""BOM:""&amp;AA51,""marketcap"")/10000000"),862.1090234)</f>
        <v>862.10902339999996</v>
      </c>
      <c r="AD51" s="97">
        <v>0</v>
      </c>
      <c r="AE51" s="16" t="s">
        <v>143</v>
      </c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</row>
    <row r="52" spans="1:42" ht="15.75" customHeight="1" x14ac:dyDescent="0.3">
      <c r="A52" s="86"/>
      <c r="B52" s="86"/>
      <c r="C52" s="137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97">
        <v>532902</v>
      </c>
      <c r="AB52" s="16" t="s">
        <v>202</v>
      </c>
      <c r="AC52" s="133">
        <f ca="1">IFERROR(__xludf.DUMMYFUNCTION("GOOGLEFINANCE(""nse:""&amp;AB52,""marketcap"")/10000000"),738.4897544)</f>
        <v>738.48975440000004</v>
      </c>
      <c r="AD52" s="97">
        <v>-1.97</v>
      </c>
      <c r="AE52" s="16" t="s">
        <v>143</v>
      </c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</row>
    <row r="53" spans="1:42" ht="15.75" customHeight="1" x14ac:dyDescent="0.3">
      <c r="A53" s="86"/>
      <c r="B53" s="86"/>
      <c r="C53" s="141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97">
        <v>517556</v>
      </c>
      <c r="AB53" s="16" t="s">
        <v>203</v>
      </c>
      <c r="AC53" s="133">
        <f ca="1">IFERROR(__xludf.DUMMYFUNCTION("GOOGLEFINANCE(""nse:""&amp;AB53,""marketcap"")/10000000"),712.2038559)</f>
        <v>712.20385590000001</v>
      </c>
      <c r="AD53" s="97">
        <v>-1.06</v>
      </c>
      <c r="AE53" s="16" t="s">
        <v>143</v>
      </c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</row>
    <row r="54" spans="1:42" ht="15.75" customHeight="1" x14ac:dyDescent="0.3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97">
        <v>542231</v>
      </c>
      <c r="AB54" s="16" t="s">
        <v>204</v>
      </c>
      <c r="AC54" s="133">
        <f ca="1">IFERROR(__xludf.DUMMYFUNCTION("GOOGLEFINANCE(""nse:""&amp;AB54,""marketcap"")/10000000"),734.5876541)</f>
        <v>734.58765410000001</v>
      </c>
      <c r="AD54" s="97">
        <v>1.95</v>
      </c>
      <c r="AE54" s="16" t="s">
        <v>143</v>
      </c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</row>
    <row r="55" spans="1:42" ht="15.75" customHeight="1" thickBot="1" x14ac:dyDescent="0.3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97">
        <v>541161</v>
      </c>
      <c r="AB55" s="16" t="s">
        <v>205</v>
      </c>
      <c r="AC55" s="133">
        <f ca="1">IFERROR(__xludf.DUMMYFUNCTION("GOOGLEFINANCE(""nse:""&amp;AB55,""marketcap"")/10000000"),562.0915099)</f>
        <v>562.09150990000001</v>
      </c>
      <c r="AD55" s="97">
        <v>-1.36</v>
      </c>
      <c r="AE55" s="16" t="s">
        <v>143</v>
      </c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</row>
    <row r="56" spans="1:42" ht="15.75" customHeight="1" thickTop="1" x14ac:dyDescent="0.3">
      <c r="A56" s="86"/>
      <c r="B56" s="86"/>
      <c r="C56" s="141"/>
      <c r="D56" s="86"/>
      <c r="E56" s="86"/>
      <c r="F56" s="139" t="s">
        <v>174</v>
      </c>
      <c r="G56" s="140">
        <f>SUM(G33:G54)</f>
        <v>115286</v>
      </c>
      <c r="H56" s="86"/>
      <c r="I56" s="86"/>
      <c r="J56" s="139" t="s">
        <v>174</v>
      </c>
      <c r="K56" s="140">
        <f>SUM(K33:K54)</f>
        <v>23074</v>
      </c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97">
        <v>530377</v>
      </c>
      <c r="AB56" s="16" t="s">
        <v>206</v>
      </c>
      <c r="AC56" s="133">
        <f ca="1">IFERROR(__xludf.DUMMYFUNCTION("GOOGLEFINANCE(""nse:""&amp;AB56,""marketcap"")/10000000"),556.9592009)</f>
        <v>556.95920090000004</v>
      </c>
      <c r="AD56" s="97">
        <v>5.14</v>
      </c>
      <c r="AE56" s="16" t="s">
        <v>143</v>
      </c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</row>
    <row r="57" spans="1:42" ht="15.75" customHeight="1" x14ac:dyDescent="0.3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97">
        <v>543539</v>
      </c>
      <c r="AB57" s="16" t="s">
        <v>207</v>
      </c>
      <c r="AC57" s="133">
        <f ca="1">IFERROR(__xludf.DUMMYFUNCTION("GOOGLEFINANCE(""BOM:""&amp;AA57,""marketcap"")/10000000"),497.3254995)</f>
        <v>497.32549949999998</v>
      </c>
      <c r="AD57" s="97">
        <v>-0.25</v>
      </c>
      <c r="AE57" s="16" t="s">
        <v>143</v>
      </c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</row>
    <row r="58" spans="1:42" ht="15.75" customHeight="1" x14ac:dyDescent="0.3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97">
        <v>543251</v>
      </c>
      <c r="AB58" s="16" t="s">
        <v>208</v>
      </c>
      <c r="AC58" s="133">
        <f ca="1">IFERROR(__xludf.DUMMYFUNCTION("GOOGLEFINANCE(""nse:""&amp;AB58,""marketcap"")/10000000"),459.3298768)</f>
        <v>459.32987680000002</v>
      </c>
      <c r="AD58" s="97">
        <v>-4.99</v>
      </c>
      <c r="AE58" s="16" t="s">
        <v>209</v>
      </c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</row>
    <row r="59" spans="1:42" ht="15.75" customHeight="1" x14ac:dyDescent="0.3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97">
        <v>543543</v>
      </c>
      <c r="AB59" s="16" t="s">
        <v>210</v>
      </c>
      <c r="AC59" s="133">
        <f ca="1">IFERROR(__xludf.DUMMYFUNCTION("GOOGLEFINANCE(""BOM:""&amp;AA59,""marketcap"")/10000000"),450.44032)</f>
        <v>450.44031999999999</v>
      </c>
      <c r="AD59" s="97">
        <v>4.28</v>
      </c>
      <c r="AE59" s="16" t="s">
        <v>211</v>
      </c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</row>
    <row r="60" spans="1:42" ht="15.7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97">
        <v>531771</v>
      </c>
      <c r="AB60" s="16" t="s">
        <v>212</v>
      </c>
      <c r="AC60" s="133">
        <f ca="1">IFERROR(__xludf.DUMMYFUNCTION("GOOGLEFINANCE(""BOM:""&amp;AA60,""marketcap"")/10000000"),440.2698913)</f>
        <v>440.26989129999998</v>
      </c>
      <c r="AD60" s="97">
        <v>-1.99</v>
      </c>
      <c r="AE60" s="16" t="s">
        <v>143</v>
      </c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</row>
    <row r="61" spans="1:42" ht="15.75" customHeight="1" x14ac:dyDescent="0.3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97">
        <v>500270</v>
      </c>
      <c r="AB61" s="16" t="s">
        <v>213</v>
      </c>
      <c r="AC61" s="133">
        <f ca="1">IFERROR(__xludf.DUMMYFUNCTION("GOOGLEFINANCE(""BOM:""&amp;AA61,""marketcap"")/10000000"),414.695435)</f>
        <v>414.69543499999997</v>
      </c>
      <c r="AD61" s="97">
        <v>0.25</v>
      </c>
      <c r="AE61" s="16" t="s">
        <v>143</v>
      </c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</row>
    <row r="62" spans="1:42" ht="15.75" customHeight="1" x14ac:dyDescent="0.3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97">
        <v>511726</v>
      </c>
      <c r="AB62" s="16" t="s">
        <v>214</v>
      </c>
      <c r="AC62" s="133">
        <f ca="1">IFERROR(__xludf.DUMMYFUNCTION("GOOGLEFINANCE(""nse:""&amp;AB62,""marketcap"")/10000000"),379.8855937)</f>
        <v>379.88559370000002</v>
      </c>
      <c r="AD62" s="97">
        <v>-1.29</v>
      </c>
      <c r="AE62" s="16" t="s">
        <v>143</v>
      </c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</row>
    <row r="63" spans="1:42" ht="15.75" customHeight="1" x14ac:dyDescent="0.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97">
        <v>534675</v>
      </c>
      <c r="AB63" s="16" t="s">
        <v>215</v>
      </c>
      <c r="AC63" s="133">
        <f ca="1">IFERROR(__xludf.DUMMYFUNCTION("GOOGLEFINANCE(""nse:""&amp;AB63,""marketcap"")/10000000"),388.8319274)</f>
        <v>388.83192739999998</v>
      </c>
      <c r="AD63" s="97">
        <v>4.76</v>
      </c>
      <c r="AE63" s="16" t="s">
        <v>143</v>
      </c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</row>
    <row r="64" spans="1:42" ht="15.75" customHeight="1" x14ac:dyDescent="0.3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97">
        <v>530677</v>
      </c>
      <c r="AB64" s="16" t="s">
        <v>216</v>
      </c>
      <c r="AC64" s="133">
        <f ca="1">IFERROR(__xludf.DUMMYFUNCTION("GOOGLEFINANCE(""BOM:""&amp;AA64,""marketcap"")/10000000"),350.7201637)</f>
        <v>350.7201637</v>
      </c>
      <c r="AD64" s="97">
        <v>-1.23</v>
      </c>
      <c r="AE64" s="16" t="s">
        <v>143</v>
      </c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</row>
    <row r="65" spans="1:42" ht="15.75" customHeigh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97">
        <v>500343</v>
      </c>
      <c r="AB65" s="16" t="s">
        <v>217</v>
      </c>
      <c r="AC65" s="133">
        <f ca="1">IFERROR(__xludf.DUMMYFUNCTION("GOOGLEFINANCE(""nse:""&amp;AB65,""marketcap"")/10000000"),283.4329887)</f>
        <v>283.43298870000001</v>
      </c>
      <c r="AD65" s="97">
        <v>-2.85</v>
      </c>
      <c r="AE65" s="16" t="s">
        <v>143</v>
      </c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</row>
    <row r="66" spans="1:42" ht="15.75" customHeight="1" x14ac:dyDescent="0.3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97">
        <v>511714</v>
      </c>
      <c r="AB66" s="16" t="s">
        <v>218</v>
      </c>
      <c r="AC66" s="133">
        <f ca="1">IFERROR(__xludf.DUMMYFUNCTION("GOOGLEFINANCE(""BOM:""&amp;AA66,""marketcap"")/10000000"),280.3788145)</f>
        <v>280.37881449999998</v>
      </c>
      <c r="AD66" s="97">
        <v>-1.99</v>
      </c>
      <c r="AE66" s="16" t="s">
        <v>143</v>
      </c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</row>
    <row r="67" spans="1:42" ht="15.75" customHeight="1" x14ac:dyDescent="0.3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97">
        <v>539407</v>
      </c>
      <c r="AB67" s="16" t="s">
        <v>219</v>
      </c>
      <c r="AC67" s="133">
        <f ca="1">IFERROR(__xludf.DUMMYFUNCTION("GOOGLEFINANCE(""nse:""&amp;AB67,""marketcap"")/10000000"),272.9070041)</f>
        <v>272.90700409999999</v>
      </c>
      <c r="AD67" s="97">
        <v>-0.04</v>
      </c>
      <c r="AE67" s="16" t="s">
        <v>143</v>
      </c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</row>
    <row r="68" spans="1:42" ht="15.75" customHeight="1" x14ac:dyDescent="0.3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97">
        <v>509048</v>
      </c>
      <c r="AB68" s="16" t="s">
        <v>220</v>
      </c>
      <c r="AC68" s="133">
        <f ca="1">IFERROR(__xludf.DUMMYFUNCTION("GOOGLEFINANCE(""nse:""&amp;AB68,""marketcap"")/10000000"),270.4484701)</f>
        <v>270.44847010000001</v>
      </c>
      <c r="AD68" s="97">
        <v>-5.59</v>
      </c>
      <c r="AE68" s="16" t="s">
        <v>143</v>
      </c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</row>
    <row r="69" spans="1:42" ht="15.75" customHeight="1" x14ac:dyDescent="0.3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97">
        <v>543241</v>
      </c>
      <c r="AB69" s="16" t="s">
        <v>221</v>
      </c>
      <c r="AC69" s="142">
        <f ca="1">IFERROR(__xludf.DUMMYFUNCTION("GOOGLEFINANCE(""BOM:""&amp;AA69,""marketcap"")/10000000"),259.89456)</f>
        <v>259.89456000000001</v>
      </c>
      <c r="AD69" s="97">
        <v>-1.84</v>
      </c>
      <c r="AE69" s="16" t="s">
        <v>200</v>
      </c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</row>
    <row r="70" spans="1:42" ht="15.75" customHeight="1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97">
        <v>535621</v>
      </c>
      <c r="AB70" s="16" t="s">
        <v>222</v>
      </c>
      <c r="AC70" s="143">
        <f ca="1">IFERROR(__xludf.DUMMYFUNCTION("GOOGLEFINANCE(""BOM:""&amp;AA70,""marketcap"")/10000000"),226.4891992)</f>
        <v>226.4891992</v>
      </c>
      <c r="AD70" s="97">
        <v>4.08</v>
      </c>
      <c r="AE70" s="16" t="s">
        <v>200</v>
      </c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</row>
    <row r="71" spans="1:42" ht="15.75" customHeight="1" x14ac:dyDescent="0.3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97">
        <v>531746</v>
      </c>
      <c r="AB71" s="16" t="s">
        <v>223</v>
      </c>
      <c r="AC71" s="144">
        <f ca="1">IFERROR(__xludf.DUMMYFUNCTION("GOOGLEFINANCE(""nse:""&amp;AB71,""marketcap"")/10000000"),214.8427113)</f>
        <v>214.84271129999999</v>
      </c>
      <c r="AD71" s="97">
        <v>0.32</v>
      </c>
      <c r="AE71" s="16" t="s">
        <v>224</v>
      </c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</row>
    <row r="72" spans="1:42" ht="15.75" customHeight="1" x14ac:dyDescent="0.3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97">
        <v>526519</v>
      </c>
      <c r="AB72" s="16" t="s">
        <v>225</v>
      </c>
      <c r="AC72" s="145">
        <f ca="1">IFERROR(__xludf.DUMMYFUNCTION("GOOGLEFINANCE(""BOM:""&amp;AA72,""marketcap"")/10000000"),208.8153892)</f>
        <v>208.8153892</v>
      </c>
      <c r="AD72" s="97">
        <v>-0.46</v>
      </c>
      <c r="AE72" s="16" t="s">
        <v>143</v>
      </c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</row>
    <row r="73" spans="1:42" ht="15.75" customHeight="1" x14ac:dyDescent="0.3">
      <c r="A73" s="86"/>
      <c r="B73" s="146" t="s">
        <v>27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97">
        <v>532334</v>
      </c>
      <c r="AB73" s="16" t="s">
        <v>226</v>
      </c>
      <c r="AC73" s="147">
        <f ca="1">IFERROR(__xludf.DUMMYFUNCTION("GOOGLEFINANCE(""BOM:""&amp;AA73,""marketcap"")/10000000"),207.7349662)</f>
        <v>207.7349662</v>
      </c>
      <c r="AD73" s="97">
        <v>3.3</v>
      </c>
      <c r="AE73" s="16" t="s">
        <v>224</v>
      </c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</row>
    <row r="74" spans="1:42" ht="15.75" customHeight="1" x14ac:dyDescent="0.3">
      <c r="A74" s="86"/>
      <c r="B74" s="117" t="s">
        <v>138</v>
      </c>
      <c r="C74" s="146" t="s">
        <v>227</v>
      </c>
      <c r="D74" s="86"/>
      <c r="E74" s="86"/>
      <c r="F74" s="146" t="s">
        <v>138</v>
      </c>
      <c r="G74" s="146" t="s">
        <v>228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97">
        <v>543911</v>
      </c>
      <c r="AB74" s="16" t="s">
        <v>229</v>
      </c>
      <c r="AC74" s="148">
        <f ca="1">IFERROR(__xludf.DUMMYFUNCTION("GOOGLEFINANCE(""nse:""&amp;AB74,""marketcap"")/10000000"),188.7900869)</f>
        <v>188.79008690000001</v>
      </c>
      <c r="AD74" s="97">
        <v>-1.56</v>
      </c>
      <c r="AE74" s="16" t="s">
        <v>193</v>
      </c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</row>
    <row r="75" spans="1:42" ht="15.75" customHeight="1" x14ac:dyDescent="0.3">
      <c r="A75" s="86"/>
      <c r="B75" s="16" t="s">
        <v>142</v>
      </c>
      <c r="C75" s="149">
        <v>6.9839232366470938E-3</v>
      </c>
      <c r="D75" s="86"/>
      <c r="E75" s="86"/>
      <c r="F75" s="16" t="s">
        <v>142</v>
      </c>
      <c r="G75" s="150">
        <v>0.20430000000000001</v>
      </c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97">
        <v>532873</v>
      </c>
      <c r="AB75" s="16" t="s">
        <v>230</v>
      </c>
      <c r="AC75" s="151">
        <f ca="1">IFERROR(__xludf.DUMMYFUNCTION("GOOGLEFINANCE(""nse:""&amp;AB75,""marketcap"")/10000000"),184.868714)</f>
        <v>184.86871400000001</v>
      </c>
      <c r="AD75" s="97">
        <v>-4.79</v>
      </c>
      <c r="AE75" s="16" t="s">
        <v>143</v>
      </c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</row>
    <row r="76" spans="1:42" ht="15.75" customHeight="1" x14ac:dyDescent="0.3">
      <c r="A76" s="86"/>
      <c r="B76" s="16" t="s">
        <v>146</v>
      </c>
      <c r="C76" s="152">
        <v>4.2483772661357611E-2</v>
      </c>
      <c r="D76" s="86"/>
      <c r="E76" s="86"/>
      <c r="F76" s="16" t="s">
        <v>146</v>
      </c>
      <c r="G76" s="153">
        <v>0.62519999999999998</v>
      </c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97">
        <v>540796</v>
      </c>
      <c r="AB76" s="16" t="s">
        <v>231</v>
      </c>
      <c r="AC76" s="148">
        <f ca="1">IFERROR(__xludf.DUMMYFUNCTION("GOOGLEFINANCE(""BOM:""&amp;AA76,""marketcap"")/10000000"),187.69)</f>
        <v>187.69</v>
      </c>
      <c r="AD76" s="97">
        <v>-4.8899999999999997</v>
      </c>
      <c r="AE76" s="16" t="s">
        <v>232</v>
      </c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</row>
    <row r="77" spans="1:42" ht="15.75" customHeight="1" x14ac:dyDescent="0.3">
      <c r="A77" s="86"/>
      <c r="B77" s="16" t="s">
        <v>24</v>
      </c>
      <c r="C77" s="154">
        <v>0.11290198423989484</v>
      </c>
      <c r="D77" s="86"/>
      <c r="E77" s="86"/>
      <c r="F77" s="16" t="s">
        <v>24</v>
      </c>
      <c r="G77" s="155">
        <v>0.628</v>
      </c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97">
        <v>526654</v>
      </c>
      <c r="AB77" s="16" t="s">
        <v>233</v>
      </c>
      <c r="AC77" s="156">
        <f ca="1">IFERROR(__xludf.DUMMYFUNCTION("GOOGLEFINANCE(""BOM:""&amp;AA77,""marketcap"")/10000000"),175.8599945)</f>
        <v>175.8599945</v>
      </c>
      <c r="AD77" s="97">
        <v>-3.87</v>
      </c>
      <c r="AE77" s="16" t="s">
        <v>161</v>
      </c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</row>
    <row r="78" spans="1:42" ht="15.75" customHeight="1" x14ac:dyDescent="0.3">
      <c r="A78" s="86"/>
      <c r="B78" s="16" t="s">
        <v>147</v>
      </c>
      <c r="C78" s="157">
        <v>0.26132809444848459</v>
      </c>
      <c r="D78" s="86"/>
      <c r="E78" s="86"/>
      <c r="F78" s="16" t="s">
        <v>147</v>
      </c>
      <c r="G78" s="158">
        <v>0.28620000000000001</v>
      </c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97">
        <v>503127</v>
      </c>
      <c r="AB78" s="16" t="s">
        <v>234</v>
      </c>
      <c r="AC78" s="159">
        <f ca="1">IFERROR(__xludf.DUMMYFUNCTION("GOOGLEFINANCE(""BOM:""&amp;AA78,""marketcap"")/10000000"),161.05)</f>
        <v>161.05000000000001</v>
      </c>
      <c r="AD78" s="97">
        <v>-4.1900000000000004</v>
      </c>
      <c r="AE78" s="16" t="s">
        <v>184</v>
      </c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</row>
    <row r="79" spans="1:42" ht="15.75" customHeight="1" x14ac:dyDescent="0.3">
      <c r="A79" s="86"/>
      <c r="B79" s="16" t="s">
        <v>148</v>
      </c>
      <c r="C79" s="160">
        <v>0.30849377699415736</v>
      </c>
      <c r="D79" s="86"/>
      <c r="E79" s="86"/>
      <c r="F79" s="16" t="s">
        <v>148</v>
      </c>
      <c r="G79" s="161">
        <v>5.9499999999999997E-2</v>
      </c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97">
        <v>543376</v>
      </c>
      <c r="AB79" s="16" t="s">
        <v>235</v>
      </c>
      <c r="AC79" s="162">
        <f ca="1">IFERROR(__xludf.DUMMYFUNCTION("GOOGLEFINANCE(""BOM:""&amp;AA79,""marketcap"")/10000000"),165.3350032)</f>
        <v>165.33500319999999</v>
      </c>
      <c r="AD79" s="97">
        <v>2.88</v>
      </c>
      <c r="AE79" s="16" t="s">
        <v>211</v>
      </c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</row>
    <row r="80" spans="1:42" ht="15.75" customHeight="1" x14ac:dyDescent="0.3">
      <c r="A80" s="86"/>
      <c r="B80" s="16" t="s">
        <v>149</v>
      </c>
      <c r="C80" s="163">
        <v>-4.7210941360180447E-2</v>
      </c>
      <c r="D80" s="86"/>
      <c r="E80" s="86"/>
      <c r="F80" s="16" t="s">
        <v>149</v>
      </c>
      <c r="G80" s="164">
        <v>8.6499999999999994E-2</v>
      </c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97">
        <v>540402</v>
      </c>
      <c r="AB80" s="16" t="s">
        <v>236</v>
      </c>
      <c r="AC80" s="165">
        <f ca="1">IFERROR(__xludf.DUMMYFUNCTION("GOOGLEFINANCE(""BOM:""&amp;AA80,""marketcap"")/10000000"),162.24)</f>
        <v>162.24</v>
      </c>
      <c r="AD80" s="97">
        <v>0.39</v>
      </c>
      <c r="AE80" s="16" t="s">
        <v>237</v>
      </c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</row>
    <row r="81" spans="1:42" ht="15.75" customHeight="1" x14ac:dyDescent="0.3">
      <c r="A81" s="86"/>
      <c r="B81" s="16" t="s">
        <v>150</v>
      </c>
      <c r="C81" s="166">
        <v>0.17632102346512468</v>
      </c>
      <c r="D81" s="86"/>
      <c r="E81" s="86"/>
      <c r="F81" s="16" t="s">
        <v>150</v>
      </c>
      <c r="G81" s="167">
        <v>6.3799999999999996E-2</v>
      </c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97">
        <v>531273</v>
      </c>
      <c r="AB81" s="16" t="s">
        <v>238</v>
      </c>
      <c r="AC81" s="168">
        <f ca="1">IFERROR(__xludf.DUMMYFUNCTION("GOOGLEFINANCE(""BOM:""&amp;AA81,""marketcap"")/10000000"),153.5973875)</f>
        <v>153.5973875</v>
      </c>
      <c r="AD81" s="97">
        <v>-0.66</v>
      </c>
      <c r="AE81" s="16" t="s">
        <v>143</v>
      </c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</row>
    <row r="82" spans="1:42" ht="15.75" customHeight="1" x14ac:dyDescent="0.3">
      <c r="A82" s="86"/>
      <c r="B82" s="16" t="s">
        <v>151</v>
      </c>
      <c r="C82" s="169">
        <v>0.24873904648863632</v>
      </c>
      <c r="D82" s="86"/>
      <c r="E82" s="86"/>
      <c r="F82" s="16" t="s">
        <v>151</v>
      </c>
      <c r="G82" s="170">
        <v>0.52010000000000001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97">
        <v>531694</v>
      </c>
      <c r="AB82" s="16" t="s">
        <v>239</v>
      </c>
      <c r="AC82" s="171">
        <f ca="1">IFERROR(__xludf.DUMMYFUNCTION("GOOGLEFINANCE(""BOM:""&amp;AA82,""marketcap"")/10000000"),138.93012)</f>
        <v>138.93011999999999</v>
      </c>
      <c r="AD82" s="97">
        <v>-3.78</v>
      </c>
      <c r="AE82" s="16" t="s">
        <v>224</v>
      </c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</row>
    <row r="83" spans="1:42" ht="15.75" customHeight="1" x14ac:dyDescent="0.3">
      <c r="A83" s="86"/>
      <c r="B83" s="16" t="s">
        <v>152</v>
      </c>
      <c r="C83" s="172">
        <v>0.43645265281183465</v>
      </c>
      <c r="D83" s="86"/>
      <c r="E83" s="86"/>
      <c r="F83" s="16" t="s">
        <v>152</v>
      </c>
      <c r="G83" s="173">
        <v>3.3561000000000001</v>
      </c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97">
        <v>526117</v>
      </c>
      <c r="AB83" s="16" t="s">
        <v>240</v>
      </c>
      <c r="AC83" s="174">
        <f ca="1">IFERROR(__xludf.DUMMYFUNCTION("GOOGLEFINANCE(""BOM:""&amp;AA83,""marketcap"")/10000000"),132.508058)</f>
        <v>132.50805800000001</v>
      </c>
      <c r="AD83" s="97">
        <v>-0.8</v>
      </c>
      <c r="AE83" s="16" t="s">
        <v>241</v>
      </c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</row>
    <row r="84" spans="1:42" ht="15.75" customHeight="1" x14ac:dyDescent="0.3">
      <c r="A84" s="86"/>
      <c r="B84" s="16" t="s">
        <v>153</v>
      </c>
      <c r="C84" s="175">
        <v>1.3644242636489112E-2</v>
      </c>
      <c r="D84" s="86"/>
      <c r="E84" s="86"/>
      <c r="F84" s="16" t="s">
        <v>153</v>
      </c>
      <c r="G84" s="176">
        <v>-4.5499999999999999E-2</v>
      </c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97">
        <v>531080</v>
      </c>
      <c r="AB84" s="16" t="s">
        <v>242</v>
      </c>
      <c r="AC84" s="177">
        <f ca="1">IFERROR(__xludf.DUMMYFUNCTION("GOOGLEFINANCE(""BOM:""&amp;AA84,""marketcap"")/10000000"),123.2839965)</f>
        <v>123.2839965</v>
      </c>
      <c r="AD84" s="97">
        <v>-4.9800000000000004</v>
      </c>
      <c r="AE84" s="16" t="s">
        <v>243</v>
      </c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</row>
    <row r="85" spans="1:42" ht="15.75" customHeight="1" thickBot="1" x14ac:dyDescent="0.35">
      <c r="A85" s="86"/>
      <c r="B85" s="178" t="s">
        <v>154</v>
      </c>
      <c r="C85" s="179"/>
      <c r="D85" s="86"/>
      <c r="E85" s="86"/>
      <c r="F85" s="178" t="s">
        <v>154</v>
      </c>
      <c r="G85" s="180">
        <v>1.1017999999999999</v>
      </c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97">
        <v>523007</v>
      </c>
      <c r="AB85" s="16" t="s">
        <v>244</v>
      </c>
      <c r="AC85" s="181">
        <f ca="1">IFERROR(__xludf.DUMMYFUNCTION("GOOGLEFINANCE(""BOM:""&amp;AA85,""marketcap"")/10000000"),121.0580873)</f>
        <v>121.0580873</v>
      </c>
      <c r="AD85" s="97">
        <v>-3.35</v>
      </c>
      <c r="AE85" s="16" t="s">
        <v>143</v>
      </c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</row>
    <row r="86" spans="1:42" ht="15.75" customHeight="1" thickTop="1" x14ac:dyDescent="0.3">
      <c r="A86" s="86"/>
      <c r="B86" s="86"/>
      <c r="C86" s="182"/>
      <c r="D86" s="86"/>
      <c r="E86" s="86"/>
      <c r="F86" s="183"/>
      <c r="G86" s="184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97">
        <v>531802</v>
      </c>
      <c r="AB86" s="16" t="s">
        <v>245</v>
      </c>
      <c r="AC86" s="185">
        <f ca="1">IFERROR(__xludf.DUMMYFUNCTION("GOOGLEFINANCE(""BOM:""&amp;AA86,""marketcap"")/10000000"),120.1963272)</f>
        <v>120.1963272</v>
      </c>
      <c r="AD86" s="97">
        <v>-0.88</v>
      </c>
      <c r="AE86" s="16" t="s">
        <v>224</v>
      </c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</row>
    <row r="87" spans="1:42" ht="15.75" customHeight="1" thickBot="1" x14ac:dyDescent="0.3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97">
        <v>532159</v>
      </c>
      <c r="AB87" s="16" t="s">
        <v>246</v>
      </c>
      <c r="AC87" s="186">
        <f ca="1">IFERROR(__xludf.DUMMYFUNCTION("GOOGLEFINANCE(""BOM:""&amp;AA87,""marketcap"")/10000000"),109.4548)</f>
        <v>109.45480000000001</v>
      </c>
      <c r="AD87" s="97">
        <v>1.46</v>
      </c>
      <c r="AE87" s="16" t="s">
        <v>143</v>
      </c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</row>
    <row r="88" spans="1:42" ht="15.75" customHeight="1" thickTop="1" x14ac:dyDescent="0.3">
      <c r="A88" s="86"/>
      <c r="B88" s="139" t="s">
        <v>174</v>
      </c>
      <c r="C88" s="187">
        <v>8.5000000000000006E-2</v>
      </c>
      <c r="D88" s="86"/>
      <c r="E88" s="86"/>
      <c r="F88" s="139" t="s">
        <v>174</v>
      </c>
      <c r="G88" s="187">
        <f>(26549/20100)-1</f>
        <v>0.3208457711442787</v>
      </c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97">
        <v>507828</v>
      </c>
      <c r="AB88" s="16" t="s">
        <v>247</v>
      </c>
      <c r="AC88" s="188">
        <f ca="1">IFERROR(__xludf.DUMMYFUNCTION("GOOGLEFINANCE(""BOM:""&amp;AA88,""marketcap"")/10000000"),107.2391601)</f>
        <v>107.23916010000001</v>
      </c>
      <c r="AD88" s="97">
        <v>-1.34</v>
      </c>
      <c r="AE88" s="16" t="s">
        <v>143</v>
      </c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</row>
    <row r="89" spans="1:42" ht="15.75" customHeight="1" x14ac:dyDescent="0.3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97">
        <v>502901</v>
      </c>
      <c r="AB89" s="16" t="s">
        <v>248</v>
      </c>
      <c r="AC89" s="189">
        <f ca="1">IFERROR(__xludf.DUMMYFUNCTION("GOOGLEFINANCE(""BOM:""&amp;AA89,""marketcap"")/10000000"),99.5576107)</f>
        <v>99.557610699999998</v>
      </c>
      <c r="AD89" s="97">
        <v>-1.71</v>
      </c>
      <c r="AE89" s="16" t="s">
        <v>224</v>
      </c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</row>
    <row r="90" spans="1:42" ht="15.75" customHeight="1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97">
        <v>512479</v>
      </c>
      <c r="AB90" s="16" t="s">
        <v>249</v>
      </c>
      <c r="AC90" s="190">
        <f ca="1">IFERROR(__xludf.DUMMYFUNCTION("GOOGLEFINANCE(""BOM:""&amp;AA90,""marketcap"")/10000000"),98.25)</f>
        <v>98.25</v>
      </c>
      <c r="AD90" s="97">
        <v>4.8</v>
      </c>
      <c r="AE90" s="16" t="s">
        <v>250</v>
      </c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</row>
    <row r="91" spans="1:42" ht="15.75" customHeight="1" x14ac:dyDescent="0.3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97">
        <v>511411</v>
      </c>
      <c r="AB91" s="16" t="s">
        <v>251</v>
      </c>
      <c r="AC91" s="189">
        <f ca="1">IFERROR(__xludf.DUMMYFUNCTION("GOOGLEFINANCE(""BOM:""&amp;AA91,""marketcap"")/10000000"),101.01)</f>
        <v>101.01</v>
      </c>
      <c r="AD91" s="97">
        <v>-5</v>
      </c>
      <c r="AE91" s="16" t="s">
        <v>200</v>
      </c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</row>
    <row r="92" spans="1:42" ht="15.75" customHeight="1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97">
        <v>512048</v>
      </c>
      <c r="AB92" s="16" t="s">
        <v>252</v>
      </c>
      <c r="AC92" s="191">
        <f ca="1">IFERROR(__xludf.DUMMYFUNCTION("GOOGLEFINANCE(""BOM:""&amp;AA92,""marketcap"")/10000000"),93.5325557)</f>
        <v>93.532555700000003</v>
      </c>
      <c r="AD92" s="97">
        <v>-0.2</v>
      </c>
      <c r="AE92" s="16" t="s">
        <v>143</v>
      </c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</row>
    <row r="93" spans="1:42" ht="15.75" customHeight="1" x14ac:dyDescent="0.3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97">
        <v>503349</v>
      </c>
      <c r="AB93" s="16" t="s">
        <v>253</v>
      </c>
      <c r="AC93" s="192">
        <f ca="1">IFERROR(__xludf.DUMMYFUNCTION("GOOGLEFINANCE(""BOM:""&amp;AA93,""marketcap"")/10000000"),81.923072)</f>
        <v>81.923072000000005</v>
      </c>
      <c r="AD93" s="97">
        <v>0</v>
      </c>
      <c r="AE93" s="16" t="s">
        <v>224</v>
      </c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</row>
    <row r="94" spans="1:42" ht="15.75" customHeight="1" x14ac:dyDescent="0.3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97">
        <v>505650</v>
      </c>
      <c r="AB94" s="16" t="s">
        <v>254</v>
      </c>
      <c r="AC94" s="193">
        <f ca="1">IFERROR(__xludf.DUMMYFUNCTION("GOOGLEFINANCE(""BOM:""&amp;AA94,""marketcap"")/10000000"),80.6898433)</f>
        <v>80.689843300000007</v>
      </c>
      <c r="AD94" s="97">
        <v>-0.55000000000000004</v>
      </c>
      <c r="AE94" s="16" t="s">
        <v>143</v>
      </c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</row>
    <row r="95" spans="1:42" ht="15.75" customHeight="1" x14ac:dyDescent="0.3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97">
        <v>532005</v>
      </c>
      <c r="AB95" s="16" t="s">
        <v>255</v>
      </c>
      <c r="AC95" s="194">
        <f ca="1">IFERROR(__xludf.DUMMYFUNCTION("GOOGLEFINANCE(""BOM:""&amp;AA95,""marketcap"")/10000000"),73.1728111)</f>
        <v>73.172811100000004</v>
      </c>
      <c r="AD95" s="97">
        <v>-0.19</v>
      </c>
      <c r="AE95" s="16" t="s">
        <v>256</v>
      </c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</row>
    <row r="96" spans="1:42" ht="15.75" customHeight="1" x14ac:dyDescent="0.3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97">
        <v>542146</v>
      </c>
      <c r="AB96" s="16" t="s">
        <v>257</v>
      </c>
      <c r="AC96" s="195">
        <f ca="1">IFERROR(__xludf.DUMMYFUNCTION("GOOGLEFINANCE(""BOM:""&amp;AA96,""marketcap"")/10000000"),74.833)</f>
        <v>74.832999999999998</v>
      </c>
      <c r="AD96" s="97">
        <v>-5</v>
      </c>
      <c r="AE96" s="16" t="s">
        <v>258</v>
      </c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</row>
    <row r="97" spans="1:42" ht="15.75" customHeight="1" x14ac:dyDescent="0.3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97">
        <v>504392</v>
      </c>
      <c r="AB97" s="16" t="s">
        <v>259</v>
      </c>
      <c r="AC97" s="195">
        <f ca="1">IFERROR(__xludf.DUMMYFUNCTION("GOOGLEFINANCE(""BOM:""&amp;AA97,""marketcap"")/10000000"),75.0491976)</f>
        <v>75.049197599999999</v>
      </c>
      <c r="AD97" s="97">
        <v>3.7</v>
      </c>
      <c r="AE97" s="16" t="s">
        <v>224</v>
      </c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</row>
    <row r="98" spans="1:42" ht="15.75" customHeight="1" x14ac:dyDescent="0.3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97">
        <v>500151</v>
      </c>
      <c r="AB98" s="16" t="s">
        <v>260</v>
      </c>
      <c r="AC98" s="196">
        <f ca="1">IFERROR(__xludf.DUMMYFUNCTION("GOOGLEFINANCE(""nse:""&amp;AB98,""marketcap"")/10000000"),73.7632621)</f>
        <v>73.763262100000006</v>
      </c>
      <c r="AD98" s="97">
        <v>2.14</v>
      </c>
      <c r="AE98" s="16" t="s">
        <v>261</v>
      </c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</row>
    <row r="99" spans="1:42" ht="15.75" customHeight="1" x14ac:dyDescent="0.3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97">
        <v>531328</v>
      </c>
      <c r="AB99" s="16" t="s">
        <v>262</v>
      </c>
      <c r="AC99" s="197">
        <f ca="1">IFERROR(__xludf.DUMMYFUNCTION("GOOGLEFINANCE(""BOM:""&amp;AA99,""marketcap"")/10000000"),72.127136)</f>
        <v>72.127135999999993</v>
      </c>
      <c r="AD99" s="97">
        <v>4.46</v>
      </c>
      <c r="AE99" s="16" t="s">
        <v>224</v>
      </c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</row>
    <row r="100" spans="1:42" ht="15.75" customHeight="1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97">
        <v>539522</v>
      </c>
      <c r="AB100" s="16" t="s">
        <v>263</v>
      </c>
      <c r="AC100" s="194">
        <f ca="1">IFERROR(__xludf.DUMMYFUNCTION("GOOGLEFINANCE(""BOM:""&amp;AA100,""marketcap"")/10000000"),73.8962718)</f>
        <v>73.896271799999994</v>
      </c>
      <c r="AD100" s="97">
        <v>4.99</v>
      </c>
      <c r="AE100" s="16" t="s">
        <v>143</v>
      </c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</row>
    <row r="101" spans="1:42" ht="15.75" customHeight="1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97">
        <v>503229</v>
      </c>
      <c r="AB101" s="16" t="s">
        <v>264</v>
      </c>
      <c r="AC101" s="198">
        <f ca="1">IFERROR(__xludf.DUMMYFUNCTION("GOOGLEFINANCE(""BOM:""&amp;AA101,""marketcap"")/10000000"),67.6052106)</f>
        <v>67.605210600000007</v>
      </c>
      <c r="AD101" s="97">
        <v>0</v>
      </c>
      <c r="AE101" s="16" t="s">
        <v>143</v>
      </c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</row>
    <row r="102" spans="1:42" ht="15.75" customHeight="1" x14ac:dyDescent="0.3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97">
        <v>503776</v>
      </c>
      <c r="AB102" s="16" t="s">
        <v>265</v>
      </c>
      <c r="AC102" s="199">
        <f ca="1">IFERROR(__xludf.DUMMYFUNCTION("GOOGLEFINANCE(""BOM:""&amp;AA102,""marketcap"")/10000000"),63.67174)</f>
        <v>63.67174</v>
      </c>
      <c r="AD102" s="97">
        <v>-4.66</v>
      </c>
      <c r="AE102" s="16" t="s">
        <v>224</v>
      </c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</row>
    <row r="103" spans="1:42" ht="15.75" customHeight="1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97">
        <v>542046</v>
      </c>
      <c r="AB103" s="16" t="s">
        <v>266</v>
      </c>
      <c r="AC103" s="200">
        <f ca="1">IFERROR(__xludf.DUMMYFUNCTION("GOOGLEFINANCE(""BOM:""&amp;AA103,""marketcap"")/10000000"),62.0587121)</f>
        <v>62.058712100000001</v>
      </c>
      <c r="AD103" s="97">
        <v>-2.0699999999999998</v>
      </c>
      <c r="AE103" s="16" t="s">
        <v>224</v>
      </c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</row>
    <row r="104" spans="1:42" ht="15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97">
        <v>530695</v>
      </c>
      <c r="AB104" s="16" t="s">
        <v>267</v>
      </c>
      <c r="AC104" s="201">
        <f ca="1">IFERROR(__xludf.DUMMYFUNCTION("GOOGLEFINANCE(""BOM:""&amp;AA104,""marketcap"")/10000000"),63.5566958)</f>
        <v>63.5566958</v>
      </c>
      <c r="AD104" s="97">
        <v>-3.14</v>
      </c>
      <c r="AE104" s="16" t="s">
        <v>193</v>
      </c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</row>
    <row r="105" spans="1:42" ht="15.75" customHeight="1" x14ac:dyDescent="0.3">
      <c r="A105" s="86"/>
      <c r="B105" s="146" t="s">
        <v>29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97">
        <v>502445</v>
      </c>
      <c r="AB105" s="16" t="s">
        <v>268</v>
      </c>
      <c r="AC105" s="202">
        <f ca="1">IFERROR(__xludf.DUMMYFUNCTION("GOOGLEFINANCE(""BOM:""&amp;AA105,""marketcap"")/10000000"),58.4022578)</f>
        <v>58.402257800000001</v>
      </c>
      <c r="AD105" s="97">
        <v>-1.65</v>
      </c>
      <c r="AE105" s="16" t="s">
        <v>269</v>
      </c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</row>
    <row r="106" spans="1:42" ht="15.75" customHeight="1" x14ac:dyDescent="0.3">
      <c r="A106" s="86"/>
      <c r="B106" s="146" t="s">
        <v>138</v>
      </c>
      <c r="C106" s="146" t="s">
        <v>36</v>
      </c>
      <c r="D106" s="146" t="s">
        <v>38</v>
      </c>
      <c r="E106" s="86"/>
      <c r="F106" s="146" t="s">
        <v>138</v>
      </c>
      <c r="G106" s="146" t="s">
        <v>38</v>
      </c>
      <c r="H106" s="86"/>
      <c r="I106" s="86"/>
      <c r="J106" s="146" t="s">
        <v>138</v>
      </c>
      <c r="K106" s="146" t="s">
        <v>37</v>
      </c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97">
        <v>531814</v>
      </c>
      <c r="AB106" s="16" t="s">
        <v>270</v>
      </c>
      <c r="AC106" s="201">
        <f ca="1">IFERROR(__xludf.DUMMYFUNCTION("GOOGLEFINANCE(""BOM:""&amp;AA106,""marketcap"")/10000000"),63.8511699)</f>
        <v>63.851169900000002</v>
      </c>
      <c r="AD106" s="97">
        <v>-1.1499999999999999</v>
      </c>
      <c r="AE106" s="16" t="s">
        <v>143</v>
      </c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</row>
    <row r="107" spans="1:42" ht="15.75" customHeight="1" x14ac:dyDescent="0.3">
      <c r="A107" s="86"/>
      <c r="B107" s="16" t="s">
        <v>142</v>
      </c>
      <c r="C107" s="203">
        <v>0.10541823112223613</v>
      </c>
      <c r="D107" s="204">
        <v>7.24</v>
      </c>
      <c r="E107" s="86"/>
      <c r="F107" s="16" t="s">
        <v>142</v>
      </c>
      <c r="G107" s="204">
        <v>7.24</v>
      </c>
      <c r="H107" s="86"/>
      <c r="I107" s="86"/>
      <c r="J107" s="205" t="s">
        <v>142</v>
      </c>
      <c r="K107" s="206">
        <v>0.32113148558010751</v>
      </c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97">
        <v>543598</v>
      </c>
      <c r="AB107" s="16" t="s">
        <v>271</v>
      </c>
      <c r="AC107" s="207">
        <f ca="1">IFERROR(__xludf.DUMMYFUNCTION("GOOGLEFINANCE(""BOM:""&amp;AA107,""marketcap"")/10000000"),54.6592)</f>
        <v>54.659199999999998</v>
      </c>
      <c r="AD107" s="97">
        <v>3.25</v>
      </c>
      <c r="AE107" s="16" t="s">
        <v>272</v>
      </c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</row>
    <row r="108" spans="1:42" ht="15.75" customHeight="1" x14ac:dyDescent="0.3">
      <c r="A108" s="86"/>
      <c r="B108" s="16" t="s">
        <v>146</v>
      </c>
      <c r="C108" s="208">
        <v>0.56897166916434738</v>
      </c>
      <c r="D108" s="209">
        <v>6.85</v>
      </c>
      <c r="E108" s="86"/>
      <c r="F108" s="16" t="s">
        <v>146</v>
      </c>
      <c r="G108" s="209">
        <v>6.85</v>
      </c>
      <c r="H108" s="86"/>
      <c r="I108" s="86"/>
      <c r="J108" s="205" t="s">
        <v>146</v>
      </c>
      <c r="K108" s="210">
        <v>0.68187026157334052</v>
      </c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97">
        <v>531624</v>
      </c>
      <c r="AB108" s="16" t="s">
        <v>273</v>
      </c>
      <c r="AC108" s="211">
        <f ca="1">IFERROR(__xludf.DUMMYFUNCTION("GOOGLEFINANCE(""nse:""&amp;AB108,""marketcap"")/10000000"),52.7661586)</f>
        <v>52.766158599999997</v>
      </c>
      <c r="AD108" s="97">
        <v>-4.55</v>
      </c>
      <c r="AE108" s="16" t="s">
        <v>143</v>
      </c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</row>
    <row r="109" spans="1:42" ht="15.75" customHeight="1" x14ac:dyDescent="0.3">
      <c r="A109" s="86"/>
      <c r="B109" s="16" t="s">
        <v>24</v>
      </c>
      <c r="C109" s="212">
        <v>1.4106214924132197</v>
      </c>
      <c r="D109" s="213">
        <v>11.2</v>
      </c>
      <c r="E109" s="86"/>
      <c r="F109" s="16" t="s">
        <v>24</v>
      </c>
      <c r="G109" s="213">
        <v>11.2</v>
      </c>
      <c r="H109" s="86"/>
      <c r="I109" s="86"/>
      <c r="J109" s="205" t="s">
        <v>24</v>
      </c>
      <c r="K109" s="214">
        <v>0.67779967382440875</v>
      </c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97">
        <v>531822</v>
      </c>
      <c r="AB109" s="16" t="s">
        <v>274</v>
      </c>
      <c r="AC109" s="215">
        <f ca="1">IFERROR(__xludf.DUMMYFUNCTION("GOOGLEFINANCE(""BOM:""&amp;AA109,""marketcap"")/10000000"),52.2262329)</f>
        <v>52.226232899999999</v>
      </c>
      <c r="AD109" s="97">
        <v>-0.12</v>
      </c>
      <c r="AE109" s="16" t="s">
        <v>143</v>
      </c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</row>
    <row r="110" spans="1:42" ht="15.75" customHeight="1" x14ac:dyDescent="0.3">
      <c r="A110" s="86"/>
      <c r="B110" s="16" t="s">
        <v>147</v>
      </c>
      <c r="C110" s="216">
        <v>0.15751609238924649</v>
      </c>
      <c r="D110" s="217">
        <v>15.26</v>
      </c>
      <c r="E110" s="86"/>
      <c r="F110" s="16" t="s">
        <v>147</v>
      </c>
      <c r="G110" s="217">
        <v>15.26</v>
      </c>
      <c r="H110" s="86"/>
      <c r="I110" s="86"/>
      <c r="J110" s="205" t="s">
        <v>147</v>
      </c>
      <c r="K110" s="203">
        <v>0.30613788631942945</v>
      </c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97">
        <v>526727</v>
      </c>
      <c r="AB110" s="16" t="s">
        <v>275</v>
      </c>
      <c r="AC110" s="211">
        <f ca="1">IFERROR(__xludf.DUMMYFUNCTION("GOOGLEFINANCE(""BOM:""&amp;AA110,""marketcap"")/10000000"),52.8005549)</f>
        <v>52.800554900000002</v>
      </c>
      <c r="AD110" s="97">
        <v>-0.92</v>
      </c>
      <c r="AE110" s="16" t="s">
        <v>241</v>
      </c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</row>
    <row r="111" spans="1:42" ht="15.75" customHeight="1" x14ac:dyDescent="0.3">
      <c r="A111" s="86"/>
      <c r="B111" s="16" t="s">
        <v>148</v>
      </c>
      <c r="C111" s="218">
        <v>0.27781072608658813</v>
      </c>
      <c r="D111" s="219">
        <v>1.8</v>
      </c>
      <c r="E111" s="86"/>
      <c r="F111" s="16" t="s">
        <v>148</v>
      </c>
      <c r="G111" s="219">
        <v>1.8</v>
      </c>
      <c r="H111" s="86"/>
      <c r="I111" s="86"/>
      <c r="J111" s="205" t="s">
        <v>149</v>
      </c>
      <c r="K111" s="220">
        <v>0.37023139462163851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97">
        <v>526488</v>
      </c>
      <c r="AB111" s="16" t="s">
        <v>276</v>
      </c>
      <c r="AC111" s="221">
        <f ca="1">IFERROR(__xludf.DUMMYFUNCTION("GOOGLEFINANCE(""BOM:""&amp;AA111,""marketcap"")/10000000"),51.28932)</f>
        <v>51.289319999999996</v>
      </c>
      <c r="AD111" s="97">
        <v>2</v>
      </c>
      <c r="AE111" s="16" t="s">
        <v>143</v>
      </c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</row>
    <row r="112" spans="1:42" ht="15.75" customHeight="1" x14ac:dyDescent="0.3">
      <c r="A112" s="86"/>
      <c r="B112" s="16" t="s">
        <v>149</v>
      </c>
      <c r="C112" s="222">
        <v>0.4172441724417244</v>
      </c>
      <c r="D112" s="223">
        <v>5.07</v>
      </c>
      <c r="E112" s="86"/>
      <c r="F112" s="16" t="s">
        <v>149</v>
      </c>
      <c r="G112" s="223">
        <v>5.07</v>
      </c>
      <c r="H112" s="86"/>
      <c r="I112" s="86"/>
      <c r="J112" s="205" t="s">
        <v>148</v>
      </c>
      <c r="K112" s="224">
        <v>0.72858400971127979</v>
      </c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97">
        <v>532723</v>
      </c>
      <c r="AB112" s="16" t="s">
        <v>277</v>
      </c>
      <c r="AC112" s="225">
        <f ca="1">IFERROR(__xludf.DUMMYFUNCTION("GOOGLEFINANCE(""BOM:""&amp;AA112,""marketcap"")/10000000"),47.85526)</f>
        <v>47.855260000000001</v>
      </c>
      <c r="AD112" s="97">
        <v>-3.95</v>
      </c>
      <c r="AE112" s="16" t="s">
        <v>143</v>
      </c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</row>
    <row r="113" spans="1:42" ht="15.75" customHeight="1" x14ac:dyDescent="0.3">
      <c r="A113" s="86"/>
      <c r="B113" s="16" t="s">
        <v>150</v>
      </c>
      <c r="C113" s="226">
        <v>1.4802724950326427</v>
      </c>
      <c r="D113" s="227">
        <v>2.16</v>
      </c>
      <c r="E113" s="86"/>
      <c r="F113" s="16" t="s">
        <v>150</v>
      </c>
      <c r="G113" s="227">
        <v>2.16</v>
      </c>
      <c r="H113" s="86"/>
      <c r="I113" s="86"/>
      <c r="J113" s="205" t="s">
        <v>150</v>
      </c>
      <c r="K113" s="228">
        <v>0.80594374668317703</v>
      </c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97">
        <v>523566</v>
      </c>
      <c r="AB113" s="16" t="s">
        <v>278</v>
      </c>
      <c r="AC113" s="229">
        <f ca="1">IFERROR(__xludf.DUMMYFUNCTION("GOOGLEFINANCE(""BOM:""&amp;AA113,""marketcap"")/10000000"),45.3281883)</f>
        <v>45.328188300000001</v>
      </c>
      <c r="AD113" s="97">
        <v>3.45</v>
      </c>
      <c r="AE113" s="16" t="s">
        <v>193</v>
      </c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</row>
    <row r="114" spans="1:42" ht="15.75" customHeight="1" x14ac:dyDescent="0.3">
      <c r="A114" s="86"/>
      <c r="B114" s="16" t="s">
        <v>151</v>
      </c>
      <c r="C114" s="230">
        <v>0.28000000000000003</v>
      </c>
      <c r="D114" s="231">
        <v>17.649999999999999</v>
      </c>
      <c r="E114" s="86"/>
      <c r="F114" s="16" t="s">
        <v>151</v>
      </c>
      <c r="G114" s="231">
        <v>17.649999999999999</v>
      </c>
      <c r="H114" s="86"/>
      <c r="I114" s="86"/>
      <c r="J114" s="205" t="s">
        <v>279</v>
      </c>
      <c r="K114" s="232">
        <v>0.62271731190650115</v>
      </c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97">
        <v>534338</v>
      </c>
      <c r="AB114" s="16" t="s">
        <v>280</v>
      </c>
      <c r="AC114" s="229">
        <f ca="1">IFERROR(__xludf.DUMMYFUNCTION("GOOGLEFINANCE(""BOM:""&amp;AA114,""marketcap"")/10000000"),45.266738)</f>
        <v>45.266737999999997</v>
      </c>
      <c r="AD114" s="97">
        <v>3.94</v>
      </c>
      <c r="AE114" s="16" t="s">
        <v>193</v>
      </c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</row>
    <row r="115" spans="1:42" ht="15.75" customHeight="1" x14ac:dyDescent="0.3">
      <c r="A115" s="86"/>
      <c r="B115" s="16" t="s">
        <v>152</v>
      </c>
      <c r="C115" s="233">
        <v>3.9217687074829932</v>
      </c>
      <c r="D115" s="234">
        <v>2.14</v>
      </c>
      <c r="E115" s="86"/>
      <c r="F115" s="16" t="s">
        <v>152</v>
      </c>
      <c r="G115" s="234">
        <v>2.14</v>
      </c>
      <c r="H115" s="86"/>
      <c r="I115" s="86"/>
      <c r="J115" s="205" t="s">
        <v>152</v>
      </c>
      <c r="K115" s="233">
        <v>0.91534391534391535</v>
      </c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97">
        <v>533078</v>
      </c>
      <c r="AB115" s="16" t="s">
        <v>281</v>
      </c>
      <c r="AC115" s="235">
        <f ca="1">IFERROR(__xludf.DUMMYFUNCTION("GOOGLEFINANCE(""BOM:""&amp;AA115,""marketcap"")/10000000"),43.1540145)</f>
        <v>43.154014500000002</v>
      </c>
      <c r="AD115" s="97">
        <v>5</v>
      </c>
      <c r="AE115" s="16" t="s">
        <v>282</v>
      </c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</row>
    <row r="116" spans="1:42" ht="15.75" customHeight="1" x14ac:dyDescent="0.3">
      <c r="A116" s="86"/>
      <c r="B116" s="16" t="s">
        <v>153</v>
      </c>
      <c r="C116" s="236">
        <v>0.59767891682785301</v>
      </c>
      <c r="D116" s="237">
        <v>1.36</v>
      </c>
      <c r="E116" s="86"/>
      <c r="F116" s="16" t="s">
        <v>153</v>
      </c>
      <c r="G116" s="237">
        <v>1.36</v>
      </c>
      <c r="H116" s="86"/>
      <c r="I116" s="86"/>
      <c r="J116" s="205" t="s">
        <v>153</v>
      </c>
      <c r="K116" s="238">
        <v>0.80955292319449756</v>
      </c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97">
        <v>538794</v>
      </c>
      <c r="AB116" s="16" t="s">
        <v>283</v>
      </c>
      <c r="AC116" s="239">
        <f ca="1">IFERROR(__xludf.DUMMYFUNCTION("GOOGLEFINANCE(""BOM:""&amp;AA116,""marketcap"")/10000000"),36.46866)</f>
        <v>36.46866</v>
      </c>
      <c r="AD116" s="97">
        <v>4.99</v>
      </c>
      <c r="AE116" s="16" t="s">
        <v>284</v>
      </c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</row>
    <row r="117" spans="1:42" ht="15.75" customHeight="1" x14ac:dyDescent="0.3">
      <c r="A117" s="86"/>
      <c r="B117" s="16" t="s">
        <v>154</v>
      </c>
      <c r="C117" s="240">
        <v>0.26</v>
      </c>
      <c r="D117" s="241">
        <v>4.26</v>
      </c>
      <c r="E117" s="86"/>
      <c r="F117" s="16" t="s">
        <v>154</v>
      </c>
      <c r="G117" s="241">
        <v>4.26</v>
      </c>
      <c r="H117" s="86"/>
      <c r="I117" s="86"/>
      <c r="J117" s="205" t="s">
        <v>158</v>
      </c>
      <c r="K117" s="242">
        <v>0.63906056860321381</v>
      </c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97">
        <v>521149</v>
      </c>
      <c r="AB117" s="16" t="s">
        <v>285</v>
      </c>
      <c r="AC117" s="243">
        <f ca="1">IFERROR(__xludf.DUMMYFUNCTION("GOOGLEFINANCE(""BOM:""&amp;AA117,""marketcap"")/10000000"),32.63841)</f>
        <v>32.63841</v>
      </c>
      <c r="AD117" s="97">
        <v>3.83</v>
      </c>
      <c r="AE117" s="16" t="s">
        <v>143</v>
      </c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</row>
    <row r="118" spans="1:42" ht="15.75" customHeight="1" thickBot="1" x14ac:dyDescent="0.35">
      <c r="A118" s="86"/>
      <c r="B118" s="244"/>
      <c r="C118" s="245"/>
      <c r="D118" s="246"/>
      <c r="E118" s="86"/>
      <c r="F118" s="244"/>
      <c r="G118" s="246"/>
      <c r="H118" s="86"/>
      <c r="I118" s="86"/>
      <c r="J118" s="205" t="s">
        <v>151</v>
      </c>
      <c r="K118" s="247">
        <v>0.33461018476791349</v>
      </c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97">
        <v>530821</v>
      </c>
      <c r="AB118" s="16" t="s">
        <v>286</v>
      </c>
      <c r="AC118" s="248">
        <f ca="1">IFERROR(__xludf.DUMMYFUNCTION("GOOGLEFINANCE(""BOM:""&amp;AA118,""marketcap"")/10000000"),30.0475767)</f>
        <v>30.0475767</v>
      </c>
      <c r="AD118" s="97">
        <v>-1.54</v>
      </c>
      <c r="AE118" s="16" t="s">
        <v>161</v>
      </c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</row>
    <row r="119" spans="1:42" ht="15.75" customHeight="1" thickTop="1" thickBot="1" x14ac:dyDescent="0.3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97">
        <v>531552</v>
      </c>
      <c r="AB119" s="16" t="s">
        <v>287</v>
      </c>
      <c r="AC119" s="249">
        <f ca="1">IFERROR(__xludf.DUMMYFUNCTION("GOOGLEFINANCE(""BOM:""&amp;AA119,""marketcap"")/10000000"),28.802784)</f>
        <v>28.802783999999999</v>
      </c>
      <c r="AD119" s="97">
        <v>-1.77</v>
      </c>
      <c r="AE119" s="16" t="s">
        <v>224</v>
      </c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</row>
    <row r="120" spans="1:42" ht="15.75" customHeight="1" thickTop="1" x14ac:dyDescent="0.3">
      <c r="A120" s="86"/>
      <c r="B120" s="139" t="s">
        <v>174</v>
      </c>
      <c r="C120" s="250">
        <v>0.4</v>
      </c>
      <c r="D120" s="250">
        <v>3.7</v>
      </c>
      <c r="E120" s="86"/>
      <c r="F120" s="139" t="s">
        <v>174</v>
      </c>
      <c r="G120" s="250">
        <v>3.7</v>
      </c>
      <c r="H120" s="86"/>
      <c r="I120" s="86"/>
      <c r="J120" s="139" t="s">
        <v>174</v>
      </c>
      <c r="K120" s="250">
        <v>0.6</v>
      </c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97">
        <v>531416</v>
      </c>
      <c r="AB120" s="16" t="s">
        <v>288</v>
      </c>
      <c r="AC120" s="249">
        <f ca="1">IFERROR(__xludf.DUMMYFUNCTION("GOOGLEFINANCE(""BOM:""&amp;AA120,""marketcap"")/10000000"),28.4256)</f>
        <v>28.425599999999999</v>
      </c>
      <c r="AD120" s="97">
        <v>-1.19</v>
      </c>
      <c r="AE120" s="16" t="s">
        <v>256</v>
      </c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</row>
    <row r="121" spans="1:42" ht="15.7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97">
        <v>513173</v>
      </c>
      <c r="AB121" s="16" t="s">
        <v>289</v>
      </c>
      <c r="AC121" s="249">
        <f ca="1">IFERROR(__xludf.DUMMYFUNCTION("GOOGLEFINANCE(""BOM:""&amp;AA121,""marketcap"")/10000000"),28.7725477)</f>
        <v>28.772547700000001</v>
      </c>
      <c r="AD121" s="97">
        <v>-3.3</v>
      </c>
      <c r="AE121" s="16" t="s">
        <v>224</v>
      </c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</row>
    <row r="122" spans="1:42" ht="15.7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97">
        <v>531968</v>
      </c>
      <c r="AB122" s="16" t="s">
        <v>290</v>
      </c>
      <c r="AC122" s="249">
        <f ca="1">IFERROR(__xludf.DUMMYFUNCTION("GOOGLEFINANCE(""BOM:""&amp;AA122,""marketcap"")/10000000"),27.44995)</f>
        <v>27.449950000000001</v>
      </c>
      <c r="AD122" s="97">
        <v>0</v>
      </c>
      <c r="AE122" s="16" t="s">
        <v>161</v>
      </c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</row>
    <row r="123" spans="1:42" ht="15.7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97">
        <v>538576</v>
      </c>
      <c r="AB123" s="16" t="s">
        <v>291</v>
      </c>
      <c r="AC123" s="251">
        <f ca="1">IFERROR(__xludf.DUMMYFUNCTION("GOOGLEFINANCE(""BOM:""&amp;AA123,""marketcap"")/10000000"),27.39413)</f>
        <v>27.394130000000001</v>
      </c>
      <c r="AD123" s="97">
        <v>5</v>
      </c>
      <c r="AE123" s="16" t="s">
        <v>292</v>
      </c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</row>
    <row r="124" spans="1:42" ht="15.7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97">
        <v>511131</v>
      </c>
      <c r="AB124" s="16" t="s">
        <v>293</v>
      </c>
      <c r="AC124" s="252">
        <f ca="1">IFERROR(__xludf.DUMMYFUNCTION("GOOGLEFINANCE(""BOM:""&amp;AA124,""marketcap"")/10000000"),25.1562911)</f>
        <v>25.156291100000001</v>
      </c>
      <c r="AD124" s="97">
        <v>-4.05</v>
      </c>
      <c r="AE124" s="16" t="s">
        <v>143</v>
      </c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</row>
    <row r="125" spans="1:42" ht="15.7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97">
        <v>511176</v>
      </c>
      <c r="AB125" s="16" t="s">
        <v>294</v>
      </c>
      <c r="AC125" s="253">
        <f ca="1">IFERROR(__xludf.DUMMYFUNCTION("GOOGLEFINANCE(""BOM:""&amp;AA125,""marketcap"")/10000000"),26.2823671)</f>
        <v>26.282367099999998</v>
      </c>
      <c r="AD125" s="97">
        <v>4.99</v>
      </c>
      <c r="AE125" s="16" t="s">
        <v>184</v>
      </c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</row>
    <row r="126" spans="1:42" ht="15.7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97">
        <v>531909</v>
      </c>
      <c r="AB126" s="16" t="s">
        <v>295</v>
      </c>
      <c r="AC126" s="253">
        <f ca="1">IFERROR(__xludf.DUMMYFUNCTION("GOOGLEFINANCE(""BOM:""&amp;AA126,""marketcap"")/10000000"),25.9796917)</f>
        <v>25.9796917</v>
      </c>
      <c r="AD126" s="97">
        <v>-1.6</v>
      </c>
      <c r="AE126" s="16" t="s">
        <v>224</v>
      </c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</row>
    <row r="127" spans="1:42" ht="15.7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97">
        <v>531640</v>
      </c>
      <c r="AB127" s="16" t="s">
        <v>296</v>
      </c>
      <c r="AC127" s="254">
        <f ca="1">IFERROR(__xludf.DUMMYFUNCTION("GOOGLEFINANCE(""BOM:""&amp;AA127,""marketcap"")/10000000"),23.97472)</f>
        <v>23.974720000000001</v>
      </c>
      <c r="AD127" s="97">
        <v>-2.71</v>
      </c>
      <c r="AE127" s="16" t="s">
        <v>297</v>
      </c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</row>
    <row r="128" spans="1:42" ht="15.7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97">
        <v>539189</v>
      </c>
      <c r="AB128" s="16" t="s">
        <v>298</v>
      </c>
      <c r="AC128" s="255">
        <f ca="1">IFERROR(__xludf.DUMMYFUNCTION("GOOGLEFINANCE(""BOM:""&amp;AA128,""marketcap"")/10000000"),24.0240001)</f>
        <v>24.024000099999999</v>
      </c>
      <c r="AD128" s="97">
        <v>-2.4</v>
      </c>
      <c r="AE128" s="16" t="s">
        <v>241</v>
      </c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</row>
    <row r="129" spans="1:42" ht="15.7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97">
        <v>543745</v>
      </c>
      <c r="AB129" s="16" t="s">
        <v>299</v>
      </c>
      <c r="AC129" s="256">
        <f ca="1">IFERROR(__xludf.DUMMYFUNCTION("GOOGLEFINANCE(""BOM:""&amp;AA129,""marketcap"")/10000000"),24.8509584)</f>
        <v>24.8509584</v>
      </c>
      <c r="AD129" s="97">
        <v>4.91</v>
      </c>
      <c r="AE129" s="16" t="s">
        <v>143</v>
      </c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</row>
    <row r="130" spans="1:42" ht="15.7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97">
        <v>537707</v>
      </c>
      <c r="AB130" s="16" t="s">
        <v>300</v>
      </c>
      <c r="AC130" s="257">
        <f ca="1">IFERROR(__xludf.DUMMYFUNCTION("GOOGLEFINANCE(""BOM:""&amp;AA130,""marketcap"")/10000000"),17.7303918)</f>
        <v>17.7303918</v>
      </c>
      <c r="AD130" s="97">
        <v>-3.35</v>
      </c>
      <c r="AE130" s="16" t="s">
        <v>143</v>
      </c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</row>
    <row r="131" spans="1:42" ht="15.7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97">
        <v>538770</v>
      </c>
      <c r="AB131" s="16" t="s">
        <v>301</v>
      </c>
      <c r="AC131" s="257">
        <f ca="1">IFERROR(__xludf.DUMMYFUNCTION("GOOGLEFINANCE(""BOM:""&amp;AA131,""marketcap"")/10000000"),17.0187)</f>
        <v>17.018699999999999</v>
      </c>
      <c r="AD131" s="97">
        <v>1.66</v>
      </c>
      <c r="AE131" s="16" t="s">
        <v>211</v>
      </c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</row>
    <row r="132" spans="1:42" ht="15.7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97">
        <v>509845</v>
      </c>
      <c r="AB132" s="16" t="s">
        <v>302</v>
      </c>
      <c r="AC132" s="258">
        <f ca="1">IFERROR(__xludf.DUMMYFUNCTION("GOOGLEFINANCE(""BOM:""&amp;AA132,""marketcap"")/10000000"),14.90132)</f>
        <v>14.90132</v>
      </c>
      <c r="AD132" s="97">
        <v>-5</v>
      </c>
      <c r="AE132" s="16" t="s">
        <v>250</v>
      </c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</row>
    <row r="133" spans="1:42" ht="15.7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97">
        <v>509423</v>
      </c>
      <c r="AB133" s="16" t="s">
        <v>303</v>
      </c>
      <c r="AC133" s="259">
        <f ca="1">IFERROR(__xludf.DUMMYFUNCTION("GOOGLEFINANCE(""BOM:""&amp;AA133,""marketcap"")/10000000"),13.5166499)</f>
        <v>13.516649900000001</v>
      </c>
      <c r="AD133" s="97">
        <v>0</v>
      </c>
      <c r="AE133" s="16" t="s">
        <v>143</v>
      </c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</row>
    <row r="134" spans="1:42" ht="15.7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97">
        <v>531902</v>
      </c>
      <c r="AB134" s="16" t="s">
        <v>304</v>
      </c>
      <c r="AC134" s="260">
        <f ca="1">IFERROR(__xludf.DUMMYFUNCTION("GOOGLEFINANCE(""BOM:""&amp;AA134,""marketcap"")/10000000"),11.7717737)</f>
        <v>11.771773700000001</v>
      </c>
      <c r="AD134" s="97">
        <v>-1.22</v>
      </c>
      <c r="AE134" s="16" t="s">
        <v>143</v>
      </c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</row>
    <row r="135" spans="1:42" ht="15.7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97">
        <v>500426</v>
      </c>
      <c r="AB135" s="16" t="s">
        <v>305</v>
      </c>
      <c r="AC135" s="261">
        <f ca="1">IFERROR(__xludf.DUMMYFUNCTION("GOOGLEFINANCE(""BOM:""&amp;AA135,""marketcap"")/10000000"),9.9194549)</f>
        <v>9.9194548999999999</v>
      </c>
      <c r="AD135" s="97">
        <v>-1.99</v>
      </c>
      <c r="AE135" s="16" t="s">
        <v>143</v>
      </c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</row>
    <row r="136" spans="1:42" ht="15.7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97">
        <v>542864</v>
      </c>
      <c r="AB136" s="16" t="s">
        <v>306</v>
      </c>
      <c r="AC136" s="261">
        <f ca="1">IFERROR(__xludf.DUMMYFUNCTION("GOOGLEFINANCE(""BOM:""&amp;AA136,""marketcap"")/10000000"),9.531319)</f>
        <v>9.5313189999999999</v>
      </c>
      <c r="AD136" s="97">
        <v>4.97</v>
      </c>
      <c r="AE136" s="16" t="s">
        <v>307</v>
      </c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</row>
    <row r="137" spans="1:42" ht="15.75" customHeight="1" x14ac:dyDescent="0.3">
      <c r="A137" s="86"/>
      <c r="B137" s="146" t="s">
        <v>28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97">
        <v>539767</v>
      </c>
      <c r="AB137" s="16" t="s">
        <v>308</v>
      </c>
      <c r="AC137" s="262">
        <f ca="1">IFERROR(__xludf.DUMMYFUNCTION("GOOGLEFINANCE(""BOM:""&amp;AA137,""marketcap"")/10000000"),7.0096651)</f>
        <v>7.0096651000000003</v>
      </c>
      <c r="AD137" s="97">
        <v>4.79</v>
      </c>
      <c r="AE137" s="16" t="s">
        <v>200</v>
      </c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</row>
    <row r="138" spans="1:42" ht="15.75" customHeight="1" x14ac:dyDescent="0.3">
      <c r="A138" s="86"/>
      <c r="B138" s="146" t="s">
        <v>138</v>
      </c>
      <c r="C138" s="146" t="s">
        <v>309</v>
      </c>
      <c r="D138" s="146" t="s">
        <v>310</v>
      </c>
      <c r="E138" s="146" t="s">
        <v>311</v>
      </c>
      <c r="F138" s="86"/>
      <c r="G138" s="146" t="s">
        <v>138</v>
      </c>
      <c r="H138" s="146" t="s">
        <v>312</v>
      </c>
      <c r="I138" s="86"/>
      <c r="J138" s="86"/>
      <c r="K138" s="146" t="s">
        <v>138</v>
      </c>
      <c r="L138" s="146" t="s">
        <v>313</v>
      </c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97">
        <v>531574</v>
      </c>
      <c r="AB138" s="16" t="s">
        <v>314</v>
      </c>
      <c r="AC138" s="262">
        <f ca="1">IFERROR(__xludf.DUMMYFUNCTION("GOOGLEFINANCE(""BOM:""&amp;AA138,""marketcap"")/10000000"),7.3528837)</f>
        <v>7.3528836999999996</v>
      </c>
      <c r="AD138" s="97">
        <v>4.99</v>
      </c>
      <c r="AE138" s="16" t="s">
        <v>269</v>
      </c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</row>
    <row r="139" spans="1:42" ht="15.75" customHeight="1" x14ac:dyDescent="0.3">
      <c r="A139" s="86"/>
      <c r="B139" s="16" t="s">
        <v>142</v>
      </c>
      <c r="C139" s="263">
        <v>0.60919999999999996</v>
      </c>
      <c r="D139" s="173">
        <v>0.4168</v>
      </c>
      <c r="E139" s="263">
        <f t="shared" ref="E139:E149" si="0">C139-D139</f>
        <v>0.19239999999999996</v>
      </c>
      <c r="F139" s="86"/>
      <c r="G139" s="205" t="s">
        <v>142</v>
      </c>
      <c r="H139" s="264">
        <v>34.704487179487181</v>
      </c>
      <c r="I139" s="86"/>
      <c r="J139" s="86"/>
      <c r="K139" s="205" t="s">
        <v>142</v>
      </c>
      <c r="L139" s="265">
        <v>2.077187828627975</v>
      </c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97">
        <v>539099</v>
      </c>
      <c r="AB139" s="16" t="s">
        <v>315</v>
      </c>
      <c r="AC139" s="266">
        <f ca="1">IFERROR(__xludf.DUMMYFUNCTION("GOOGLEFINANCE(""BOM:""&amp;AA139,""marketcap"")/10000000"),6.0750002)</f>
        <v>6.0750001999999999</v>
      </c>
      <c r="AD139" s="97">
        <v>8.73</v>
      </c>
      <c r="AE139" s="16" t="s">
        <v>316</v>
      </c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</row>
    <row r="140" spans="1:42" ht="15.75" customHeight="1" x14ac:dyDescent="0.3">
      <c r="A140" s="86"/>
      <c r="B140" s="16" t="s">
        <v>146</v>
      </c>
      <c r="C140" s="267">
        <v>0.1643</v>
      </c>
      <c r="D140" s="268">
        <v>0.1135</v>
      </c>
      <c r="E140" s="269">
        <f t="shared" si="0"/>
        <v>5.0799999999999998E-2</v>
      </c>
      <c r="F140" s="86"/>
      <c r="G140" s="205" t="s">
        <v>146</v>
      </c>
      <c r="H140" s="270">
        <v>26.286166842661032</v>
      </c>
      <c r="I140" s="86"/>
      <c r="J140" s="86"/>
      <c r="K140" s="205" t="s">
        <v>146</v>
      </c>
      <c r="L140" s="271">
        <v>1.5145623267585264</v>
      </c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97">
        <v>524642</v>
      </c>
      <c r="AB140" s="16" t="s">
        <v>317</v>
      </c>
      <c r="AC140" s="266">
        <f ca="1">IFERROR(__xludf.DUMMYFUNCTION("GOOGLEFINANCE(""BOM:""&amp;AA140,""marketcap"")/10000000"),5.572875)</f>
        <v>5.5728749999999998</v>
      </c>
      <c r="AD140" s="97">
        <v>2.44</v>
      </c>
      <c r="AE140" s="16" t="s">
        <v>200</v>
      </c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</row>
    <row r="141" spans="1:42" ht="15.75" customHeight="1" x14ac:dyDescent="0.3">
      <c r="A141" s="86"/>
      <c r="B141" s="16" t="s">
        <v>24</v>
      </c>
      <c r="C141" s="272">
        <v>0.2797</v>
      </c>
      <c r="D141" s="158">
        <v>0.1101</v>
      </c>
      <c r="E141" s="273">
        <f t="shared" si="0"/>
        <v>0.1696</v>
      </c>
      <c r="F141" s="86"/>
      <c r="G141" s="205" t="s">
        <v>24</v>
      </c>
      <c r="H141" s="274">
        <v>64.993339253996439</v>
      </c>
      <c r="I141" s="86"/>
      <c r="J141" s="86"/>
      <c r="K141" s="205" t="s">
        <v>24</v>
      </c>
      <c r="L141" s="275">
        <v>1.5340711554061883</v>
      </c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97">
        <v>524031</v>
      </c>
      <c r="AB141" s="16" t="s">
        <v>318</v>
      </c>
      <c r="AC141" s="266">
        <f ca="1">IFERROR(__xludf.DUMMYFUNCTION("GOOGLEFINANCE(""BOM:""&amp;AA141,""marketcap"")/10000000"),5.0605233)</f>
        <v>5.0605232999999998</v>
      </c>
      <c r="AD141" s="97">
        <v>1.99</v>
      </c>
      <c r="AE141" s="16" t="s">
        <v>200</v>
      </c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</row>
    <row r="142" spans="1:42" ht="15.75" customHeight="1" x14ac:dyDescent="0.3">
      <c r="A142" s="86"/>
      <c r="B142" s="16" t="s">
        <v>147</v>
      </c>
      <c r="C142" s="276">
        <v>0.41930000000000001</v>
      </c>
      <c r="D142" s="277">
        <v>0.3574</v>
      </c>
      <c r="E142" s="278">
        <f t="shared" si="0"/>
        <v>6.1900000000000011E-2</v>
      </c>
      <c r="F142" s="86"/>
      <c r="G142" s="205" t="s">
        <v>147</v>
      </c>
      <c r="H142" s="279">
        <v>38.833492366412216</v>
      </c>
      <c r="I142" s="86"/>
      <c r="J142" s="86"/>
      <c r="K142" s="205" t="s">
        <v>147</v>
      </c>
      <c r="L142" s="280">
        <v>4.7149088025376686</v>
      </c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97">
        <v>526823</v>
      </c>
      <c r="AB142" s="16" t="s">
        <v>319</v>
      </c>
      <c r="AC142" s="281">
        <f ca="1">IFERROR(__xludf.DUMMYFUNCTION("GOOGLEFINANCE(""BOM:""&amp;AA142,""marketcap"")/10000000"),2.6714241)</f>
        <v>2.6714240999999999</v>
      </c>
      <c r="AD142" s="97">
        <v>4.78</v>
      </c>
      <c r="AE142" s="16" t="s">
        <v>211</v>
      </c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</row>
    <row r="143" spans="1:42" ht="15.75" customHeight="1" x14ac:dyDescent="0.3">
      <c r="A143" s="86"/>
      <c r="B143" s="16" t="s">
        <v>148</v>
      </c>
      <c r="C143" s="282">
        <v>2.1399999999999999E-2</v>
      </c>
      <c r="D143" s="283">
        <v>0.1031</v>
      </c>
      <c r="E143" s="284">
        <f t="shared" si="0"/>
        <v>-8.1699999999999995E-2</v>
      </c>
      <c r="F143" s="86"/>
      <c r="G143" s="205" t="s">
        <v>149</v>
      </c>
      <c r="H143" s="285">
        <v>32.930250189537531</v>
      </c>
      <c r="I143" s="86"/>
      <c r="J143" s="86"/>
      <c r="K143" s="205" t="s">
        <v>149</v>
      </c>
      <c r="L143" s="286">
        <v>1.3436772692009309</v>
      </c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</row>
    <row r="144" spans="1:42" ht="15.75" customHeight="1" x14ac:dyDescent="0.3">
      <c r="A144" s="86"/>
      <c r="B144" s="16" t="s">
        <v>149</v>
      </c>
      <c r="C144" s="278">
        <v>0.23719999999999999</v>
      </c>
      <c r="D144" s="287">
        <v>0.28239999999999998</v>
      </c>
      <c r="E144" s="288">
        <f t="shared" si="0"/>
        <v>-4.519999999999999E-2</v>
      </c>
      <c r="F144" s="86"/>
      <c r="G144" s="205" t="s">
        <v>148</v>
      </c>
      <c r="H144" s="289">
        <v>43.018641010222488</v>
      </c>
      <c r="I144" s="86"/>
      <c r="J144" s="86"/>
      <c r="K144" s="205" t="s">
        <v>148</v>
      </c>
      <c r="L144" s="290">
        <v>1.1404882357664821</v>
      </c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</row>
    <row r="145" spans="1:42" ht="15.75" customHeight="1" x14ac:dyDescent="0.3">
      <c r="A145" s="86"/>
      <c r="B145" s="16" t="s">
        <v>150</v>
      </c>
      <c r="C145" s="291">
        <v>9.1200000000000003E-2</v>
      </c>
      <c r="D145" s="292">
        <v>9.2999999999999999E-2</v>
      </c>
      <c r="E145" s="293">
        <f t="shared" si="0"/>
        <v>-1.799999999999996E-3</v>
      </c>
      <c r="F145" s="86"/>
      <c r="G145" s="205" t="s">
        <v>150</v>
      </c>
      <c r="H145" s="294">
        <v>54.15650406504065</v>
      </c>
      <c r="I145" s="86"/>
      <c r="J145" s="86"/>
      <c r="K145" s="205" t="s">
        <v>150</v>
      </c>
      <c r="L145" s="295">
        <v>1.1540364290532943</v>
      </c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</row>
    <row r="146" spans="1:42" ht="15.75" customHeight="1" x14ac:dyDescent="0.3">
      <c r="A146" s="86"/>
      <c r="B146" s="16" t="s">
        <v>151</v>
      </c>
      <c r="C146" s="296">
        <v>0.2</v>
      </c>
      <c r="D146" s="297">
        <v>0.16980000000000001</v>
      </c>
      <c r="E146" s="298">
        <f t="shared" si="0"/>
        <v>3.0200000000000005E-2</v>
      </c>
      <c r="F146" s="86"/>
      <c r="G146" s="205" t="s">
        <v>279</v>
      </c>
      <c r="H146" s="237">
        <v>458.153685674548</v>
      </c>
      <c r="I146" s="86"/>
      <c r="J146" s="86"/>
      <c r="K146" s="205" t="s">
        <v>279</v>
      </c>
      <c r="L146" s="299">
        <v>1.3311008790288823</v>
      </c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</row>
    <row r="147" spans="1:42" ht="15.75" customHeight="1" x14ac:dyDescent="0.3">
      <c r="A147" s="86"/>
      <c r="B147" s="16" t="s">
        <v>152</v>
      </c>
      <c r="C147" s="284">
        <v>9.5999999999999992E-3</v>
      </c>
      <c r="D147" s="176">
        <v>-0.1023</v>
      </c>
      <c r="E147" s="300">
        <f t="shared" si="0"/>
        <v>0.1119</v>
      </c>
      <c r="F147" s="86"/>
      <c r="G147" s="205" t="s">
        <v>152</v>
      </c>
      <c r="H147" s="231">
        <v>3.6845425867507888</v>
      </c>
      <c r="I147" s="86"/>
      <c r="J147" s="86"/>
      <c r="K147" s="205" t="s">
        <v>152</v>
      </c>
      <c r="L147" s="301">
        <v>1.2001449012859988</v>
      </c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</row>
    <row r="148" spans="1:42" ht="15.75" customHeight="1" x14ac:dyDescent="0.3">
      <c r="A148" s="86"/>
      <c r="B148" s="16" t="s">
        <v>153</v>
      </c>
      <c r="C148" s="284">
        <v>9.4999999999999998E-3</v>
      </c>
      <c r="D148" s="302">
        <v>9.1000000000000004E-3</v>
      </c>
      <c r="E148" s="303">
        <f t="shared" si="0"/>
        <v>3.9999999999999931E-4</v>
      </c>
      <c r="F148" s="86"/>
      <c r="G148" s="205" t="s">
        <v>153</v>
      </c>
      <c r="H148" s="304">
        <v>26.024169184290027</v>
      </c>
      <c r="I148" s="86"/>
      <c r="J148" s="86"/>
      <c r="K148" s="205" t="s">
        <v>153</v>
      </c>
      <c r="L148" s="233">
        <v>1.1182949214766469</v>
      </c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</row>
    <row r="149" spans="1:42" ht="15.75" customHeight="1" thickBot="1" x14ac:dyDescent="0.35">
      <c r="A149" s="86"/>
      <c r="B149" s="178" t="s">
        <v>154</v>
      </c>
      <c r="C149" s="305">
        <v>5.8500000000000003E-2</v>
      </c>
      <c r="D149" s="306">
        <v>7.7399999999999997E-2</v>
      </c>
      <c r="E149" s="307">
        <f t="shared" si="0"/>
        <v>-1.8899999999999993E-2</v>
      </c>
      <c r="F149" s="86"/>
      <c r="G149" s="205" t="s">
        <v>158</v>
      </c>
      <c r="H149" s="308">
        <v>49.154727793696281</v>
      </c>
      <c r="I149" s="86"/>
      <c r="J149" s="86"/>
      <c r="K149" s="205" t="s">
        <v>158</v>
      </c>
      <c r="L149" s="309">
        <v>1.1452742123687281</v>
      </c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</row>
    <row r="150" spans="1:42" ht="15.75" customHeight="1" thickTop="1" x14ac:dyDescent="0.3">
      <c r="A150" s="86"/>
      <c r="B150" s="183"/>
      <c r="C150" s="182"/>
      <c r="D150" s="184"/>
      <c r="E150" s="86"/>
      <c r="F150" s="86"/>
      <c r="G150" s="205" t="s">
        <v>151</v>
      </c>
      <c r="H150" s="310">
        <v>30.92573221757322</v>
      </c>
      <c r="I150" s="86"/>
      <c r="J150" s="86"/>
      <c r="K150" s="205" t="s">
        <v>151</v>
      </c>
      <c r="L150" s="203">
        <v>5.3487804878048779</v>
      </c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</row>
    <row r="151" spans="1:42" ht="15.75" customHeight="1" thickBot="1" x14ac:dyDescent="0.3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</row>
    <row r="152" spans="1:42" ht="15.75" customHeight="1" thickTop="1" thickBot="1" x14ac:dyDescent="0.35">
      <c r="A152" s="86"/>
      <c r="B152" s="139" t="s">
        <v>174</v>
      </c>
      <c r="C152" s="311">
        <f t="shared" ref="C152:D152" si="1">AVERAGE(C139:C149)</f>
        <v>0.19089999999999999</v>
      </c>
      <c r="D152" s="311">
        <f t="shared" si="1"/>
        <v>0.1482090909090909</v>
      </c>
      <c r="E152" s="312">
        <f>C152-D152</f>
        <v>4.2690909090909085E-2</v>
      </c>
      <c r="F152" s="86"/>
      <c r="G152" s="139" t="s">
        <v>174</v>
      </c>
      <c r="H152" s="250">
        <v>50</v>
      </c>
      <c r="I152" s="86"/>
      <c r="J152" s="86"/>
      <c r="K152" s="139" t="s">
        <v>174</v>
      </c>
      <c r="L152" s="250">
        <v>1.5</v>
      </c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</row>
    <row r="153" spans="1:42" ht="15.75" customHeight="1" thickTop="1" x14ac:dyDescent="0.3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</row>
    <row r="154" spans="1:42" ht="15.75" customHeight="1" x14ac:dyDescent="0.3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</row>
    <row r="155" spans="1:42" ht="15.75" customHeight="1" x14ac:dyDescent="0.3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</row>
    <row r="156" spans="1:42" ht="15.75" customHeight="1" x14ac:dyDescent="0.3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</row>
    <row r="157" spans="1:42" ht="15.75" customHeight="1" x14ac:dyDescent="0.3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</row>
    <row r="158" spans="1:42" ht="15.75" customHeight="1" x14ac:dyDescent="0.3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</row>
    <row r="159" spans="1:42" ht="15.75" customHeight="1" x14ac:dyDescent="0.3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</row>
    <row r="160" spans="1:42" ht="15.75" customHeight="1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</row>
    <row r="161" spans="1:42" ht="15.75" customHeight="1" x14ac:dyDescent="0.3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</row>
    <row r="162" spans="1:42" ht="15.75" customHeight="1" x14ac:dyDescent="0.3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</row>
    <row r="163" spans="1:42" ht="15.75" customHeight="1" x14ac:dyDescent="0.3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</row>
    <row r="164" spans="1:42" ht="15.75" customHeight="1" x14ac:dyDescent="0.3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</row>
    <row r="165" spans="1:42" ht="15.75" customHeight="1" x14ac:dyDescent="0.3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</row>
    <row r="166" spans="1:42" ht="15.75" customHeight="1" x14ac:dyDescent="0.3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</row>
    <row r="167" spans="1:42" ht="15.75" customHeight="1" x14ac:dyDescent="0.3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</row>
    <row r="168" spans="1:42" ht="15.75" customHeight="1" x14ac:dyDescent="0.3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</row>
    <row r="169" spans="1:42" ht="15.75" customHeight="1" x14ac:dyDescent="0.3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</row>
    <row r="170" spans="1:42" ht="15.75" customHeight="1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</row>
    <row r="171" spans="1:42" ht="15.75" customHeight="1" x14ac:dyDescent="0.3">
      <c r="A171" s="313" t="s">
        <v>137</v>
      </c>
      <c r="B171" s="313" t="s">
        <v>138</v>
      </c>
      <c r="C171" s="313" t="s">
        <v>320</v>
      </c>
      <c r="D171" s="313" t="s">
        <v>321</v>
      </c>
      <c r="E171" s="313" t="s">
        <v>322</v>
      </c>
      <c r="F171" s="313" t="s">
        <v>323</v>
      </c>
      <c r="G171" s="313" t="s">
        <v>324</v>
      </c>
      <c r="H171" s="313" t="s">
        <v>325</v>
      </c>
      <c r="I171" s="313" t="s">
        <v>96</v>
      </c>
      <c r="J171" s="313" t="s">
        <v>326</v>
      </c>
      <c r="K171" s="313" t="s">
        <v>327</v>
      </c>
      <c r="L171" s="313" t="s">
        <v>328</v>
      </c>
      <c r="M171" s="313" t="s">
        <v>10</v>
      </c>
      <c r="N171" s="313" t="s">
        <v>329</v>
      </c>
      <c r="O171" s="313" t="s">
        <v>330</v>
      </c>
      <c r="P171" s="313" t="s">
        <v>331</v>
      </c>
      <c r="Q171" s="313" t="s">
        <v>332</v>
      </c>
      <c r="R171" s="313" t="s">
        <v>333</v>
      </c>
      <c r="S171" s="313" t="s">
        <v>334</v>
      </c>
      <c r="T171" s="313" t="s">
        <v>335</v>
      </c>
      <c r="U171" s="313" t="s">
        <v>336</v>
      </c>
      <c r="V171" s="313" t="s">
        <v>337</v>
      </c>
      <c r="W171" s="313" t="s">
        <v>338</v>
      </c>
      <c r="X171" s="313" t="s">
        <v>111</v>
      </c>
      <c r="Y171" s="313" t="s">
        <v>339</v>
      </c>
      <c r="Z171" s="314" t="s">
        <v>340</v>
      </c>
      <c r="AA171" s="314" t="s">
        <v>341</v>
      </c>
      <c r="AB171" s="314" t="s">
        <v>227</v>
      </c>
      <c r="AC171" s="314" t="s">
        <v>342</v>
      </c>
      <c r="AD171" s="314" t="s">
        <v>343</v>
      </c>
      <c r="AE171" s="314" t="s">
        <v>38</v>
      </c>
      <c r="AF171" s="314" t="s">
        <v>313</v>
      </c>
      <c r="AG171" s="314" t="s">
        <v>312</v>
      </c>
      <c r="AH171" s="314" t="s">
        <v>36</v>
      </c>
      <c r="AI171" s="314" t="s">
        <v>37</v>
      </c>
      <c r="AJ171" s="314" t="s">
        <v>39</v>
      </c>
      <c r="AK171" s="314" t="s">
        <v>40</v>
      </c>
      <c r="AL171" s="314" t="s">
        <v>41</v>
      </c>
      <c r="AM171" s="314" t="s">
        <v>344</v>
      </c>
      <c r="AN171" s="314" t="s">
        <v>43</v>
      </c>
      <c r="AO171" s="314" t="s">
        <v>44</v>
      </c>
      <c r="AP171" s="314" t="s">
        <v>45</v>
      </c>
    </row>
    <row r="172" spans="1:42" ht="15.75" customHeight="1" x14ac:dyDescent="0.3">
      <c r="A172" s="7">
        <v>532868</v>
      </c>
      <c r="B172" s="11" t="s">
        <v>142</v>
      </c>
      <c r="C172" s="315">
        <f ca="1">IFERROR(__xludf.DUMMYFUNCTION("GOOGLEFINANCE(""bom:""&amp;A172,""price"")"),872.85)</f>
        <v>872.85</v>
      </c>
      <c r="D172" s="316">
        <f ca="1">IFERROR(__xludf.DUMMYFUNCTION("GOOGLEFINANCE(""bom:""&amp;A172,""marketcap"")/10000000"),216082.2767666)</f>
        <v>216082.2767666</v>
      </c>
      <c r="E172" s="316">
        <v>26784</v>
      </c>
      <c r="F172" s="316">
        <v>12895</v>
      </c>
      <c r="G172" s="316">
        <v>56058</v>
      </c>
      <c r="H172" s="316">
        <v>18002</v>
      </c>
      <c r="I172" s="316">
        <v>495</v>
      </c>
      <c r="J172" s="316">
        <v>37857</v>
      </c>
      <c r="K172" s="316">
        <v>4043</v>
      </c>
      <c r="L172" s="316">
        <v>541</v>
      </c>
      <c r="M172" s="316">
        <v>2</v>
      </c>
      <c r="N172" s="4"/>
      <c r="O172" s="315">
        <f ca="1">IFERROR(__xludf.DUMMYFUNCTION("GOOGLEFINANCE(""bom:""&amp;A172,""eps"")"),14.56)</f>
        <v>14.56</v>
      </c>
      <c r="P172" s="317">
        <f t="shared" ref="P172:P181" ca="1" si="2">D172/$D$306</f>
        <v>0.23415006934836713</v>
      </c>
      <c r="Q172" s="315">
        <v>6707</v>
      </c>
      <c r="R172" s="91">
        <v>6993</v>
      </c>
      <c r="S172" s="315">
        <v>2033</v>
      </c>
      <c r="T172" s="315">
        <v>4292</v>
      </c>
      <c r="U172" s="315">
        <v>4238</v>
      </c>
      <c r="V172" s="315">
        <v>1803</v>
      </c>
      <c r="W172" s="315">
        <v>1464</v>
      </c>
      <c r="X172" s="315">
        <v>392</v>
      </c>
      <c r="Y172" s="315">
        <v>4509</v>
      </c>
      <c r="Z172" s="317">
        <f t="shared" ref="Z172:Z181" si="3">(T172/U172)-1</f>
        <v>1.2741859367626285E-2</v>
      </c>
      <c r="AA172" s="317">
        <f t="shared" ref="AA172:AA181" si="4">(V172/W172)-1</f>
        <v>0.23155737704918034</v>
      </c>
      <c r="AB172" s="317">
        <f t="shared" ref="AB172:AB181" si="5">(R172/Q172)^(1/6)-1</f>
        <v>6.9839232366470938E-3</v>
      </c>
      <c r="AC172" s="318">
        <f t="shared" ref="AC172:AC181" si="6">S172/R172</f>
        <v>0.2907192907192907</v>
      </c>
      <c r="AD172" s="317">
        <f t="shared" ref="AD172:AD181" si="7">V172/T172</f>
        <v>0.42008387698042871</v>
      </c>
      <c r="AE172" s="316">
        <f t="shared" ref="AE172:AE181" si="8">(R172-Y172+X172)/X172</f>
        <v>7.3367346938775508</v>
      </c>
      <c r="AF172" s="319">
        <f t="shared" ref="AF172:AF181" si="9">E172/F172</f>
        <v>2.0770841411399767</v>
      </c>
      <c r="AG172" s="316">
        <f t="shared" ref="AG172:AG181" si="10">(L172/R172)*365</f>
        <v>28.237523237523238</v>
      </c>
      <c r="AH172" s="319">
        <f t="shared" ref="AH172:AH181" si="11">K172/(I172+J172)</f>
        <v>0.10541823112223613</v>
      </c>
      <c r="AI172" s="319">
        <f t="shared" ref="AI172:AI181" si="12">H172/G172</f>
        <v>0.32113168504049378</v>
      </c>
      <c r="AJ172" s="317">
        <f t="shared" ref="AJ172:AJ181" si="13">S172/J172</f>
        <v>5.3702089441846949E-2</v>
      </c>
      <c r="AK172" s="319">
        <f t="shared" ref="AK172:AK181" si="14">S172/I172</f>
        <v>4.1070707070707071</v>
      </c>
      <c r="AL172" s="317">
        <f t="shared" ref="AL172:AL181" si="15">S172/G172</f>
        <v>3.6266010203717579E-2</v>
      </c>
      <c r="AM172" s="316">
        <f t="shared" ref="AM172:AM181" ca="1" si="16">C172/O172</f>
        <v>59.948489010989007</v>
      </c>
      <c r="AN172" s="317">
        <f t="shared" ref="AN172:AN181" ca="1" si="17">O172/C172</f>
        <v>1.6680987569456379E-2</v>
      </c>
      <c r="AO172" s="316">
        <f t="shared" ref="AO172:AO181" si="18">(I172+J172)/(I172/M172)</f>
        <v>154.95757575757577</v>
      </c>
      <c r="AP172" s="316">
        <f t="shared" ref="AP172:AP181" ca="1" si="19">C172/AO172</f>
        <v>5.6328320556946183</v>
      </c>
    </row>
    <row r="173" spans="1:42" ht="15.75" customHeight="1" x14ac:dyDescent="0.3">
      <c r="A173" s="7">
        <v>543287</v>
      </c>
      <c r="B173" s="11" t="s">
        <v>146</v>
      </c>
      <c r="C173" s="315">
        <f ca="1">IFERROR(__xludf.DUMMYFUNCTION("GOOGLEFINANCE(""bom:""&amp;A173,""price"")"),1479.05)</f>
        <v>1479.05</v>
      </c>
      <c r="D173" s="316">
        <f ca="1">IFERROR(__xludf.DUMMYFUNCTION("GOOGLEFINANCE(""bom:""&amp;A173,""marketcap"")/10000000"),147152.7483086)</f>
        <v>147152.74830860001</v>
      </c>
      <c r="E173" s="316">
        <v>37702</v>
      </c>
      <c r="F173" s="316">
        <v>24893</v>
      </c>
      <c r="G173" s="316">
        <v>41021</v>
      </c>
      <c r="H173" s="316">
        <v>27971</v>
      </c>
      <c r="I173" s="316">
        <v>964</v>
      </c>
      <c r="J173" s="316">
        <v>13049</v>
      </c>
      <c r="K173" s="316">
        <v>7973</v>
      </c>
      <c r="L173" s="316">
        <v>682</v>
      </c>
      <c r="M173" s="316">
        <v>10</v>
      </c>
      <c r="N173" s="4"/>
      <c r="O173" s="315">
        <f ca="1">IFERROR(__xludf.DUMMYFUNCTION("GOOGLEFINANCE(""bom:""&amp;A173,""eps"")"),21.01)</f>
        <v>21.01</v>
      </c>
      <c r="P173" s="317">
        <f t="shared" ca="1" si="2"/>
        <v>0.15945697507842704</v>
      </c>
      <c r="Q173" s="315">
        <v>9677</v>
      </c>
      <c r="R173" s="91">
        <v>12421</v>
      </c>
      <c r="S173" s="315">
        <v>489</v>
      </c>
      <c r="T173" s="315">
        <v>6297</v>
      </c>
      <c r="U173" s="315">
        <v>6215</v>
      </c>
      <c r="V173" s="315">
        <v>887</v>
      </c>
      <c r="W173" s="315">
        <v>-256</v>
      </c>
      <c r="X173" s="315">
        <v>479</v>
      </c>
      <c r="Y173" s="315">
        <v>7976</v>
      </c>
      <c r="Z173" s="317">
        <f t="shared" si="3"/>
        <v>1.3193885760257373E-2</v>
      </c>
      <c r="AA173" s="317">
        <f t="shared" si="4"/>
        <v>-4.46484375</v>
      </c>
      <c r="AB173" s="317">
        <f t="shared" si="5"/>
        <v>4.2483772661357611E-2</v>
      </c>
      <c r="AC173" s="318">
        <f t="shared" si="6"/>
        <v>3.9368810884791883E-2</v>
      </c>
      <c r="AD173" s="317">
        <f t="shared" si="7"/>
        <v>0.14086072733047483</v>
      </c>
      <c r="AE173" s="316">
        <f t="shared" si="8"/>
        <v>10.279749478079331</v>
      </c>
      <c r="AF173" s="319">
        <f t="shared" si="9"/>
        <v>1.5145623267585264</v>
      </c>
      <c r="AG173" s="316">
        <f t="shared" si="10"/>
        <v>20.041059496014814</v>
      </c>
      <c r="AH173" s="319">
        <f t="shared" si="11"/>
        <v>0.56897166916434738</v>
      </c>
      <c r="AI173" s="319">
        <f t="shared" si="12"/>
        <v>0.68187026157334052</v>
      </c>
      <c r="AJ173" s="317">
        <f t="shared" si="13"/>
        <v>3.7474135949114876E-2</v>
      </c>
      <c r="AK173" s="319">
        <f t="shared" si="14"/>
        <v>0.50726141078838172</v>
      </c>
      <c r="AL173" s="317">
        <f t="shared" si="15"/>
        <v>1.1920723531849541E-2</v>
      </c>
      <c r="AM173" s="316">
        <f t="shared" ca="1" si="16"/>
        <v>70.39742979533554</v>
      </c>
      <c r="AN173" s="317">
        <f t="shared" ca="1" si="17"/>
        <v>1.4205064061390759E-2</v>
      </c>
      <c r="AO173" s="316">
        <f t="shared" si="18"/>
        <v>145.36307053941908</v>
      </c>
      <c r="AP173" s="316">
        <f t="shared" ca="1" si="19"/>
        <v>10.174867622921573</v>
      </c>
    </row>
    <row r="174" spans="1:42" ht="15.75" customHeight="1" x14ac:dyDescent="0.3">
      <c r="A174" s="7">
        <v>533150</v>
      </c>
      <c r="B174" s="11" t="s">
        <v>24</v>
      </c>
      <c r="C174" s="315">
        <f ca="1">IFERROR(__xludf.DUMMYFUNCTION("GOOGLEFINANCE(""bom:""&amp;A174,""price"")"),2998.35)</f>
        <v>2998.35</v>
      </c>
      <c r="D174" s="316">
        <f ca="1">IFERROR(__xludf.DUMMYFUNCTION("GOOGLEFINANCE(""bom:""&amp;A174,""marketcap"")/10000000"),90264.69495)</f>
        <v>90264.694950000005</v>
      </c>
      <c r="E174" s="316">
        <v>26475</v>
      </c>
      <c r="F174" s="316">
        <v>17258</v>
      </c>
      <c r="G174" s="316">
        <v>29432</v>
      </c>
      <c r="H174" s="316">
        <v>19949</v>
      </c>
      <c r="I174" s="316">
        <v>139</v>
      </c>
      <c r="J174" s="316">
        <v>9483</v>
      </c>
      <c r="K174" s="316">
        <v>13573</v>
      </c>
      <c r="L174" s="316">
        <v>401</v>
      </c>
      <c r="M174" s="316">
        <v>5</v>
      </c>
      <c r="N174" s="4"/>
      <c r="O174" s="315">
        <f ca="1">IFERROR(__xludf.DUMMYFUNCTION("GOOGLEFINANCE(""bom:""&amp;A174,""eps"")"),49.91)</f>
        <v>49.91</v>
      </c>
      <c r="P174" s="317">
        <f t="shared" ca="1" si="2"/>
        <v>9.7812207916899527E-2</v>
      </c>
      <c r="Q174" s="315">
        <v>1889</v>
      </c>
      <c r="R174" s="320">
        <v>3589</v>
      </c>
      <c r="S174" s="315">
        <v>620</v>
      </c>
      <c r="T174" s="315">
        <v>1609</v>
      </c>
      <c r="U174" s="315">
        <v>606</v>
      </c>
      <c r="V174" s="315">
        <v>269</v>
      </c>
      <c r="W174" s="315">
        <v>167</v>
      </c>
      <c r="X174" s="315">
        <v>174</v>
      </c>
      <c r="Y174" s="315">
        <v>2203</v>
      </c>
      <c r="Z174" s="317">
        <f t="shared" si="3"/>
        <v>1.6551155115511551</v>
      </c>
      <c r="AA174" s="317">
        <f t="shared" si="4"/>
        <v>0.61077844311377238</v>
      </c>
      <c r="AB174" s="317">
        <f t="shared" si="5"/>
        <v>0.11290198423989484</v>
      </c>
      <c r="AC174" s="318">
        <f t="shared" si="6"/>
        <v>0.17275006965728615</v>
      </c>
      <c r="AD174" s="317">
        <f t="shared" si="7"/>
        <v>0.16718458669981354</v>
      </c>
      <c r="AE174" s="316">
        <f t="shared" si="8"/>
        <v>8.9655172413793096</v>
      </c>
      <c r="AF174" s="319">
        <f t="shared" si="9"/>
        <v>1.5340711554061883</v>
      </c>
      <c r="AG174" s="316">
        <f t="shared" si="10"/>
        <v>40.781554750626917</v>
      </c>
      <c r="AH174" s="319">
        <f t="shared" si="11"/>
        <v>1.4106214924132197</v>
      </c>
      <c r="AI174" s="319">
        <f t="shared" si="12"/>
        <v>0.67779967382440875</v>
      </c>
      <c r="AJ174" s="317">
        <f t="shared" si="13"/>
        <v>6.5380153959717385E-2</v>
      </c>
      <c r="AK174" s="319">
        <f t="shared" si="14"/>
        <v>4.4604316546762588</v>
      </c>
      <c r="AL174" s="317">
        <f t="shared" si="15"/>
        <v>2.1065506931231312E-2</v>
      </c>
      <c r="AM174" s="316">
        <f t="shared" ca="1" si="16"/>
        <v>60.07513524343819</v>
      </c>
      <c r="AN174" s="317">
        <f t="shared" ca="1" si="17"/>
        <v>1.6645821868694448E-2</v>
      </c>
      <c r="AO174" s="316">
        <f t="shared" si="18"/>
        <v>346.11510791366908</v>
      </c>
      <c r="AP174" s="316">
        <f t="shared" ca="1" si="19"/>
        <v>8.6628694658075247</v>
      </c>
    </row>
    <row r="175" spans="1:42" ht="15.75" customHeight="1" x14ac:dyDescent="0.3">
      <c r="A175" s="7">
        <v>533273</v>
      </c>
      <c r="B175" s="11" t="s">
        <v>147</v>
      </c>
      <c r="C175" s="315">
        <f ca="1">IFERROR(__xludf.DUMMYFUNCTION("GOOGLEFINANCE(""bom:""&amp;A175,""price"")"),2312.8)</f>
        <v>2312.8000000000002</v>
      </c>
      <c r="D175" s="316">
        <f ca="1">IFERROR(__xludf.DUMMYFUNCTION("GOOGLEFINANCE(""bom:""&amp;A175,""marketcap"")/10000000"),84175.7290864)</f>
        <v>84175.729086399995</v>
      </c>
      <c r="E175" s="316">
        <v>11891</v>
      </c>
      <c r="F175" s="316">
        <v>2522</v>
      </c>
      <c r="G175" s="316">
        <v>18508</v>
      </c>
      <c r="H175" s="316">
        <v>5666</v>
      </c>
      <c r="I175" s="316">
        <v>363</v>
      </c>
      <c r="J175" s="316">
        <v>12842</v>
      </c>
      <c r="K175" s="316">
        <v>2080</v>
      </c>
      <c r="L175" s="316">
        <v>446</v>
      </c>
      <c r="M175" s="316">
        <v>10</v>
      </c>
      <c r="N175" s="4"/>
      <c r="O175" s="315">
        <f ca="1">IFERROR(__xludf.DUMMYFUNCTION("GOOGLEFINANCE(""bom:""&amp;A175,""eps"")"),63.88)</f>
        <v>63.88</v>
      </c>
      <c r="P175" s="317">
        <f t="shared" ca="1" si="2"/>
        <v>9.1214111115273458E-2</v>
      </c>
      <c r="Q175" s="315">
        <v>1265</v>
      </c>
      <c r="R175" s="123">
        <v>5094</v>
      </c>
      <c r="S175" s="315">
        <v>1904</v>
      </c>
      <c r="T175" s="315">
        <v>3181</v>
      </c>
      <c r="U175" s="315">
        <v>3231</v>
      </c>
      <c r="V175" s="315">
        <v>1138</v>
      </c>
      <c r="W175" s="315">
        <v>1424</v>
      </c>
      <c r="X175" s="315">
        <v>169</v>
      </c>
      <c r="Y175" s="315">
        <v>2290</v>
      </c>
      <c r="Z175" s="317">
        <f t="shared" si="3"/>
        <v>-1.5475085112968134E-2</v>
      </c>
      <c r="AA175" s="317">
        <f t="shared" si="4"/>
        <v>-0.2008426966292135</v>
      </c>
      <c r="AB175" s="317">
        <f t="shared" si="5"/>
        <v>0.26132809444848459</v>
      </c>
      <c r="AC175" s="318">
        <f t="shared" si="6"/>
        <v>0.37377306635257163</v>
      </c>
      <c r="AD175" s="317">
        <f t="shared" si="7"/>
        <v>0.35774913549198367</v>
      </c>
      <c r="AE175" s="316">
        <f t="shared" si="8"/>
        <v>17.591715976331361</v>
      </c>
      <c r="AF175" s="319">
        <f t="shared" si="9"/>
        <v>4.7149088025376686</v>
      </c>
      <c r="AG175" s="316">
        <f t="shared" si="10"/>
        <v>31.9572045543777</v>
      </c>
      <c r="AH175" s="319">
        <f t="shared" si="11"/>
        <v>0.15751609238924649</v>
      </c>
      <c r="AI175" s="319">
        <f t="shared" si="12"/>
        <v>0.30613788631942945</v>
      </c>
      <c r="AJ175" s="317">
        <f t="shared" si="13"/>
        <v>0.14826351035664226</v>
      </c>
      <c r="AK175" s="319">
        <f t="shared" si="14"/>
        <v>5.2451790633608812</v>
      </c>
      <c r="AL175" s="317">
        <f t="shared" si="15"/>
        <v>0.10287443267776097</v>
      </c>
      <c r="AM175" s="316">
        <f t="shared" ca="1" si="16"/>
        <v>36.205385097056983</v>
      </c>
      <c r="AN175" s="317">
        <f t="shared" ca="1" si="17"/>
        <v>2.7620200622621931E-2</v>
      </c>
      <c r="AO175" s="316">
        <f t="shared" si="18"/>
        <v>363.77410468319562</v>
      </c>
      <c r="AP175" s="316">
        <f t="shared" ca="1" si="19"/>
        <v>6.3577917455509274</v>
      </c>
    </row>
    <row r="176" spans="1:42" ht="15.75" customHeight="1" x14ac:dyDescent="0.3">
      <c r="A176" s="7">
        <v>533274</v>
      </c>
      <c r="B176" s="11" t="s">
        <v>148</v>
      </c>
      <c r="C176" s="315">
        <f ca="1">IFERROR(__xludf.DUMMYFUNCTION("GOOGLEFINANCE(""bom:""&amp;A176,""price"")"),1887.45)</f>
        <v>1887.45</v>
      </c>
      <c r="D176" s="316">
        <f ca="1">IFERROR(__xludf.DUMMYFUNCTION("GOOGLEFINANCE(""bom:""&amp;A176,""marketcap"")/10000000"),81247.1926681)</f>
        <v>81247.192668100004</v>
      </c>
      <c r="E176" s="316">
        <v>28405</v>
      </c>
      <c r="F176" s="316">
        <v>24906</v>
      </c>
      <c r="G176" s="316">
        <v>42013</v>
      </c>
      <c r="H176" s="316">
        <v>30610</v>
      </c>
      <c r="I176" s="316">
        <v>400</v>
      </c>
      <c r="J176" s="316">
        <v>11403</v>
      </c>
      <c r="K176" s="316">
        <v>3279</v>
      </c>
      <c r="L176" s="316">
        <v>980</v>
      </c>
      <c r="M176" s="316">
        <v>10</v>
      </c>
      <c r="N176" s="4"/>
      <c r="O176" s="315">
        <f ca="1">IFERROR(__xludf.DUMMYFUNCTION("GOOGLEFINANCE(""bom:""&amp;A176,""eps"")"),16.89)</f>
        <v>16.89</v>
      </c>
      <c r="P176" s="317">
        <f t="shared" ca="1" si="2"/>
        <v>8.8040704134862771E-2</v>
      </c>
      <c r="Q176" s="315">
        <v>1619</v>
      </c>
      <c r="R176" s="118">
        <v>8126</v>
      </c>
      <c r="S176" s="315">
        <v>1066</v>
      </c>
      <c r="T176" s="315">
        <v>5713</v>
      </c>
      <c r="U176" s="315">
        <v>5683</v>
      </c>
      <c r="V176" s="315">
        <v>1392</v>
      </c>
      <c r="W176" s="315">
        <v>561</v>
      </c>
      <c r="X176" s="315">
        <v>806</v>
      </c>
      <c r="Y176" s="315">
        <v>7682</v>
      </c>
      <c r="Z176" s="317">
        <f t="shared" si="3"/>
        <v>5.2789019883863197E-3</v>
      </c>
      <c r="AA176" s="317">
        <f t="shared" si="4"/>
        <v>1.4812834224598932</v>
      </c>
      <c r="AB176" s="317">
        <f t="shared" si="5"/>
        <v>0.30849377699415736</v>
      </c>
      <c r="AC176" s="318">
        <f t="shared" si="6"/>
        <v>0.13118385429485602</v>
      </c>
      <c r="AD176" s="317">
        <f t="shared" si="7"/>
        <v>0.24365482233502539</v>
      </c>
      <c r="AE176" s="316">
        <f t="shared" si="8"/>
        <v>1.5508684863523574</v>
      </c>
      <c r="AF176" s="319">
        <f t="shared" si="9"/>
        <v>1.1404882357664821</v>
      </c>
      <c r="AG176" s="316">
        <f t="shared" si="10"/>
        <v>44.019197637213878</v>
      </c>
      <c r="AH176" s="319">
        <f t="shared" si="11"/>
        <v>0.27781072608658813</v>
      </c>
      <c r="AI176" s="319">
        <f t="shared" si="12"/>
        <v>0.72858400971127979</v>
      </c>
      <c r="AJ176" s="317">
        <f t="shared" si="13"/>
        <v>9.3484170832237132E-2</v>
      </c>
      <c r="AK176" s="319">
        <f t="shared" si="14"/>
        <v>2.665</v>
      </c>
      <c r="AL176" s="317">
        <f t="shared" si="15"/>
        <v>2.5373098802751529E-2</v>
      </c>
      <c r="AM176" s="316">
        <f t="shared" ca="1" si="16"/>
        <v>111.74955595026643</v>
      </c>
      <c r="AN176" s="317">
        <f t="shared" ca="1" si="17"/>
        <v>8.9485814193753475E-3</v>
      </c>
      <c r="AO176" s="316">
        <f t="shared" si="18"/>
        <v>295.07499999999999</v>
      </c>
      <c r="AP176" s="316">
        <f t="shared" ca="1" si="19"/>
        <v>6.3965093620266043</v>
      </c>
    </row>
    <row r="177" spans="1:42" ht="15.75" customHeight="1" x14ac:dyDescent="0.3">
      <c r="A177" s="7">
        <v>503100</v>
      </c>
      <c r="B177" s="11" t="s">
        <v>149</v>
      </c>
      <c r="C177" s="315">
        <f ca="1">IFERROR(__xludf.DUMMYFUNCTION("GOOGLEFINANCE(""bom:""&amp;A177,""price"")"),1713)</f>
        <v>1713</v>
      </c>
      <c r="D177" s="316">
        <f ca="1">IFERROR(__xludf.DUMMYFUNCTION("GOOGLEFINANCE(""bom:""&amp;A177,""marketcap"")/10000000"),61271.9601508)</f>
        <v>61271.960150799998</v>
      </c>
      <c r="E177" s="316">
        <v>3464</v>
      </c>
      <c r="F177" s="316">
        <v>2578</v>
      </c>
      <c r="G177" s="316">
        <v>17589</v>
      </c>
      <c r="H177" s="316">
        <v>6512</v>
      </c>
      <c r="I177" s="316">
        <v>36</v>
      </c>
      <c r="J177" s="316">
        <v>11075</v>
      </c>
      <c r="K177" s="316">
        <v>4636</v>
      </c>
      <c r="L177" s="316">
        <v>238</v>
      </c>
      <c r="M177" s="316">
        <v>2</v>
      </c>
      <c r="N177" s="4"/>
      <c r="O177" s="315">
        <f ca="1">IFERROR(__xludf.DUMMYFUNCTION("GOOGLEFINANCE(""bom:""&amp;A177,""eps"")"),31.53)</f>
        <v>31.53</v>
      </c>
      <c r="P177" s="317">
        <f t="shared" ca="1" si="2"/>
        <v>6.6395235801392699E-2</v>
      </c>
      <c r="Q177" s="315">
        <v>5499</v>
      </c>
      <c r="R177" s="124">
        <v>4114</v>
      </c>
      <c r="S177" s="315">
        <v>1477</v>
      </c>
      <c r="T177" s="315">
        <v>2671</v>
      </c>
      <c r="U177" s="315">
        <v>1909</v>
      </c>
      <c r="V177" s="315">
        <v>941</v>
      </c>
      <c r="W177" s="315">
        <v>1185</v>
      </c>
      <c r="X177" s="315">
        <v>341</v>
      </c>
      <c r="Y177" s="315">
        <v>1688</v>
      </c>
      <c r="Z177" s="317">
        <f t="shared" si="3"/>
        <v>0.39916186485070715</v>
      </c>
      <c r="AA177" s="317">
        <f t="shared" si="4"/>
        <v>-0.20590717299578054</v>
      </c>
      <c r="AB177" s="317">
        <f t="shared" si="5"/>
        <v>-4.7210941360180447E-2</v>
      </c>
      <c r="AC177" s="318">
        <f t="shared" si="6"/>
        <v>0.35901798736023333</v>
      </c>
      <c r="AD177" s="317">
        <f t="shared" si="7"/>
        <v>0.35230250842381133</v>
      </c>
      <c r="AE177" s="316">
        <f t="shared" si="8"/>
        <v>8.1143695014662764</v>
      </c>
      <c r="AF177" s="319">
        <f t="shared" si="9"/>
        <v>1.3436772692009309</v>
      </c>
      <c r="AG177" s="316">
        <f t="shared" si="10"/>
        <v>21.115702479338843</v>
      </c>
      <c r="AH177" s="319">
        <f t="shared" si="11"/>
        <v>0.4172441724417244</v>
      </c>
      <c r="AI177" s="319">
        <f t="shared" si="12"/>
        <v>0.37023139462163851</v>
      </c>
      <c r="AJ177" s="317">
        <f t="shared" si="13"/>
        <v>0.13336343115124152</v>
      </c>
      <c r="AK177" s="319">
        <f t="shared" si="14"/>
        <v>41.027777777777779</v>
      </c>
      <c r="AL177" s="317">
        <f t="shared" si="15"/>
        <v>8.3972937631474218E-2</v>
      </c>
      <c r="AM177" s="316">
        <f t="shared" ca="1" si="16"/>
        <v>54.329210275927686</v>
      </c>
      <c r="AN177" s="317">
        <f t="shared" ca="1" si="17"/>
        <v>1.8406304728546409E-2</v>
      </c>
      <c r="AO177" s="316">
        <f t="shared" si="18"/>
        <v>617.27777777777783</v>
      </c>
      <c r="AP177" s="316">
        <f t="shared" ca="1" si="19"/>
        <v>2.7750877508775087</v>
      </c>
    </row>
    <row r="178" spans="1:42" ht="15.75" customHeight="1" x14ac:dyDescent="0.3">
      <c r="A178" s="7">
        <v>532929</v>
      </c>
      <c r="B178" s="11" t="s">
        <v>150</v>
      </c>
      <c r="C178" s="315">
        <f ca="1">IFERROR(__xludf.DUMMYFUNCTION("GOOGLEFINANCE(""bom:""&amp;A178,""price"")"),1275.35)</f>
        <v>1275.3499999999999</v>
      </c>
      <c r="D178" s="316">
        <f ca="1">IFERROR(__xludf.DUMMYFUNCTION("GOOGLEFINANCE(""bom:""&amp;A178,""marketcap"")/10000000"),31153.1329018)</f>
        <v>31153.1329018</v>
      </c>
      <c r="E178" s="316">
        <v>10264</v>
      </c>
      <c r="F178" s="316">
        <v>8894</v>
      </c>
      <c r="G178" s="316">
        <v>16959</v>
      </c>
      <c r="H178" s="316">
        <v>13668</v>
      </c>
      <c r="I178" s="316">
        <v>231</v>
      </c>
      <c r="J178" s="316">
        <v>3292</v>
      </c>
      <c r="K178" s="316">
        <v>5215</v>
      </c>
      <c r="L178" s="316">
        <v>511</v>
      </c>
      <c r="M178" s="316">
        <v>10</v>
      </c>
      <c r="N178" s="4"/>
      <c r="O178" s="315">
        <f ca="1">IFERROR(__xludf.DUMMYFUNCTION("GOOGLEFINANCE(""bom:""&amp;A178,""eps"")"),20.6)</f>
        <v>20.6</v>
      </c>
      <c r="P178" s="317">
        <f t="shared" ca="1" si="2"/>
        <v>3.3758012635411505E-2</v>
      </c>
      <c r="Q178" s="315">
        <v>1897</v>
      </c>
      <c r="R178" s="125">
        <v>5026</v>
      </c>
      <c r="S178" s="315">
        <v>222</v>
      </c>
      <c r="T178" s="315">
        <v>3194</v>
      </c>
      <c r="U178" s="315">
        <v>2602</v>
      </c>
      <c r="V178" s="315">
        <v>190</v>
      </c>
      <c r="W178" s="315">
        <v>159</v>
      </c>
      <c r="X178" s="315">
        <v>434</v>
      </c>
      <c r="Y178" s="315">
        <v>3334</v>
      </c>
      <c r="Z178" s="317">
        <f t="shared" si="3"/>
        <v>0.22751729438893165</v>
      </c>
      <c r="AA178" s="317">
        <f t="shared" si="4"/>
        <v>0.19496855345911945</v>
      </c>
      <c r="AB178" s="317">
        <f t="shared" si="5"/>
        <v>0.17632102346512468</v>
      </c>
      <c r="AC178" s="318">
        <f t="shared" si="6"/>
        <v>4.4170314365300438E-2</v>
      </c>
      <c r="AD178" s="317">
        <f t="shared" si="7"/>
        <v>5.9486537257357544E-2</v>
      </c>
      <c r="AE178" s="316">
        <f t="shared" si="8"/>
        <v>4.8986175115207375</v>
      </c>
      <c r="AF178" s="319">
        <f t="shared" si="9"/>
        <v>1.1540364290532943</v>
      </c>
      <c r="AG178" s="316">
        <f t="shared" si="10"/>
        <v>37.110027855153206</v>
      </c>
      <c r="AH178" s="319">
        <f t="shared" si="11"/>
        <v>1.4802724950326427</v>
      </c>
      <c r="AI178" s="319">
        <f t="shared" si="12"/>
        <v>0.80594374668317703</v>
      </c>
      <c r="AJ178" s="317">
        <f t="shared" si="13"/>
        <v>6.7436208991494537E-2</v>
      </c>
      <c r="AK178" s="319">
        <f t="shared" si="14"/>
        <v>0.96103896103896103</v>
      </c>
      <c r="AL178" s="317">
        <f t="shared" si="15"/>
        <v>1.3090394480806651E-2</v>
      </c>
      <c r="AM178" s="316">
        <f t="shared" ca="1" si="16"/>
        <v>61.910194174757272</v>
      </c>
      <c r="AN178" s="317">
        <f t="shared" ca="1" si="17"/>
        <v>1.6152428745050379E-2</v>
      </c>
      <c r="AO178" s="316">
        <f t="shared" si="18"/>
        <v>152.51082251082249</v>
      </c>
      <c r="AP178" s="316">
        <f t="shared" ca="1" si="19"/>
        <v>8.3623573658813513</v>
      </c>
    </row>
    <row r="179" spans="1:42" ht="15.75" customHeight="1" x14ac:dyDescent="0.3">
      <c r="A179" s="7">
        <v>515055</v>
      </c>
      <c r="B179" s="11" t="s">
        <v>151</v>
      </c>
      <c r="C179" s="315">
        <f ca="1">IFERROR(__xludf.DUMMYFUNCTION("GOOGLEFINANCE(""bom:""&amp;A179,""price"")"),804.85)</f>
        <v>804.85</v>
      </c>
      <c r="D179" s="316">
        <f ca="1">IFERROR(__xludf.DUMMYFUNCTION("GOOGLEFINANCE(""bom:""&amp;A179,""marketcap"")/10000000"),27563.1064214)</f>
        <v>27563.1064214</v>
      </c>
      <c r="E179" s="316">
        <v>2193</v>
      </c>
      <c r="F179" s="316">
        <v>410</v>
      </c>
      <c r="G179" s="316">
        <v>4438</v>
      </c>
      <c r="H179" s="316">
        <v>1485</v>
      </c>
      <c r="I179" s="316">
        <v>64</v>
      </c>
      <c r="J179" s="316">
        <v>2952</v>
      </c>
      <c r="K179" s="316">
        <v>386</v>
      </c>
      <c r="L179" s="316">
        <v>81</v>
      </c>
      <c r="M179" s="316">
        <v>2</v>
      </c>
      <c r="N179" s="4"/>
      <c r="O179" s="315">
        <f ca="1">IFERROR(__xludf.DUMMYFUNCTION("GOOGLEFINANCE(""bom:""&amp;A179,""eps"")"),10.44)</f>
        <v>10.44</v>
      </c>
      <c r="P179" s="317">
        <f t="shared" ca="1" si="2"/>
        <v>2.9867804877853909E-2</v>
      </c>
      <c r="Q179" s="315">
        <v>480</v>
      </c>
      <c r="R179" s="131">
        <v>1820</v>
      </c>
      <c r="S179" s="315">
        <v>151</v>
      </c>
      <c r="T179" s="315">
        <v>1040</v>
      </c>
      <c r="U179" s="315">
        <v>676</v>
      </c>
      <c r="V179" s="315">
        <v>182</v>
      </c>
      <c r="W179" s="315">
        <v>102</v>
      </c>
      <c r="X179" s="315">
        <v>32</v>
      </c>
      <c r="Y179" s="315">
        <v>808</v>
      </c>
      <c r="Z179" s="317">
        <f t="shared" si="3"/>
        <v>0.53846153846153855</v>
      </c>
      <c r="AA179" s="317">
        <f t="shared" si="4"/>
        <v>0.78431372549019618</v>
      </c>
      <c r="AB179" s="317">
        <f t="shared" si="5"/>
        <v>0.24873904648863632</v>
      </c>
      <c r="AC179" s="318">
        <f t="shared" si="6"/>
        <v>8.2967032967032964E-2</v>
      </c>
      <c r="AD179" s="317">
        <f t="shared" si="7"/>
        <v>0.17499999999999999</v>
      </c>
      <c r="AE179" s="316">
        <f t="shared" si="8"/>
        <v>32.625</v>
      </c>
      <c r="AF179" s="319">
        <f t="shared" si="9"/>
        <v>5.3487804878048779</v>
      </c>
      <c r="AG179" s="316">
        <f t="shared" si="10"/>
        <v>16.244505494505496</v>
      </c>
      <c r="AH179" s="319">
        <f t="shared" si="11"/>
        <v>0.12798408488063662</v>
      </c>
      <c r="AI179" s="319">
        <f t="shared" si="12"/>
        <v>0.33461018476791349</v>
      </c>
      <c r="AJ179" s="317">
        <f t="shared" si="13"/>
        <v>5.1151761517615177E-2</v>
      </c>
      <c r="AK179" s="319">
        <f t="shared" si="14"/>
        <v>2.359375</v>
      </c>
      <c r="AL179" s="317">
        <f t="shared" si="15"/>
        <v>3.4024335286164942E-2</v>
      </c>
      <c r="AM179" s="316">
        <f t="shared" ca="1" si="16"/>
        <v>77.092911877394641</v>
      </c>
      <c r="AN179" s="317">
        <f t="shared" ca="1" si="17"/>
        <v>1.2971361123190656E-2</v>
      </c>
      <c r="AO179" s="316">
        <f t="shared" si="18"/>
        <v>94.25</v>
      </c>
      <c r="AP179" s="316">
        <f t="shared" ca="1" si="19"/>
        <v>8.5395225464190982</v>
      </c>
    </row>
    <row r="180" spans="1:42" ht="15.75" customHeight="1" x14ac:dyDescent="0.3">
      <c r="A180" s="7">
        <v>543990</v>
      </c>
      <c r="B180" s="11" t="s">
        <v>152</v>
      </c>
      <c r="C180" s="315">
        <f ca="1">IFERROR(__xludf.DUMMYFUNCTION("GOOGLEFINANCE(""bom:""&amp;A180,""price"")"),1293.7)</f>
        <v>1293.7</v>
      </c>
      <c r="D180" s="316">
        <f ca="1">IFERROR(__xludf.DUMMYFUNCTION("GOOGLEFINANCE(""bom:""&amp;A180,""marketcap"")/10000000"),18184.8811659)</f>
        <v>18184.881165899998</v>
      </c>
      <c r="E180" s="316">
        <v>6626</v>
      </c>
      <c r="F180" s="316">
        <v>5521</v>
      </c>
      <c r="G180" s="316">
        <v>6993</v>
      </c>
      <c r="H180" s="316">
        <v>6401</v>
      </c>
      <c r="I180" s="316">
        <v>14</v>
      </c>
      <c r="J180" s="316">
        <v>574</v>
      </c>
      <c r="K180" s="316">
        <v>2306</v>
      </c>
      <c r="L180" s="316">
        <v>16</v>
      </c>
      <c r="M180" s="316">
        <v>1</v>
      </c>
      <c r="N180" s="4"/>
      <c r="O180" s="315">
        <v>1.93</v>
      </c>
      <c r="P180" s="317">
        <f t="shared" ca="1" si="2"/>
        <v>1.9705416148898432E-2</v>
      </c>
      <c r="Q180" s="315">
        <v>242</v>
      </c>
      <c r="R180" s="132">
        <v>2126</v>
      </c>
      <c r="S180" s="315">
        <v>-63</v>
      </c>
      <c r="T180" s="315">
        <v>601</v>
      </c>
      <c r="U180" s="315">
        <v>876</v>
      </c>
      <c r="V180" s="315">
        <v>-25</v>
      </c>
      <c r="W180" s="315">
        <v>-71</v>
      </c>
      <c r="X180" s="315">
        <v>73</v>
      </c>
      <c r="Y180" s="315">
        <v>1547</v>
      </c>
      <c r="Z180" s="317">
        <f t="shared" si="3"/>
        <v>-0.3139269406392694</v>
      </c>
      <c r="AA180" s="317">
        <f t="shared" si="4"/>
        <v>-0.647887323943662</v>
      </c>
      <c r="AB180" s="317">
        <f t="shared" si="5"/>
        <v>0.43645265281183465</v>
      </c>
      <c r="AC180" s="318">
        <f t="shared" si="6"/>
        <v>-2.9633113828786452E-2</v>
      </c>
      <c r="AD180" s="317">
        <f t="shared" si="7"/>
        <v>-4.1597337770382693E-2</v>
      </c>
      <c r="AE180" s="316">
        <f t="shared" si="8"/>
        <v>8.9315068493150687</v>
      </c>
      <c r="AF180" s="319">
        <f t="shared" si="9"/>
        <v>1.2001449012859988</v>
      </c>
      <c r="AG180" s="316">
        <f t="shared" si="10"/>
        <v>2.7469426152398873</v>
      </c>
      <c r="AH180" s="319">
        <f t="shared" si="11"/>
        <v>3.9217687074829932</v>
      </c>
      <c r="AI180" s="319">
        <f t="shared" si="12"/>
        <v>0.91534391534391535</v>
      </c>
      <c r="AJ180" s="317">
        <f t="shared" si="13"/>
        <v>-0.10975609756097561</v>
      </c>
      <c r="AK180" s="319">
        <f t="shared" si="14"/>
        <v>-4.5</v>
      </c>
      <c r="AL180" s="317">
        <f t="shared" si="15"/>
        <v>-9.0090090090090089E-3</v>
      </c>
      <c r="AM180" s="316">
        <f t="shared" ca="1" si="16"/>
        <v>670.31088082901556</v>
      </c>
      <c r="AN180" s="317">
        <f t="shared" ca="1" si="17"/>
        <v>1.4918450954626264E-3</v>
      </c>
      <c r="AO180" s="316">
        <f t="shared" si="18"/>
        <v>42</v>
      </c>
      <c r="AP180" s="316">
        <f t="shared" ca="1" si="19"/>
        <v>30.802380952380954</v>
      </c>
    </row>
    <row r="181" spans="1:42" ht="15.75" customHeight="1" x14ac:dyDescent="0.3">
      <c r="A181" s="7">
        <v>532784</v>
      </c>
      <c r="B181" s="11" t="s">
        <v>153</v>
      </c>
      <c r="C181" s="315">
        <f ca="1">IFERROR(__xludf.DUMMYFUNCTION("GOOGLEFINANCE(""bom:""&amp;A181,""price"")"),1632.05)</f>
        <v>1632.05</v>
      </c>
      <c r="D181" s="321">
        <f ca="1">IFERROR(__xludf.DUMMYFUNCTION("GOOGLEFINANCE(""bom:""&amp;A181,""marketcap"")/10000000"),16420.6487508)</f>
        <v>16420.648750799999</v>
      </c>
      <c r="E181" s="90">
        <v>10966</v>
      </c>
      <c r="F181" s="90">
        <v>9806</v>
      </c>
      <c r="G181" s="90">
        <v>13085</v>
      </c>
      <c r="H181" s="90">
        <v>10593</v>
      </c>
      <c r="I181" s="90">
        <v>94</v>
      </c>
      <c r="J181" s="90">
        <v>2491</v>
      </c>
      <c r="K181" s="90">
        <v>1545</v>
      </c>
      <c r="L181" s="90">
        <v>236</v>
      </c>
      <c r="M181" s="90">
        <v>10</v>
      </c>
      <c r="N181" s="86"/>
      <c r="O181" s="91">
        <f ca="1">IFERROR(__xludf.DUMMYFUNCTION("GOOGLEFINANCE(""bom:""&amp;A181,""eps"")"),5.5)</f>
        <v>5.5</v>
      </c>
      <c r="P181" s="322">
        <f t="shared" ca="1" si="2"/>
        <v>1.7793666844310604E-2</v>
      </c>
      <c r="Q181" s="91">
        <v>2786</v>
      </c>
      <c r="R181" s="91">
        <v>3022</v>
      </c>
      <c r="S181" s="91">
        <v>104</v>
      </c>
      <c r="T181" s="91">
        <v>2334</v>
      </c>
      <c r="U181" s="91">
        <v>2100</v>
      </c>
      <c r="V181" s="91">
        <v>42</v>
      </c>
      <c r="W181" s="91">
        <v>55</v>
      </c>
      <c r="X181" s="91">
        <v>249</v>
      </c>
      <c r="Y181" s="91">
        <v>3257</v>
      </c>
      <c r="Z181" s="322">
        <f t="shared" si="3"/>
        <v>0.11142857142857143</v>
      </c>
      <c r="AA181" s="322">
        <f t="shared" si="4"/>
        <v>-0.23636363636363633</v>
      </c>
      <c r="AB181" s="322">
        <f t="shared" si="5"/>
        <v>1.3644242636489112E-2</v>
      </c>
      <c r="AC181" s="318">
        <f t="shared" si="6"/>
        <v>3.4414295168762411E-2</v>
      </c>
      <c r="AD181" s="322">
        <f t="shared" si="7"/>
        <v>1.7994858611825194E-2</v>
      </c>
      <c r="AE181" s="90">
        <f t="shared" si="8"/>
        <v>5.6224899598393573E-2</v>
      </c>
      <c r="AF181" s="323">
        <f t="shared" si="9"/>
        <v>1.1182949214766469</v>
      </c>
      <c r="AG181" s="90">
        <f t="shared" si="10"/>
        <v>28.504301786896097</v>
      </c>
      <c r="AH181" s="323">
        <f t="shared" si="11"/>
        <v>0.59767891682785301</v>
      </c>
      <c r="AI181" s="323">
        <f t="shared" si="12"/>
        <v>0.80955292319449756</v>
      </c>
      <c r="AJ181" s="322">
        <f t="shared" si="13"/>
        <v>4.1750301083902049E-2</v>
      </c>
      <c r="AK181" s="323">
        <f t="shared" si="14"/>
        <v>1.1063829787234043</v>
      </c>
      <c r="AL181" s="322">
        <f t="shared" si="15"/>
        <v>7.9480320978219336E-3</v>
      </c>
      <c r="AM181" s="90">
        <f t="shared" ca="1" si="16"/>
        <v>296.73636363636365</v>
      </c>
      <c r="AN181" s="322">
        <f t="shared" ca="1" si="17"/>
        <v>3.3699947918262307E-3</v>
      </c>
      <c r="AO181" s="90">
        <f t="shared" si="18"/>
        <v>275</v>
      </c>
      <c r="AP181" s="90">
        <f t="shared" ca="1" si="19"/>
        <v>5.9347272727272724</v>
      </c>
    </row>
    <row r="182" spans="1:42" ht="15.75" customHeight="1" x14ac:dyDescent="0.3">
      <c r="A182" s="7">
        <v>526367</v>
      </c>
      <c r="B182" s="16" t="s">
        <v>154</v>
      </c>
      <c r="C182" s="315">
        <f ca="1">IFERROR(__xludf.DUMMYFUNCTION("GOOGLEFINANCE(""bom:""&amp;A182,""price"")"),1261.45)</f>
        <v>1261.45</v>
      </c>
      <c r="D182" s="321">
        <f ca="1">IFERROR(__xludf.DUMMYFUNCTION("GOOGLEFINANCE(""bom:""&amp;A182,""marketcap"")/10000000"),10530.5334056)</f>
        <v>10530.533405599999</v>
      </c>
      <c r="E182" s="141"/>
      <c r="F182" s="141"/>
      <c r="G182" s="141"/>
      <c r="H182" s="141"/>
      <c r="I182" s="141"/>
      <c r="J182" s="141"/>
      <c r="K182" s="90">
        <v>946</v>
      </c>
      <c r="L182" s="141"/>
      <c r="M182" s="141"/>
      <c r="N182" s="86"/>
      <c r="O182" s="86"/>
      <c r="P182" s="324"/>
      <c r="Q182" s="86"/>
      <c r="R182" s="86"/>
      <c r="S182" s="86" t="s">
        <v>120</v>
      </c>
      <c r="T182" s="325">
        <f>T180+T181</f>
        <v>2935</v>
      </c>
      <c r="U182" s="86" t="s">
        <v>345</v>
      </c>
      <c r="V182" s="86"/>
      <c r="W182" s="86"/>
      <c r="X182" s="86"/>
      <c r="Y182" s="86"/>
      <c r="Z182" s="324"/>
      <c r="AA182" s="324"/>
      <c r="AB182" s="324"/>
      <c r="AC182" s="182"/>
      <c r="AD182" s="324"/>
      <c r="AE182" s="141"/>
      <c r="AF182" s="326"/>
      <c r="AG182" s="141"/>
      <c r="AH182" s="323">
        <v>0.26</v>
      </c>
      <c r="AI182" s="326"/>
      <c r="AJ182" s="324"/>
      <c r="AK182" s="326"/>
      <c r="AL182" s="324"/>
      <c r="AM182" s="141"/>
      <c r="AN182" s="324"/>
      <c r="AO182" s="141"/>
      <c r="AP182" s="141"/>
    </row>
    <row r="183" spans="1:42" ht="15.75" customHeight="1" x14ac:dyDescent="0.3">
      <c r="A183" s="7">
        <v>532891</v>
      </c>
      <c r="B183" s="11" t="s">
        <v>156</v>
      </c>
      <c r="C183" s="315">
        <f ca="1">IFERROR(__xludf.DUMMYFUNCTION("GOOGLEFINANCE(""bom:""&amp;A183,""price"")"),424.3)</f>
        <v>424.3</v>
      </c>
      <c r="D183" s="321">
        <f ca="1">IFERROR(__xludf.DUMMYFUNCTION("GOOGLEFINANCE(""bom:""&amp;A183,""marketcap"")/10000000"),10097.8296785)</f>
        <v>10097.8296785</v>
      </c>
      <c r="E183" s="141"/>
      <c r="F183" s="141"/>
      <c r="G183" s="141"/>
      <c r="H183" s="141"/>
      <c r="I183" s="141"/>
      <c r="J183" s="141"/>
      <c r="K183" s="141"/>
      <c r="L183" s="141"/>
      <c r="M183" s="141"/>
      <c r="N183" s="86"/>
      <c r="O183" s="86"/>
      <c r="P183" s="324"/>
      <c r="Q183" s="86"/>
      <c r="R183" s="86"/>
      <c r="S183" s="86"/>
      <c r="T183" s="86"/>
      <c r="U183" s="86"/>
      <c r="V183" s="86"/>
      <c r="W183" s="86"/>
      <c r="X183" s="86"/>
      <c r="Y183" s="86"/>
      <c r="Z183" s="324"/>
      <c r="AA183" s="324"/>
      <c r="AB183" s="324"/>
      <c r="AC183" s="182"/>
      <c r="AD183" s="324"/>
      <c r="AE183" s="141"/>
      <c r="AF183" s="326"/>
      <c r="AG183" s="141"/>
      <c r="AH183" s="326"/>
      <c r="AI183" s="326"/>
      <c r="AJ183" s="324"/>
      <c r="AK183" s="326"/>
      <c r="AL183" s="324"/>
      <c r="AM183" s="141"/>
      <c r="AN183" s="324"/>
      <c r="AO183" s="141"/>
      <c r="AP183" s="141"/>
    </row>
    <row r="184" spans="1:42" ht="15.75" customHeight="1" x14ac:dyDescent="0.3">
      <c r="A184" s="7">
        <v>544008</v>
      </c>
      <c r="B184" s="11" t="s">
        <v>157</v>
      </c>
      <c r="C184" s="315">
        <f ca="1">IFERROR(__xludf.DUMMYFUNCTION("GOOGLEFINANCE(""bom:""&amp;A184,""price"")"),626.7)</f>
        <v>626.70000000000005</v>
      </c>
      <c r="D184" s="321">
        <f ca="1">IFERROR(__xludf.DUMMYFUNCTION("GOOGLEFINANCE(""bom:""&amp;A184,""marketcap"")/10000000"),10094.0423579)</f>
        <v>10094.0423579</v>
      </c>
      <c r="E184" s="141"/>
      <c r="F184" s="141"/>
      <c r="G184" s="141"/>
      <c r="H184" s="141"/>
      <c r="I184" s="141"/>
      <c r="J184" s="141"/>
      <c r="K184" s="141"/>
      <c r="L184" s="141"/>
      <c r="M184" s="141"/>
      <c r="N184" s="86"/>
      <c r="O184" s="86"/>
      <c r="P184" s="324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</row>
    <row r="185" spans="1:42" ht="15.75" customHeight="1" x14ac:dyDescent="0.3">
      <c r="A185" s="7">
        <v>504882</v>
      </c>
      <c r="B185" s="11" t="s">
        <v>160</v>
      </c>
      <c r="C185" s="315">
        <f ca="1">IFERROR(__xludf.DUMMYFUNCTION("GOOGLEFINANCE(""bom:""&amp;A185,""price"")"),4363.05)</f>
        <v>4363.05</v>
      </c>
      <c r="D185" s="321">
        <f ca="1">IFERROR(__xludf.DUMMYFUNCTION("GOOGLEFINANCE(""bom:""&amp;A185,""marketcap"")/10000000"),8726.0996093)</f>
        <v>8726.0996092999994</v>
      </c>
      <c r="E185" s="141"/>
      <c r="F185" s="141"/>
      <c r="G185" s="141"/>
      <c r="H185" s="141"/>
      <c r="I185" s="141"/>
      <c r="J185" s="141"/>
      <c r="K185" s="141"/>
      <c r="L185" s="141"/>
      <c r="M185" s="141"/>
      <c r="N185" s="86"/>
      <c r="O185" s="86"/>
      <c r="P185" s="324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</row>
    <row r="186" spans="1:42" ht="15.75" customHeight="1" x14ac:dyDescent="0.3">
      <c r="A186" s="7">
        <v>543669</v>
      </c>
      <c r="B186" s="11" t="s">
        <v>162</v>
      </c>
      <c r="C186" s="315">
        <f ca="1">IFERROR(__xludf.DUMMYFUNCTION("GOOGLEFINANCE(""bom:""&amp;A186,""price"")"),686)</f>
        <v>686</v>
      </c>
      <c r="D186" s="321">
        <f ca="1">IFERROR(__xludf.DUMMYFUNCTION("GOOGLEFINANCE(""bom:""&amp;A186,""marketcap"")/10000000"),8657.51217)</f>
        <v>8657.51217</v>
      </c>
      <c r="E186" s="141"/>
      <c r="F186" s="141"/>
      <c r="G186" s="141"/>
      <c r="H186" s="141"/>
      <c r="I186" s="141"/>
      <c r="J186" s="141"/>
      <c r="K186" s="141"/>
      <c r="L186" s="141"/>
      <c r="M186" s="141"/>
      <c r="N186" s="86"/>
      <c r="O186" s="86"/>
      <c r="P186" s="324"/>
      <c r="Q186" s="86" t="s">
        <v>346</v>
      </c>
      <c r="R186" s="86"/>
      <c r="S186" s="86"/>
      <c r="T186" s="91">
        <v>211</v>
      </c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</row>
    <row r="187" spans="1:42" ht="15.75" customHeight="1" x14ac:dyDescent="0.3">
      <c r="A187" s="7">
        <v>532832</v>
      </c>
      <c r="B187" s="11" t="s">
        <v>347</v>
      </c>
      <c r="C187" s="315">
        <f ca="1">IFERROR(__xludf.DUMMYFUNCTION("GOOGLEFINANCE(""bom:""&amp;A187,""price"")"),130.6)</f>
        <v>130.6</v>
      </c>
      <c r="D187" s="321">
        <f ca="1">IFERROR(__xludf.DUMMYFUNCTION("GOOGLEFINANCE(""bom:""&amp;A187,""marketcap"")/10000000"),8258.1616)</f>
        <v>8258.1615999999995</v>
      </c>
      <c r="E187" s="141"/>
      <c r="F187" s="141"/>
      <c r="G187" s="141"/>
      <c r="H187" s="141"/>
      <c r="I187" s="141"/>
      <c r="J187" s="141"/>
      <c r="K187" s="141"/>
      <c r="L187" s="141"/>
      <c r="M187" s="141"/>
      <c r="N187" s="86"/>
      <c r="O187" s="86"/>
      <c r="P187" s="324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</row>
    <row r="188" spans="1:42" ht="15.75" customHeight="1" x14ac:dyDescent="0.3">
      <c r="A188" s="7">
        <v>532313</v>
      </c>
      <c r="B188" s="11" t="s">
        <v>164</v>
      </c>
      <c r="C188" s="315">
        <f ca="1">IFERROR(__xludf.DUMMYFUNCTION("GOOGLEFINANCE(""bom:""&amp;A188,""price"")"),479)</f>
        <v>479</v>
      </c>
      <c r="D188" s="321">
        <f ca="1">IFERROR(__xludf.DUMMYFUNCTION("GOOGLEFINANCE(""bom:""&amp;A188,""marketcap"")/10000000"),7419.3141453)</f>
        <v>7419.3141452999998</v>
      </c>
      <c r="E188" s="141"/>
      <c r="F188" s="141"/>
      <c r="G188" s="141"/>
      <c r="H188" s="141"/>
      <c r="I188" s="141"/>
      <c r="J188" s="141"/>
      <c r="K188" s="141"/>
      <c r="L188" s="141"/>
      <c r="M188" s="141"/>
      <c r="N188" s="86"/>
      <c r="O188" s="86"/>
      <c r="P188" s="327" t="s">
        <v>158</v>
      </c>
      <c r="Q188" s="86" t="s">
        <v>348</v>
      </c>
      <c r="R188" s="86"/>
      <c r="S188" s="86"/>
      <c r="T188" s="91">
        <v>973</v>
      </c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</row>
    <row r="189" spans="1:42" ht="15.75" customHeight="1" x14ac:dyDescent="0.3">
      <c r="A189" s="7">
        <v>512179</v>
      </c>
      <c r="B189" s="11" t="s">
        <v>165</v>
      </c>
      <c r="C189" s="315">
        <f ca="1">IFERROR(__xludf.DUMMYFUNCTION("GOOGLEFINANCE(""bom:""&amp;A189,""price"")"),516)</f>
        <v>516</v>
      </c>
      <c r="D189" s="321">
        <f ca="1">IFERROR(__xludf.DUMMYFUNCTION("GOOGLEFINANCE(""bom:""&amp;A189,""marketcap"")/10000000"),7555.9024411)</f>
        <v>7555.9024411</v>
      </c>
      <c r="E189" s="141"/>
      <c r="F189" s="141"/>
      <c r="G189" s="141"/>
      <c r="H189" s="141"/>
      <c r="I189" s="141"/>
      <c r="J189" s="141"/>
      <c r="K189" s="141"/>
      <c r="L189" s="141"/>
      <c r="M189" s="141"/>
      <c r="N189" s="86"/>
      <c r="O189" s="86"/>
      <c r="P189" s="324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</row>
    <row r="190" spans="1:42" ht="15.75" customHeight="1" x14ac:dyDescent="0.3">
      <c r="A190" s="7">
        <v>543249</v>
      </c>
      <c r="B190" s="11" t="s">
        <v>166</v>
      </c>
      <c r="C190" s="315">
        <f ca="1">IFERROR(__xludf.DUMMYFUNCTION("GOOGLEFINANCE(""bom:""&amp;A190,""price"")"),181.75)</f>
        <v>181.75</v>
      </c>
      <c r="D190" s="321">
        <f ca="1">IFERROR(__xludf.DUMMYFUNCTION("GOOGLEFINANCE(""bom:""&amp;A190,""marketcap"")/10000000"),5358.9489881)</f>
        <v>5358.9489881</v>
      </c>
      <c r="E190" s="141"/>
      <c r="F190" s="141"/>
      <c r="G190" s="141"/>
      <c r="H190" s="141"/>
      <c r="I190" s="141"/>
      <c r="J190" s="141"/>
      <c r="K190" s="141"/>
      <c r="L190" s="141"/>
      <c r="M190" s="141"/>
      <c r="N190" s="86"/>
      <c r="O190" s="86"/>
      <c r="P190" s="324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</row>
    <row r="191" spans="1:42" ht="15.75" customHeight="1" x14ac:dyDescent="0.3">
      <c r="A191" s="7">
        <v>543242</v>
      </c>
      <c r="B191" s="11" t="s">
        <v>349</v>
      </c>
      <c r="C191" s="315">
        <f ca="1">IFERROR(__xludf.DUMMYFUNCTION("GOOGLEFINANCE(""bom:""&amp;A191,""price"")"),174.25)</f>
        <v>174.25</v>
      </c>
      <c r="D191" s="321">
        <f ca="1">IFERROR(__xludf.DUMMYFUNCTION("GOOGLEFINANCE(""bom:""&amp;A191,""marketcap"")/10000000"),4965.8514275)</f>
        <v>4965.8514274999998</v>
      </c>
      <c r="E191" s="141"/>
      <c r="F191" s="141"/>
      <c r="G191" s="141"/>
      <c r="H191" s="141"/>
      <c r="I191" s="141"/>
      <c r="J191" s="141"/>
      <c r="K191" s="141"/>
      <c r="L191" s="141"/>
      <c r="M191" s="141"/>
      <c r="N191" s="86"/>
      <c r="O191" s="86"/>
      <c r="P191" s="324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</row>
    <row r="192" spans="1:42" ht="15.75" customHeight="1" x14ac:dyDescent="0.3">
      <c r="A192" s="7">
        <v>513349</v>
      </c>
      <c r="B192" s="11" t="s">
        <v>167</v>
      </c>
      <c r="C192" s="315">
        <f ca="1">IFERROR(__xludf.DUMMYFUNCTION("GOOGLEFINANCE(""bom:""&amp;A192,""price"")"),1110.9)</f>
        <v>1110.9000000000001</v>
      </c>
      <c r="D192" s="321">
        <f ca="1">IFERROR(__xludf.DUMMYFUNCTION("GOOGLEFINANCE(""bom:""&amp;A192,""marketcap"")/10000000"),4393.2647822)</f>
        <v>4393.2647821999999</v>
      </c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</row>
    <row r="193" spans="1:42" ht="15.75" customHeight="1" x14ac:dyDescent="0.3">
      <c r="A193" s="7">
        <v>539301</v>
      </c>
      <c r="B193" s="11" t="s">
        <v>168</v>
      </c>
      <c r="C193" s="315">
        <f ca="1">IFERROR(__xludf.DUMMYFUNCTION("GOOGLEFINANCE(""bom:""&amp;A193,""price"")"),959.95)</f>
        <v>959.95</v>
      </c>
      <c r="D193" s="321">
        <f ca="1">IFERROR(__xludf.DUMMYFUNCTION("GOOGLEFINANCE(""bom:""&amp;A193,""marketcap"")/10000000"),4362.2968935)</f>
        <v>4362.2968934999999</v>
      </c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</row>
    <row r="194" spans="1:42" ht="15.75" customHeight="1" x14ac:dyDescent="0.3">
      <c r="A194" s="7">
        <v>506235</v>
      </c>
      <c r="B194" s="11" t="s">
        <v>169</v>
      </c>
      <c r="C194" s="315">
        <f ca="1">IFERROR(__xludf.DUMMYFUNCTION("GOOGLEFINANCE(""bom:""&amp;A194,""price"")"),143.05)</f>
        <v>143.05000000000001</v>
      </c>
      <c r="D194" s="321">
        <f ca="1">IFERROR(__xludf.DUMMYFUNCTION("GOOGLEFINANCE(""bom:""&amp;A194,""marketcap"")/10000000"),3686.3594581)</f>
        <v>3686.3594581000002</v>
      </c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</row>
    <row r="195" spans="1:42" ht="15.75" customHeight="1" x14ac:dyDescent="0.3">
      <c r="A195" s="7">
        <v>532799</v>
      </c>
      <c r="B195" s="11" t="s">
        <v>170</v>
      </c>
      <c r="C195" s="315">
        <f ca="1">IFERROR(__xludf.DUMMYFUNCTION("GOOGLEFINANCE(""bom:""&amp;A195,""price"")"),283)</f>
        <v>283</v>
      </c>
      <c r="D195" s="321">
        <f ca="1">IFERROR(__xludf.DUMMYFUNCTION("GOOGLEFINANCE(""bom:""&amp;A195,""marketcap"")/10000000"),3648.9805049)</f>
        <v>3648.9805049000001</v>
      </c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</row>
    <row r="196" spans="1:42" ht="15.75" customHeight="1" x14ac:dyDescent="0.3">
      <c r="A196" s="7">
        <v>523716</v>
      </c>
      <c r="B196" s="11" t="s">
        <v>171</v>
      </c>
      <c r="C196" s="315">
        <f ca="1">IFERROR(__xludf.DUMMYFUNCTION("GOOGLEFINANCE(""bom:""&amp;A196,""price"")"),330)</f>
        <v>330</v>
      </c>
      <c r="D196" s="321">
        <f ca="1">IFERROR(__xludf.DUMMYFUNCTION("GOOGLEFINANCE(""bom:""&amp;A196,""marketcap"")/10000000"),3317.8209012)</f>
        <v>3317.8209012000002</v>
      </c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</row>
    <row r="197" spans="1:42" ht="15.75" customHeight="1" x14ac:dyDescent="0.3">
      <c r="A197" s="7">
        <v>503101</v>
      </c>
      <c r="B197" s="11" t="s">
        <v>173</v>
      </c>
      <c r="C197" s="315">
        <f ca="1">IFERROR(__xludf.DUMMYFUNCTION("GOOGLEFINANCE(""bom:""&amp;A197,""price"")"),610.95)</f>
        <v>610.95000000000005</v>
      </c>
      <c r="D197" s="321">
        <f ca="1">IFERROR(__xludf.DUMMYFUNCTION("GOOGLEFINANCE(""bom:""&amp;A197,""marketcap"")/10000000"),3116.2712971)</f>
        <v>3116.2712971000001</v>
      </c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</row>
    <row r="198" spans="1:42" ht="15.75" customHeight="1" x14ac:dyDescent="0.3">
      <c r="A198" s="7">
        <v>544054</v>
      </c>
      <c r="B198" s="11" t="s">
        <v>175</v>
      </c>
      <c r="C198" s="315">
        <f ca="1">IFERROR(__xludf.DUMMYFUNCTION("GOOGLEFINANCE(""bom:""&amp;A198,""price"")"),620.3)</f>
        <v>620.29999999999995</v>
      </c>
      <c r="D198" s="321">
        <f ca="1">IFERROR(__xludf.DUMMYFUNCTION("GOOGLEFINANCE(""bom:""&amp;A198,""marketcap"")/10000000"),2953.1044117)</f>
        <v>2953.1044117000001</v>
      </c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</row>
    <row r="199" spans="1:42" ht="15.75" customHeight="1" x14ac:dyDescent="0.3">
      <c r="A199" s="7">
        <v>532924</v>
      </c>
      <c r="B199" s="11" t="s">
        <v>180</v>
      </c>
      <c r="C199" s="315">
        <f ca="1">IFERROR(__xludf.DUMMYFUNCTION("GOOGLEFINANCE(""bom:""&amp;A199,""price"")"),376.65)</f>
        <v>376.65</v>
      </c>
      <c r="D199" s="316">
        <f ca="1">IFERROR(__xludf.DUMMYFUNCTION("GOOGLEFINANCE(""bom:""&amp;A199,""marketcap"")/10000000"),2860.4260167)</f>
        <v>2860.4260167000002</v>
      </c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</row>
    <row r="200" spans="1:42" ht="15.75" customHeight="1" x14ac:dyDescent="0.3">
      <c r="A200" s="7">
        <v>507878</v>
      </c>
      <c r="B200" s="11" t="s">
        <v>181</v>
      </c>
      <c r="C200" s="315">
        <f ca="1">IFERROR(__xludf.DUMMYFUNCTION("GOOGLEFINANCE(""bom:""&amp;A200,""price"")"),9.85)</f>
        <v>9.85</v>
      </c>
      <c r="D200" s="316">
        <f ca="1">IFERROR(__xludf.DUMMYFUNCTION("GOOGLEFINANCE(""bom:""&amp;A200,""marketcap"")/10000000"),2571.82288)</f>
        <v>2571.8228800000002</v>
      </c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</row>
    <row r="201" spans="1:42" ht="15.75" customHeight="1" x14ac:dyDescent="0.3">
      <c r="A201" s="7">
        <v>543218</v>
      </c>
      <c r="B201" s="11" t="s">
        <v>182</v>
      </c>
      <c r="C201" s="315">
        <f ca="1">IFERROR(__xludf.DUMMYFUNCTION("GOOGLEFINANCE(""bom:""&amp;A201,""price"")"),134.05)</f>
        <v>134.05000000000001</v>
      </c>
      <c r="D201" s="316">
        <f ca="1">IFERROR(__xludf.DUMMYFUNCTION("GOOGLEFINANCE(""bom:""&amp;A201,""marketcap"")/10000000"),2343.8961259)</f>
        <v>2343.8961258999998</v>
      </c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</row>
    <row r="202" spans="1:42" ht="15.75" customHeight="1" x14ac:dyDescent="0.3">
      <c r="A202" s="7">
        <v>543542</v>
      </c>
      <c r="B202" s="11" t="s">
        <v>183</v>
      </c>
      <c r="C202" s="315">
        <f ca="1">IFERROR(__xludf.DUMMYFUNCTION("GOOGLEFINANCE(""bom:""&amp;A202,""price"")"),908.75)</f>
        <v>908.75</v>
      </c>
      <c r="D202" s="316">
        <f ca="1">IFERROR(__xludf.DUMMYFUNCTION("GOOGLEFINANCE(""bom:""&amp;A202,""marketcap"")/10000000"),2245.7747912)</f>
        <v>2245.7747912</v>
      </c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</row>
    <row r="203" spans="1:42" ht="15.75" customHeight="1" x14ac:dyDescent="0.3">
      <c r="A203" s="7">
        <v>539042</v>
      </c>
      <c r="B203" s="11" t="s">
        <v>185</v>
      </c>
      <c r="C203" s="315">
        <f ca="1">IFERROR(__xludf.DUMMYFUNCTION("GOOGLEFINANCE(""bom:""&amp;A203,""price"")"),1758.15)</f>
        <v>1758.15</v>
      </c>
      <c r="D203" s="316">
        <f ca="1">IFERROR(__xludf.DUMMYFUNCTION("GOOGLEFINANCE(""bom:""&amp;A203,""marketcap"")/10000000"),2174.57438)</f>
        <v>2174.57438</v>
      </c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</row>
    <row r="204" spans="1:42" ht="15.75" customHeight="1" x14ac:dyDescent="0.3">
      <c r="A204" s="7">
        <v>532880</v>
      </c>
      <c r="B204" s="11" t="s">
        <v>186</v>
      </c>
      <c r="C204" s="315">
        <f ca="1">IFERROR(__xludf.DUMMYFUNCTION("GOOGLEFINANCE(""bom:""&amp;A204,""price"")"),115.59)</f>
        <v>115.59</v>
      </c>
      <c r="D204" s="316">
        <f ca="1">IFERROR(__xludf.DUMMYFUNCTION("GOOGLEFINANCE(""bom:""&amp;A204,""marketcap"")/10000000"),2114.4953184)</f>
        <v>2114.4953184000001</v>
      </c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</row>
    <row r="205" spans="1:42" ht="15.75" customHeight="1" x14ac:dyDescent="0.3">
      <c r="A205" s="7">
        <v>504000</v>
      </c>
      <c r="B205" s="11" t="s">
        <v>187</v>
      </c>
      <c r="C205" s="315">
        <f ca="1">IFERROR(__xludf.DUMMYFUNCTION("GOOGLEFINANCE(""bom:""&amp;A205,""price"")"),121.35)</f>
        <v>121.35</v>
      </c>
      <c r="D205" s="316">
        <f ca="1">IFERROR(__xludf.DUMMYFUNCTION("GOOGLEFINANCE(""bom:""&amp;A205,""marketcap"")/10000000"),2054.0866402)</f>
        <v>2054.0866402000001</v>
      </c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</row>
    <row r="206" spans="1:42" ht="15.75" customHeight="1" x14ac:dyDescent="0.3">
      <c r="A206" s="7">
        <v>543419</v>
      </c>
      <c r="B206" s="11" t="s">
        <v>188</v>
      </c>
      <c r="C206" s="315">
        <f ca="1">IFERROR(__xludf.DUMMYFUNCTION("GOOGLEFINANCE(""bom:""&amp;A206,""price"")"),109.9)</f>
        <v>109.9</v>
      </c>
      <c r="D206" s="316">
        <f ca="1">IFERROR(__xludf.DUMMYFUNCTION("GOOGLEFINANCE(""bom:""&amp;A206,""marketcap"")/10000000"),1869.1574876)</f>
        <v>1869.1574876</v>
      </c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</row>
    <row r="207" spans="1:42" ht="15.75" customHeight="1" x14ac:dyDescent="0.3">
      <c r="A207" s="7">
        <v>506194</v>
      </c>
      <c r="B207" s="11" t="s">
        <v>350</v>
      </c>
      <c r="C207" s="315">
        <f ca="1">IFERROR(__xludf.DUMMYFUNCTION("GOOGLEFINANCE(""bom:""&amp;A207,""price"")"),455)</f>
        <v>455</v>
      </c>
      <c r="D207" s="316">
        <f ca="1">IFERROR(__xludf.DUMMYFUNCTION("GOOGLEFINANCE(""bom:""&amp;A207,""marketcap"")/10000000"),1865.5760935)</f>
        <v>1865.5760935000001</v>
      </c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</row>
    <row r="208" spans="1:42" ht="15.75" customHeight="1" x14ac:dyDescent="0.3">
      <c r="A208" s="7">
        <v>503031</v>
      </c>
      <c r="B208" s="11" t="s">
        <v>190</v>
      </c>
      <c r="C208" s="315">
        <f ca="1">IFERROR(__xludf.DUMMYFUNCTION("GOOGLEFINANCE(""bom:""&amp;A208,""price"")"),47.9)</f>
        <v>47.9</v>
      </c>
      <c r="D208" s="316">
        <f ca="1">IFERROR(__xludf.DUMMYFUNCTION("GOOGLEFINANCE(""bom:""&amp;A208,""marketcap"")/10000000"),1555.20576)</f>
        <v>1555.2057600000001</v>
      </c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</row>
    <row r="209" spans="1:42" ht="15.75" customHeight="1" x14ac:dyDescent="0.3">
      <c r="A209" s="7">
        <v>543898</v>
      </c>
      <c r="B209" s="11" t="s">
        <v>351</v>
      </c>
      <c r="C209" s="315">
        <f ca="1">IFERROR(__xludf.DUMMYFUNCTION("GOOGLEFINANCE(""bom:""&amp;A209,""price"")"),242.05)</f>
        <v>242.05</v>
      </c>
      <c r="D209" s="316">
        <f ca="1">IFERROR(__xludf.DUMMYFUNCTION("GOOGLEFINANCE(""bom:""&amp;A209,""marketcap"")/10000000"),1011.961593)</f>
        <v>1011.961593</v>
      </c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</row>
    <row r="210" spans="1:42" ht="15.75" customHeight="1" x14ac:dyDescent="0.3">
      <c r="A210" s="7">
        <v>532467</v>
      </c>
      <c r="B210" s="11" t="s">
        <v>191</v>
      </c>
      <c r="C210" s="315">
        <f ca="1">IFERROR(__xludf.DUMMYFUNCTION("GOOGLEFINANCE(""bom:""&amp;A210,""price"")"),52.45)</f>
        <v>52.45</v>
      </c>
      <c r="D210" s="316">
        <f ca="1">IFERROR(__xludf.DUMMYFUNCTION("GOOGLEFINANCE(""bom:""&amp;A210,""marketcap"")/10000000"),1033.335298)</f>
        <v>1033.335298</v>
      </c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</row>
    <row r="211" spans="1:42" ht="15.75" customHeight="1" x14ac:dyDescent="0.3">
      <c r="A211" s="7">
        <v>532780</v>
      </c>
      <c r="B211" s="11" t="s">
        <v>192</v>
      </c>
      <c r="C211" s="315">
        <f ca="1">IFERROR(__xludf.DUMMYFUNCTION("GOOGLEFINANCE(""bom:""&amp;A211,""price"")"),24.06)</f>
        <v>24.06</v>
      </c>
      <c r="D211" s="316">
        <f ca="1">IFERROR(__xludf.DUMMYFUNCTION("GOOGLEFINANCE(""bom:""&amp;A211,""marketcap"")/10000000"),1048.4435893)</f>
        <v>1048.4435893</v>
      </c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</row>
    <row r="212" spans="1:42" ht="15.75" customHeight="1" x14ac:dyDescent="0.3">
      <c r="A212" s="7">
        <v>532764</v>
      </c>
      <c r="B212" s="11" t="s">
        <v>195</v>
      </c>
      <c r="C212" s="315">
        <f ca="1">IFERROR(__xludf.DUMMYFUNCTION("GOOGLEFINANCE(""bom:""&amp;A212,""price"")"),448.2)</f>
        <v>448.2</v>
      </c>
      <c r="D212" s="316">
        <f ca="1">IFERROR(__xludf.DUMMYFUNCTION("GOOGLEFINANCE(""bom:""&amp;A212,""marketcap"")/10000000"),934.4406678)</f>
        <v>934.44066780000003</v>
      </c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</row>
    <row r="213" spans="1:42" ht="15.75" customHeight="1" x14ac:dyDescent="0.3">
      <c r="A213" s="7">
        <v>523329</v>
      </c>
      <c r="B213" s="11" t="s">
        <v>197</v>
      </c>
      <c r="C213" s="315">
        <f ca="1">IFERROR(__xludf.DUMMYFUNCTION("GOOGLEFINANCE(""bom:""&amp;A213,""price"")"),956.8)</f>
        <v>956.8</v>
      </c>
      <c r="D213" s="316">
        <f ca="1">IFERROR(__xludf.DUMMYFUNCTION("GOOGLEFINANCE(""bom:""&amp;A213,""marketcap"")/10000000"),912.895744)</f>
        <v>912.89574400000004</v>
      </c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</row>
    <row r="214" spans="1:42" ht="15.75" customHeight="1" x14ac:dyDescent="0.3">
      <c r="A214" s="7">
        <v>533285</v>
      </c>
      <c r="B214" s="11" t="s">
        <v>196</v>
      </c>
      <c r="C214" s="315">
        <f ca="1">IFERROR(__xludf.DUMMYFUNCTION("GOOGLEFINANCE(""bom:""&amp;A214,""price"")"),520)</f>
        <v>520</v>
      </c>
      <c r="D214" s="316">
        <f ca="1">IFERROR(__xludf.DUMMYFUNCTION("GOOGLEFINANCE(""bom:""&amp;A214,""marketcap"")/10000000"),905.4768442)</f>
        <v>905.47684419999996</v>
      </c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</row>
    <row r="215" spans="1:42" ht="15.75" customHeight="1" x14ac:dyDescent="0.3">
      <c r="A215" s="7">
        <v>531381</v>
      </c>
      <c r="B215" s="11" t="s">
        <v>198</v>
      </c>
      <c r="C215" s="315">
        <f ca="1">IFERROR(__xludf.DUMMYFUNCTION("GOOGLEFINANCE(""bom:""&amp;A215,""price"")"),831.9)</f>
        <v>831.9</v>
      </c>
      <c r="D215" s="316">
        <f ca="1">IFERROR(__xludf.DUMMYFUNCTION("GOOGLEFINANCE(""bom:""&amp;A215,""marketcap"")/10000000"),829.0402848)</f>
        <v>829.04028479999999</v>
      </c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</row>
    <row r="216" spans="1:42" ht="15.75" customHeight="1" x14ac:dyDescent="0.3">
      <c r="A216" s="7">
        <v>526407</v>
      </c>
      <c r="B216" s="11" t="s">
        <v>201</v>
      </c>
      <c r="C216" s="315">
        <f ca="1">IFERROR(__xludf.DUMMYFUNCTION("GOOGLEFINANCE(""bom:""&amp;A216,""price"")"),31.3)</f>
        <v>31.3</v>
      </c>
      <c r="D216" s="316">
        <f ca="1">IFERROR(__xludf.DUMMYFUNCTION("GOOGLEFINANCE(""bom:""&amp;A216,""marketcap"")/10000000"),862.1090234)</f>
        <v>862.10902339999996</v>
      </c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</row>
    <row r="217" spans="1:42" ht="15.75" customHeight="1" x14ac:dyDescent="0.3">
      <c r="A217" s="7">
        <v>517556</v>
      </c>
      <c r="B217" s="11" t="s">
        <v>203</v>
      </c>
      <c r="C217" s="315">
        <f ca="1">IFERROR(__xludf.DUMMYFUNCTION("GOOGLEFINANCE(""bom:""&amp;A217,""price"")"),27.87)</f>
        <v>27.87</v>
      </c>
      <c r="D217" s="316">
        <f ca="1">IFERROR(__xludf.DUMMYFUNCTION("GOOGLEFINANCE(""bom:""&amp;A217,""marketcap"")/10000000"),718.7139459)</f>
        <v>718.7139459</v>
      </c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</row>
    <row r="218" spans="1:42" ht="15.75" customHeight="1" x14ac:dyDescent="0.3">
      <c r="A218" s="7">
        <v>542231</v>
      </c>
      <c r="B218" s="11" t="s">
        <v>204</v>
      </c>
      <c r="C218" s="315">
        <f ca="1">IFERROR(__xludf.DUMMYFUNCTION("GOOGLEFINANCE(""bom:""&amp;A218,""price"")"),18.66)</f>
        <v>18.66</v>
      </c>
      <c r="D218" s="316">
        <f ca="1">IFERROR(__xludf.DUMMYFUNCTION("GOOGLEFINANCE(""bom:""&amp;A218,""marketcap"")/10000000"),734.5876541)</f>
        <v>734.58765410000001</v>
      </c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</row>
    <row r="219" spans="1:42" ht="15.75" customHeight="1" x14ac:dyDescent="0.3">
      <c r="A219" s="7">
        <v>541161</v>
      </c>
      <c r="B219" s="11" t="s">
        <v>205</v>
      </c>
      <c r="C219" s="315">
        <f ca="1">IFERROR(__xludf.DUMMYFUNCTION("GOOGLEFINANCE(""bom:""&amp;A219,""price"")"),2.15)</f>
        <v>2.15</v>
      </c>
      <c r="D219" s="316">
        <f ca="1">IFERROR(__xludf.DUMMYFUNCTION("GOOGLEFINANCE(""bom:""&amp;A219,""marketcap"")/10000000"),562.0915099)</f>
        <v>562.09150990000001</v>
      </c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</row>
    <row r="220" spans="1:42" ht="15.75" customHeight="1" x14ac:dyDescent="0.3">
      <c r="A220" s="7">
        <v>533218</v>
      </c>
      <c r="B220" s="11" t="s">
        <v>352</v>
      </c>
      <c r="C220" s="315">
        <f ca="1">IFERROR(__xludf.DUMMYFUNCTION("GOOGLEFINANCE(""bom:""&amp;A220,""price"")"),138.05)</f>
        <v>138.05000000000001</v>
      </c>
      <c r="D220" s="316">
        <f ca="1">IFERROR(__xludf.DUMMYFUNCTION("GOOGLEFINANCE(""bom:""&amp;A220,""marketcap"")/10000000"),527.506)</f>
        <v>527.50599999999997</v>
      </c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</row>
    <row r="221" spans="1:42" ht="15.75" customHeight="1" x14ac:dyDescent="0.3">
      <c r="A221" s="7">
        <v>530377</v>
      </c>
      <c r="B221" s="11" t="s">
        <v>353</v>
      </c>
      <c r="C221" s="315">
        <f ca="1">IFERROR(__xludf.DUMMYFUNCTION("GOOGLEFINANCE(""bom:""&amp;A221,""price"")"),14.09)</f>
        <v>14.09</v>
      </c>
      <c r="D221" s="316">
        <f ca="1">IFERROR(__xludf.DUMMYFUNCTION("GOOGLEFINANCE(""bom:""&amp;A221,""marketcap"")/10000000"),559.3225144)</f>
        <v>559.32251440000005</v>
      </c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</row>
    <row r="222" spans="1:42" ht="15.75" customHeight="1" x14ac:dyDescent="0.3">
      <c r="A222" s="7">
        <v>543539</v>
      </c>
      <c r="B222" s="11" t="s">
        <v>207</v>
      </c>
      <c r="C222" s="315">
        <f ca="1">IFERROR(__xludf.DUMMYFUNCTION("GOOGLEFINANCE(""bom:""&amp;A222,""price"")"),260.5)</f>
        <v>260.5</v>
      </c>
      <c r="D222" s="316">
        <f ca="1">IFERROR(__xludf.DUMMYFUNCTION("GOOGLEFINANCE(""bom:""&amp;A222,""marketcap"")/10000000"),497.3254995)</f>
        <v>497.32549949999998</v>
      </c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</row>
    <row r="223" spans="1:42" ht="15.75" customHeight="1" x14ac:dyDescent="0.3">
      <c r="A223" s="7">
        <v>532807</v>
      </c>
      <c r="B223" s="11" t="s">
        <v>354</v>
      </c>
      <c r="C223" s="315">
        <f ca="1">IFERROR(__xludf.DUMMYFUNCTION("GOOGLEFINANCE(""bom:""&amp;A223,""price"")"),132.25)</f>
        <v>132.25</v>
      </c>
      <c r="D223" s="316">
        <f ca="1">IFERROR(__xludf.DUMMYFUNCTION("GOOGLEFINANCE(""bom:""&amp;A223,""marketcap"")/10000000"),455.7092713)</f>
        <v>455.70927130000001</v>
      </c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</row>
    <row r="224" spans="1:42" ht="15.75" customHeight="1" x14ac:dyDescent="0.3">
      <c r="A224" s="7">
        <v>543251</v>
      </c>
      <c r="B224" s="11" t="s">
        <v>208</v>
      </c>
      <c r="C224" s="315">
        <f ca="1">IFERROR(__xludf.DUMMYFUNCTION("GOOGLEFINANCE(""bom:""&amp;A224,""price"")"),74.59)</f>
        <v>74.59</v>
      </c>
      <c r="D224" s="316">
        <f ca="1">IFERROR(__xludf.DUMMYFUNCTION("GOOGLEFINANCE(""bom:""&amp;A224,""marketcap"")/10000000"),459.3298768)</f>
        <v>459.32987680000002</v>
      </c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</row>
    <row r="225" spans="1:42" ht="15.75" customHeight="1" x14ac:dyDescent="0.3">
      <c r="A225" s="7">
        <v>543543</v>
      </c>
      <c r="B225" s="11" t="s">
        <v>210</v>
      </c>
      <c r="C225" s="315">
        <f ca="1">IFERROR(__xludf.DUMMYFUNCTION("GOOGLEFINANCE(""bom:""&amp;A225,""price"")"),436)</f>
        <v>436</v>
      </c>
      <c r="D225" s="316">
        <f ca="1">IFERROR(__xludf.DUMMYFUNCTION("GOOGLEFINANCE(""bom:""&amp;A225,""marketcap"")/10000000"),450.44032)</f>
        <v>450.44031999999999</v>
      </c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</row>
    <row r="226" spans="1:42" ht="15.75" customHeight="1" x14ac:dyDescent="0.3">
      <c r="A226" s="7">
        <v>511726</v>
      </c>
      <c r="B226" s="11" t="s">
        <v>355</v>
      </c>
      <c r="C226" s="315">
        <f ca="1">IFERROR(__xludf.DUMMYFUNCTION("GOOGLEFINANCE(""bom:""&amp;A226,""price"")"),26.78)</f>
        <v>26.78</v>
      </c>
      <c r="D226" s="316">
        <f ca="1">IFERROR(__xludf.DUMMYFUNCTION("GOOGLEFINANCE(""bom:""&amp;A226,""marketcap"")/10000000"),379.8855937)</f>
        <v>379.88559370000002</v>
      </c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</row>
    <row r="227" spans="1:42" ht="15.75" customHeight="1" x14ac:dyDescent="0.3">
      <c r="A227" s="7">
        <v>534675</v>
      </c>
      <c r="B227" s="11" t="s">
        <v>215</v>
      </c>
      <c r="C227" s="315">
        <f ca="1">IFERROR(__xludf.DUMMYFUNCTION("GOOGLEFINANCE(""bom:""&amp;A227,""price"")"),25.56)</f>
        <v>25.56</v>
      </c>
      <c r="D227" s="316">
        <f ca="1">IFERROR(__xludf.DUMMYFUNCTION("GOOGLEFINANCE(""bom:""&amp;A227,""marketcap"")/10000000"),388.8319274)</f>
        <v>388.83192739999998</v>
      </c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</row>
    <row r="228" spans="1:42" ht="15.75" customHeight="1" x14ac:dyDescent="0.3">
      <c r="A228" s="7">
        <v>530677</v>
      </c>
      <c r="B228" s="11" t="s">
        <v>216</v>
      </c>
      <c r="C228" s="315">
        <f ca="1">IFERROR(__xludf.DUMMYFUNCTION("GOOGLEFINANCE(""bom:""&amp;A228,""price"")"),90.75)</f>
        <v>90.75</v>
      </c>
      <c r="D228" s="316">
        <f ca="1">IFERROR(__xludf.DUMMYFUNCTION("GOOGLEFINANCE(""bom:""&amp;A228,""marketcap"")/10000000"),350.7201637)</f>
        <v>350.7201637</v>
      </c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</row>
    <row r="229" spans="1:42" ht="15.75" customHeight="1" x14ac:dyDescent="0.3">
      <c r="A229" s="7">
        <v>500343</v>
      </c>
      <c r="B229" s="11" t="s">
        <v>217</v>
      </c>
      <c r="C229" s="315">
        <f ca="1">IFERROR(__xludf.DUMMYFUNCTION("GOOGLEFINANCE(""bom:""&amp;A229,""price"")"),68.82)</f>
        <v>68.819999999999993</v>
      </c>
      <c r="D229" s="316">
        <f ca="1">IFERROR(__xludf.DUMMYFUNCTION("GOOGLEFINANCE(""bom:""&amp;A229,""marketcap"")/10000000"),283.4329887)</f>
        <v>283.43298870000001</v>
      </c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</row>
    <row r="230" spans="1:42" ht="15.75" customHeight="1" x14ac:dyDescent="0.3">
      <c r="A230" s="7">
        <v>511714</v>
      </c>
      <c r="B230" s="11" t="s">
        <v>218</v>
      </c>
      <c r="C230" s="315">
        <f ca="1">IFERROR(__xludf.DUMMYFUNCTION("GOOGLEFINANCE(""bom:""&amp;A230,""price"")"),258.7)</f>
        <v>258.7</v>
      </c>
      <c r="D230" s="316">
        <f ca="1">IFERROR(__xludf.DUMMYFUNCTION("GOOGLEFINANCE(""bom:""&amp;A230,""marketcap"")/10000000"),280.3788145)</f>
        <v>280.37881449999998</v>
      </c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</row>
    <row r="231" spans="1:42" ht="15.75" customHeight="1" x14ac:dyDescent="0.3">
      <c r="A231" s="7">
        <v>539407</v>
      </c>
      <c r="B231" s="11" t="s">
        <v>219</v>
      </c>
      <c r="C231" s="315">
        <f ca="1">IFERROR(__xludf.DUMMYFUNCTION("GOOGLEFINANCE(""bom:""&amp;A231,""price"")"),48.14)</f>
        <v>48.14</v>
      </c>
      <c r="D231" s="316">
        <f ca="1">IFERROR(__xludf.DUMMYFUNCTION("GOOGLEFINANCE(""bom:""&amp;A231,""marketcap"")/10000000"),274.1607078)</f>
        <v>274.16070780000001</v>
      </c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</row>
    <row r="232" spans="1:42" ht="15.75" customHeight="1" x14ac:dyDescent="0.3">
      <c r="A232" s="7">
        <v>543241</v>
      </c>
      <c r="B232" s="11" t="s">
        <v>221</v>
      </c>
      <c r="C232" s="315">
        <f ca="1">IFERROR(__xludf.DUMMYFUNCTION("GOOGLEFINANCE(""bom:""&amp;A232,""price"")"),160)</f>
        <v>160</v>
      </c>
      <c r="D232" s="316">
        <f ca="1">IFERROR(__xludf.DUMMYFUNCTION("GOOGLEFINANCE(""bom:""&amp;A232,""marketcap"")/10000000"),259.89456)</f>
        <v>259.89456000000001</v>
      </c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</row>
    <row r="233" spans="1:42" ht="15.75" customHeight="1" x14ac:dyDescent="0.3">
      <c r="A233" s="7">
        <v>535621</v>
      </c>
      <c r="B233" s="11" t="s">
        <v>222</v>
      </c>
      <c r="C233" s="315">
        <f ca="1">IFERROR(__xludf.DUMMYFUNCTION("GOOGLEFINANCE(""bom:""&amp;A233,""price"")"),125.25)</f>
        <v>125.25</v>
      </c>
      <c r="D233" s="316">
        <f ca="1">IFERROR(__xludf.DUMMYFUNCTION("GOOGLEFINANCE(""bom:""&amp;A233,""marketcap"")/10000000"),226.4891992)</f>
        <v>226.4891992</v>
      </c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</row>
    <row r="234" spans="1:42" ht="15.75" customHeight="1" x14ac:dyDescent="0.3">
      <c r="A234" s="7">
        <v>531746</v>
      </c>
      <c r="B234" s="11" t="s">
        <v>223</v>
      </c>
      <c r="C234" s="315">
        <f ca="1">IFERROR(__xludf.DUMMYFUNCTION("GOOGLEFINANCE(""bom:""&amp;A234,""price"")"),30.99)</f>
        <v>30.99</v>
      </c>
      <c r="D234" s="316">
        <f ca="1">IFERROR(__xludf.DUMMYFUNCTION("GOOGLEFINANCE(""bom:""&amp;A234,""marketcap"")/10000000"),220.5774565)</f>
        <v>220.57745650000001</v>
      </c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</row>
    <row r="235" spans="1:42" ht="15.75" customHeight="1" x14ac:dyDescent="0.3">
      <c r="A235" s="7">
        <v>526519</v>
      </c>
      <c r="B235" s="11" t="s">
        <v>225</v>
      </c>
      <c r="C235" s="315">
        <f ca="1">IFERROR(__xludf.DUMMYFUNCTION("GOOGLEFINANCE(""bom:""&amp;A235,""price"")"),120.55)</f>
        <v>120.55</v>
      </c>
      <c r="D235" s="316">
        <f ca="1">IFERROR(__xludf.DUMMYFUNCTION("GOOGLEFINANCE(""bom:""&amp;A235,""marketcap"")/10000000"),208.8153892)</f>
        <v>208.8153892</v>
      </c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</row>
    <row r="236" spans="1:42" ht="15.75" customHeight="1" x14ac:dyDescent="0.3">
      <c r="A236" s="7">
        <v>532334</v>
      </c>
      <c r="B236" s="11" t="s">
        <v>226</v>
      </c>
      <c r="C236" s="315">
        <f ca="1">IFERROR(__xludf.DUMMYFUNCTION("GOOGLEFINANCE(""bom:""&amp;A236,""price"")"),106.8)</f>
        <v>106.8</v>
      </c>
      <c r="D236" s="316">
        <f ca="1">IFERROR(__xludf.DUMMYFUNCTION("GOOGLEFINANCE(""bom:""&amp;A236,""marketcap"")/10000000"),207.7349662)</f>
        <v>207.7349662</v>
      </c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</row>
    <row r="237" spans="1:42" ht="15.75" customHeight="1" x14ac:dyDescent="0.3">
      <c r="A237" s="7">
        <v>543911</v>
      </c>
      <c r="B237" s="11" t="s">
        <v>229</v>
      </c>
      <c r="C237" s="315">
        <f ca="1">IFERROR(__xludf.DUMMYFUNCTION("GOOGLEFINANCE(""bom:""&amp;A237,""price"")"),12.32)</f>
        <v>12.32</v>
      </c>
      <c r="D237" s="316">
        <f ca="1">IFERROR(__xludf.DUMMYFUNCTION("GOOGLEFINANCE(""bom:""&amp;A237,""marketcap"")/10000000"),189.2460976)</f>
        <v>189.24609760000001</v>
      </c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</row>
    <row r="238" spans="1:42" ht="15.75" customHeight="1" x14ac:dyDescent="0.3">
      <c r="A238" s="7">
        <v>540796</v>
      </c>
      <c r="B238" s="11" t="s">
        <v>231</v>
      </c>
      <c r="C238" s="315">
        <f ca="1">IFERROR(__xludf.DUMMYFUNCTION("GOOGLEFINANCE(""bom:""&amp;A238,""price"")"),137)</f>
        <v>137</v>
      </c>
      <c r="D238" s="316">
        <f ca="1">IFERROR(__xludf.DUMMYFUNCTION("GOOGLEFINANCE(""bom:""&amp;A238,""marketcap"")/10000000"),187.69)</f>
        <v>187.69</v>
      </c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</row>
    <row r="239" spans="1:42" ht="15.75" customHeight="1" x14ac:dyDescent="0.3">
      <c r="A239" s="7">
        <v>532376</v>
      </c>
      <c r="B239" s="11" t="s">
        <v>356</v>
      </c>
      <c r="C239" s="315">
        <f ca="1">IFERROR(__xludf.DUMMYFUNCTION("GOOGLEFINANCE(""bom:""&amp;A239,""price"")"),93.07)</f>
        <v>93.07</v>
      </c>
      <c r="D239" s="316">
        <f ca="1">IFERROR(__xludf.DUMMYFUNCTION("GOOGLEFINANCE(""bom:""&amp;A239,""marketcap"")/10000000"),174.5784717)</f>
        <v>174.57847169999999</v>
      </c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</row>
    <row r="240" spans="1:42" ht="15.75" customHeight="1" x14ac:dyDescent="0.3">
      <c r="A240" s="7">
        <v>533167</v>
      </c>
      <c r="B240" s="11" t="s">
        <v>357</v>
      </c>
      <c r="C240" s="315">
        <f ca="1">IFERROR(__xludf.DUMMYFUNCTION("GOOGLEFINANCE(""bom:""&amp;A240,""price"")"),53.5)</f>
        <v>53.5</v>
      </c>
      <c r="D240" s="316">
        <f ca="1">IFERROR(__xludf.DUMMYFUNCTION("GOOGLEFINANCE(""bom:""&amp;A240,""marketcap"")/10000000"),180.4917)</f>
        <v>180.49170000000001</v>
      </c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</row>
    <row r="241" spans="1:42" ht="15.75" customHeight="1" x14ac:dyDescent="0.3">
      <c r="A241" s="7">
        <v>526654</v>
      </c>
      <c r="B241" s="11" t="s">
        <v>233</v>
      </c>
      <c r="C241" s="315">
        <f ca="1">IFERROR(__xludf.DUMMYFUNCTION("GOOGLEFINANCE(""bom:""&amp;A241,""price"")"),195.4)</f>
        <v>195.4</v>
      </c>
      <c r="D241" s="316">
        <f ca="1">IFERROR(__xludf.DUMMYFUNCTION("GOOGLEFINANCE(""bom:""&amp;A241,""marketcap"")/10000000"),175.8599945)</f>
        <v>175.8599945</v>
      </c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</row>
    <row r="242" spans="1:42" ht="15.75" customHeight="1" x14ac:dyDescent="0.3">
      <c r="A242" s="7">
        <v>503127</v>
      </c>
      <c r="B242" s="11" t="s">
        <v>234</v>
      </c>
      <c r="C242" s="315">
        <f ca="1">IFERROR(__xludf.DUMMYFUNCTION("GOOGLEFINANCE(""bom:""&amp;A242,""price"")"),6442)</f>
        <v>6442</v>
      </c>
      <c r="D242" s="316">
        <f ca="1">IFERROR(__xludf.DUMMYFUNCTION("GOOGLEFINANCE(""bom:""&amp;A242,""marketcap"")/10000000"),161.05)</f>
        <v>161.05000000000001</v>
      </c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</row>
    <row r="243" spans="1:42" ht="15.75" customHeight="1" x14ac:dyDescent="0.3">
      <c r="A243" s="7">
        <v>543376</v>
      </c>
      <c r="B243" s="11" t="s">
        <v>235</v>
      </c>
      <c r="C243" s="315">
        <f ca="1">IFERROR(__xludf.DUMMYFUNCTION("GOOGLEFINANCE(""bom:""&amp;A243,""price"")"),76.9)</f>
        <v>76.900000000000006</v>
      </c>
      <c r="D243" s="316">
        <f ca="1">IFERROR(__xludf.DUMMYFUNCTION("GOOGLEFINANCE(""bom:""&amp;A243,""marketcap"")/10000000"),165.3350032)</f>
        <v>165.33500319999999</v>
      </c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</row>
    <row r="244" spans="1:42" ht="15.75" customHeight="1" x14ac:dyDescent="0.3">
      <c r="A244" s="7">
        <v>540402</v>
      </c>
      <c r="B244" s="11" t="s">
        <v>236</v>
      </c>
      <c r="C244" s="315">
        <f ca="1">IFERROR(__xludf.DUMMYFUNCTION("GOOGLEFINANCE(""bom:""&amp;A244,""price"")"),390)</f>
        <v>390</v>
      </c>
      <c r="D244" s="316">
        <f ca="1">IFERROR(__xludf.DUMMYFUNCTION("GOOGLEFINANCE(""bom:""&amp;A244,""marketcap"")/10000000"),162.24)</f>
        <v>162.24</v>
      </c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</row>
    <row r="245" spans="1:42" ht="15.75" customHeight="1" x14ac:dyDescent="0.3">
      <c r="A245" s="7">
        <v>533012</v>
      </c>
      <c r="B245" s="11" t="s">
        <v>358</v>
      </c>
      <c r="C245" s="315">
        <f ca="1">IFERROR(__xludf.DUMMYFUNCTION("GOOGLEFINANCE(""bom:""&amp;A245,""price"")"),11.48)</f>
        <v>11.48</v>
      </c>
      <c r="D245" s="316">
        <f ca="1">IFERROR(__xludf.DUMMYFUNCTION("GOOGLEFINANCE(""bom:""&amp;A245,""marketcap"")/10000000"),152.7889955)</f>
        <v>152.7889955</v>
      </c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</row>
    <row r="246" spans="1:42" ht="15.75" customHeight="1" x14ac:dyDescent="0.3">
      <c r="A246" s="7">
        <v>531273</v>
      </c>
      <c r="B246" s="11" t="s">
        <v>238</v>
      </c>
      <c r="C246" s="315">
        <f ca="1">IFERROR(__xludf.DUMMYFUNCTION("GOOGLEFINANCE(""bom:""&amp;A246,""price"")"),3.05)</f>
        <v>3.05</v>
      </c>
      <c r="D246" s="316">
        <f ca="1">IFERROR(__xludf.DUMMYFUNCTION("GOOGLEFINANCE(""bom:""&amp;A246,""marketcap"")/10000000"),153.5973875)</f>
        <v>153.5973875</v>
      </c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</row>
    <row r="247" spans="1:42" ht="15.75" customHeight="1" x14ac:dyDescent="0.3">
      <c r="A247" s="7">
        <v>531694</v>
      </c>
      <c r="B247" s="11" t="s">
        <v>239</v>
      </c>
      <c r="C247" s="315">
        <f ca="1">IFERROR(__xludf.DUMMYFUNCTION("GOOGLEFINANCE(""bom:""&amp;A247,""price"")"),28)</f>
        <v>28</v>
      </c>
      <c r="D247" s="316">
        <f ca="1">IFERROR(__xludf.DUMMYFUNCTION("GOOGLEFINANCE(""bom:""&amp;A247,""marketcap"")/10000000"),138.93012)</f>
        <v>138.93011999999999</v>
      </c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</row>
    <row r="248" spans="1:42" ht="15.75" customHeight="1" x14ac:dyDescent="0.3">
      <c r="A248" s="7">
        <v>526117</v>
      </c>
      <c r="B248" s="11" t="s">
        <v>240</v>
      </c>
      <c r="C248" s="315">
        <f ca="1">IFERROR(__xludf.DUMMYFUNCTION("GOOGLEFINANCE(""bom:""&amp;A248,""price"")"),515)</f>
        <v>515</v>
      </c>
      <c r="D248" s="316">
        <f ca="1">IFERROR(__xludf.DUMMYFUNCTION("GOOGLEFINANCE(""bom:""&amp;A248,""marketcap"")/10000000"),132.508058)</f>
        <v>132.50805800000001</v>
      </c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</row>
    <row r="249" spans="1:42" ht="15.75" customHeight="1" x14ac:dyDescent="0.3">
      <c r="A249" s="7">
        <v>531080</v>
      </c>
      <c r="B249" s="11" t="s">
        <v>242</v>
      </c>
      <c r="C249" s="315">
        <f ca="1">IFERROR(__xludf.DUMMYFUNCTION("GOOGLEFINANCE(""bom:""&amp;A249,""price"")"),44.03)</f>
        <v>44.03</v>
      </c>
      <c r="D249" s="316">
        <f ca="1">IFERROR(__xludf.DUMMYFUNCTION("GOOGLEFINANCE(""bom:""&amp;A249,""marketcap"")/10000000"),123.2839965)</f>
        <v>123.2839965</v>
      </c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</row>
    <row r="250" spans="1:42" ht="15.75" customHeight="1" x14ac:dyDescent="0.3">
      <c r="A250" s="7">
        <v>523007</v>
      </c>
      <c r="B250" s="11" t="s">
        <v>244</v>
      </c>
      <c r="C250" s="315">
        <f ca="1">IFERROR(__xludf.DUMMYFUNCTION("GOOGLEFINANCE(""bom:""&amp;A250,""price"")"),163.95)</f>
        <v>163.95</v>
      </c>
      <c r="D250" s="316">
        <f ca="1">IFERROR(__xludf.DUMMYFUNCTION("GOOGLEFINANCE(""bom:""&amp;A250,""marketcap"")/10000000"),121.0580873)</f>
        <v>121.0580873</v>
      </c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</row>
    <row r="251" spans="1:42" ht="15.75" customHeight="1" x14ac:dyDescent="0.3">
      <c r="A251" s="7">
        <v>531802</v>
      </c>
      <c r="B251" s="11" t="s">
        <v>245</v>
      </c>
      <c r="C251" s="315">
        <f ca="1">IFERROR(__xludf.DUMMYFUNCTION("GOOGLEFINANCE(""bom:""&amp;A251,""price"")"),33.06)</f>
        <v>33.06</v>
      </c>
      <c r="D251" s="316">
        <f ca="1">IFERROR(__xludf.DUMMYFUNCTION("GOOGLEFINANCE(""bom:""&amp;A251,""marketcap"")/10000000"),120.1963272)</f>
        <v>120.1963272</v>
      </c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</row>
    <row r="252" spans="1:42" ht="15.75" customHeight="1" x14ac:dyDescent="0.3">
      <c r="A252" s="7">
        <v>532159</v>
      </c>
      <c r="B252" s="11" t="s">
        <v>246</v>
      </c>
      <c r="C252" s="315">
        <f ca="1">IFERROR(__xludf.DUMMYFUNCTION("GOOGLEFINANCE(""bom:""&amp;A252,""price"")"),14)</f>
        <v>14</v>
      </c>
      <c r="D252" s="316">
        <f ca="1">IFERROR(__xludf.DUMMYFUNCTION("GOOGLEFINANCE(""bom:""&amp;A252,""marketcap"")/10000000"),109.4548)</f>
        <v>109.45480000000001</v>
      </c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</row>
    <row r="253" spans="1:42" ht="15.75" customHeight="1" x14ac:dyDescent="0.3">
      <c r="A253" s="7">
        <v>532123</v>
      </c>
      <c r="B253" s="11" t="s">
        <v>359</v>
      </c>
      <c r="C253" s="315">
        <f ca="1">IFERROR(__xludf.DUMMYFUNCTION("GOOGLEFINANCE(""bom:""&amp;A253,""price"")"),13.05)</f>
        <v>13.05</v>
      </c>
      <c r="D253" s="316">
        <f ca="1">IFERROR(__xludf.DUMMYFUNCTION("GOOGLEFINANCE(""bom:""&amp;A253,""marketcap"")/10000000"),108.6411545)</f>
        <v>108.6411545</v>
      </c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</row>
    <row r="254" spans="1:42" ht="15.75" customHeight="1" x14ac:dyDescent="0.3">
      <c r="A254" s="7">
        <v>507828</v>
      </c>
      <c r="B254" s="11" t="s">
        <v>247</v>
      </c>
      <c r="C254" s="315">
        <f ca="1">IFERROR(__xludf.DUMMYFUNCTION("GOOGLEFINANCE(""bom:""&amp;A254,""price"")"),15.4)</f>
        <v>15.4</v>
      </c>
      <c r="D254" s="316">
        <f ca="1">IFERROR(__xludf.DUMMYFUNCTION("GOOGLEFINANCE(""bom:""&amp;A254,""marketcap"")/10000000"),107.2391601)</f>
        <v>107.23916010000001</v>
      </c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</row>
    <row r="255" spans="1:42" ht="15.75" customHeight="1" x14ac:dyDescent="0.3">
      <c r="A255" s="7">
        <v>502901</v>
      </c>
      <c r="B255" s="11" t="s">
        <v>248</v>
      </c>
      <c r="C255" s="315">
        <f ca="1">IFERROR(__xludf.DUMMYFUNCTION("GOOGLEFINANCE(""bom:""&amp;A255,""price"")"),144.5)</f>
        <v>144.5</v>
      </c>
      <c r="D255" s="316">
        <f ca="1">IFERROR(__xludf.DUMMYFUNCTION("GOOGLEFINANCE(""bom:""&amp;A255,""marketcap"")/10000000"),99.5576107)</f>
        <v>99.557610699999998</v>
      </c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</row>
    <row r="256" spans="1:42" ht="15.75" customHeight="1" x14ac:dyDescent="0.3">
      <c r="A256" s="7">
        <v>512479</v>
      </c>
      <c r="B256" s="11" t="s">
        <v>249</v>
      </c>
      <c r="C256" s="315">
        <f ca="1">IFERROR(__xludf.DUMMYFUNCTION("GOOGLEFINANCE(""bom:""&amp;A256,""price"")"),655)</f>
        <v>655</v>
      </c>
      <c r="D256" s="316">
        <f ca="1">IFERROR(__xludf.DUMMYFUNCTION("GOOGLEFINANCE(""bom:""&amp;A256,""marketcap"")/10000000"),98.25)</f>
        <v>98.25</v>
      </c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</row>
    <row r="257" spans="1:42" ht="15.75" customHeight="1" x14ac:dyDescent="0.3">
      <c r="A257" s="7">
        <v>511411</v>
      </c>
      <c r="B257" s="11" t="s">
        <v>251</v>
      </c>
      <c r="C257" s="315">
        <f ca="1">IFERROR(__xludf.DUMMYFUNCTION("GOOGLEFINANCE(""bom:""&amp;A257,""price"")"),45.5)</f>
        <v>45.5</v>
      </c>
      <c r="D257" s="316">
        <f ca="1">IFERROR(__xludf.DUMMYFUNCTION("GOOGLEFINANCE(""bom:""&amp;A257,""marketcap"")/10000000"),101.01)</f>
        <v>101.01</v>
      </c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</row>
    <row r="258" spans="1:42" ht="15.75" customHeight="1" x14ac:dyDescent="0.3">
      <c r="A258" s="7">
        <v>512048</v>
      </c>
      <c r="B258" s="11" t="s">
        <v>252</v>
      </c>
      <c r="C258" s="315">
        <f ca="1">IFERROR(__xludf.DUMMYFUNCTION("GOOGLEFINANCE(""bom:""&amp;A258,""price"")"),4.95)</f>
        <v>4.95</v>
      </c>
      <c r="D258" s="316">
        <f ca="1">IFERROR(__xludf.DUMMYFUNCTION("GOOGLEFINANCE(""bom:""&amp;A258,""marketcap"")/10000000"),93.5325557)</f>
        <v>93.532555700000003</v>
      </c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</row>
    <row r="259" spans="1:42" ht="15.75" customHeight="1" x14ac:dyDescent="0.3">
      <c r="A259" s="7">
        <v>503349</v>
      </c>
      <c r="B259" s="11" t="s">
        <v>253</v>
      </c>
      <c r="C259" s="315">
        <f ca="1">IFERROR(__xludf.DUMMYFUNCTION("GOOGLEFINANCE(""bom:""&amp;A259,""price"")"),8312)</f>
        <v>8312</v>
      </c>
      <c r="D259" s="316">
        <f ca="1">IFERROR(__xludf.DUMMYFUNCTION("GOOGLEFINANCE(""bom:""&amp;A259,""marketcap"")/10000000"),81.923072)</f>
        <v>81.923072000000005</v>
      </c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</row>
    <row r="260" spans="1:42" ht="15.75" customHeight="1" x14ac:dyDescent="0.3">
      <c r="A260" s="7">
        <v>505650</v>
      </c>
      <c r="B260" s="11" t="s">
        <v>254</v>
      </c>
      <c r="C260" s="315">
        <f ca="1">IFERROR(__xludf.DUMMYFUNCTION("GOOGLEFINANCE(""bom:""&amp;A260,""price"")"),20.06)</f>
        <v>20.059999999999999</v>
      </c>
      <c r="D260" s="316">
        <f ca="1">IFERROR(__xludf.DUMMYFUNCTION("GOOGLEFINANCE(""bom:""&amp;A260,""marketcap"")/10000000"),80.6898433)</f>
        <v>80.689843300000007</v>
      </c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</row>
    <row r="261" spans="1:42" ht="15.75" customHeight="1" x14ac:dyDescent="0.3">
      <c r="A261" s="7">
        <v>532005</v>
      </c>
      <c r="B261" s="11" t="s">
        <v>255</v>
      </c>
      <c r="C261" s="315">
        <f ca="1">IFERROR(__xludf.DUMMYFUNCTION("GOOGLEFINANCE(""bom:""&amp;A261,""price"")"),65.99)</f>
        <v>65.989999999999995</v>
      </c>
      <c r="D261" s="316">
        <f ca="1">IFERROR(__xludf.DUMMYFUNCTION("GOOGLEFINANCE(""bom:""&amp;A261,""marketcap"")/10000000"),73.1728111)</f>
        <v>73.172811100000004</v>
      </c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</row>
    <row r="262" spans="1:42" ht="15.75" customHeight="1" x14ac:dyDescent="0.3">
      <c r="A262" s="7">
        <v>542146</v>
      </c>
      <c r="B262" s="11" t="s">
        <v>257</v>
      </c>
      <c r="C262" s="315">
        <f ca="1">IFERROR(__xludf.DUMMYFUNCTION("GOOGLEFINANCE(""bom:""&amp;A262,""price"")"),68.03)</f>
        <v>68.03</v>
      </c>
      <c r="D262" s="316">
        <f ca="1">IFERROR(__xludf.DUMMYFUNCTION("GOOGLEFINANCE(""bom:""&amp;A262,""marketcap"")/10000000"),74.833)</f>
        <v>74.832999999999998</v>
      </c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</row>
    <row r="263" spans="1:42" ht="15.75" customHeight="1" x14ac:dyDescent="0.3">
      <c r="A263" s="7">
        <v>504392</v>
      </c>
      <c r="B263" s="11" t="s">
        <v>259</v>
      </c>
      <c r="C263" s="315">
        <f ca="1">IFERROR(__xludf.DUMMYFUNCTION("GOOGLEFINANCE(""bom:""&amp;A263,""price"")"),69.49)</f>
        <v>69.489999999999995</v>
      </c>
      <c r="D263" s="316">
        <f ca="1">IFERROR(__xludf.DUMMYFUNCTION("GOOGLEFINANCE(""bom:""&amp;A263,""marketcap"")/10000000"),75.0491976)</f>
        <v>75.049197599999999</v>
      </c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</row>
    <row r="264" spans="1:42" ht="15.75" customHeight="1" x14ac:dyDescent="0.3">
      <c r="A264" s="7">
        <v>500151</v>
      </c>
      <c r="B264" s="11" t="s">
        <v>260</v>
      </c>
      <c r="C264" s="315">
        <f ca="1">IFERROR(__xludf.DUMMYFUNCTION("GOOGLEFINANCE(""bom:""&amp;A264,""price"")"),41.99)</f>
        <v>41.99</v>
      </c>
      <c r="D264" s="316">
        <f ca="1">IFERROR(__xludf.DUMMYFUNCTION("GOOGLEFINANCE(""bom:""&amp;A264,""marketcap"")/10000000"),72.3797059)</f>
        <v>72.379705900000005</v>
      </c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</row>
    <row r="265" spans="1:42" ht="15.75" customHeight="1" x14ac:dyDescent="0.3">
      <c r="A265" s="7">
        <v>531328</v>
      </c>
      <c r="B265" s="11" t="s">
        <v>262</v>
      </c>
      <c r="C265" s="315">
        <f ca="1">IFERROR(__xludf.DUMMYFUNCTION("GOOGLEFINANCE(""bom:""&amp;A265,""price"")"),1.15)</f>
        <v>1.1499999999999999</v>
      </c>
      <c r="D265" s="316">
        <f ca="1">IFERROR(__xludf.DUMMYFUNCTION("GOOGLEFINANCE(""bom:""&amp;A265,""marketcap"")/10000000"),72.127136)</f>
        <v>72.127135999999993</v>
      </c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</row>
    <row r="266" spans="1:42" ht="15.75" customHeight="1" x14ac:dyDescent="0.3">
      <c r="A266" s="7">
        <v>503229</v>
      </c>
      <c r="B266" s="11" t="s">
        <v>264</v>
      </c>
      <c r="C266" s="315">
        <f ca="1">IFERROR(__xludf.DUMMYFUNCTION("GOOGLEFINANCE(""bom:""&amp;A266,""price"")"),226)</f>
        <v>226</v>
      </c>
      <c r="D266" s="316">
        <f ca="1">IFERROR(__xludf.DUMMYFUNCTION("GOOGLEFINANCE(""bom:""&amp;A266,""marketcap"")/10000000"),67.6052106)</f>
        <v>67.605210600000007</v>
      </c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</row>
    <row r="267" spans="1:42" ht="15.75" customHeight="1" x14ac:dyDescent="0.3">
      <c r="A267" s="7">
        <v>503776</v>
      </c>
      <c r="B267" s="11" t="s">
        <v>265</v>
      </c>
      <c r="C267" s="315">
        <f ca="1">IFERROR(__xludf.DUMMYFUNCTION("GOOGLEFINANCE(""bom:""&amp;A267,""price"")"),55)</f>
        <v>55</v>
      </c>
      <c r="D267" s="316">
        <f ca="1">IFERROR(__xludf.DUMMYFUNCTION("GOOGLEFINANCE(""bom:""&amp;A267,""marketcap"")/10000000"),63.67174)</f>
        <v>63.67174</v>
      </c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</row>
    <row r="268" spans="1:42" ht="15.75" customHeight="1" x14ac:dyDescent="0.3">
      <c r="A268" s="7">
        <v>542046</v>
      </c>
      <c r="B268" s="11" t="s">
        <v>266</v>
      </c>
      <c r="C268" s="315">
        <f ca="1">IFERROR(__xludf.DUMMYFUNCTION("GOOGLEFINANCE(""bom:""&amp;A268,""price"")"),6.19)</f>
        <v>6.19</v>
      </c>
      <c r="D268" s="316">
        <f ca="1">IFERROR(__xludf.DUMMYFUNCTION("GOOGLEFINANCE(""bom:""&amp;A268,""marketcap"")/10000000"),62.0587121)</f>
        <v>62.058712100000001</v>
      </c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</row>
    <row r="269" spans="1:42" ht="15.75" customHeight="1" x14ac:dyDescent="0.3">
      <c r="A269" s="7">
        <v>530695</v>
      </c>
      <c r="B269" s="11" t="s">
        <v>267</v>
      </c>
      <c r="C269" s="315">
        <f ca="1">IFERROR(__xludf.DUMMYFUNCTION("GOOGLEFINANCE(""bom:""&amp;A269,""price"")"),37.45)</f>
        <v>37.450000000000003</v>
      </c>
      <c r="D269" s="316">
        <f ca="1">IFERROR(__xludf.DUMMYFUNCTION("GOOGLEFINANCE(""bom:""&amp;A269,""marketcap"")/10000000"),63.5566958)</f>
        <v>63.5566958</v>
      </c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</row>
    <row r="270" spans="1:42" ht="15.75" customHeight="1" x14ac:dyDescent="0.3">
      <c r="A270" s="7">
        <v>533202</v>
      </c>
      <c r="B270" s="11" t="s">
        <v>360</v>
      </c>
      <c r="C270" s="315">
        <f ca="1">IFERROR(__xludf.DUMMYFUNCTION("GOOGLEFINANCE(""bom:""&amp;A270,""price"")"),4.17)</f>
        <v>4.17</v>
      </c>
      <c r="D270" s="316">
        <f ca="1">IFERROR(__xludf.DUMMYFUNCTION("GOOGLEFINANCE(""bom:""&amp;A270,""marketcap"")/10000000"),63.58279)</f>
        <v>63.582790000000003</v>
      </c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</row>
    <row r="271" spans="1:42" ht="15.75" customHeight="1" x14ac:dyDescent="0.3">
      <c r="A271" s="7">
        <v>502445</v>
      </c>
      <c r="B271" s="11" t="s">
        <v>268</v>
      </c>
      <c r="C271" s="315">
        <f ca="1">IFERROR(__xludf.DUMMYFUNCTION("GOOGLEFINANCE(""bom:""&amp;A271,""price"")"),74)</f>
        <v>74</v>
      </c>
      <c r="D271" s="316">
        <f ca="1">IFERROR(__xludf.DUMMYFUNCTION("GOOGLEFINANCE(""bom:""&amp;A271,""marketcap"")/10000000"),58.4022578)</f>
        <v>58.402257800000001</v>
      </c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</row>
    <row r="272" spans="1:42" ht="15.75" customHeight="1" x14ac:dyDescent="0.3">
      <c r="A272" s="7">
        <v>531814</v>
      </c>
      <c r="B272" s="11" t="s">
        <v>270</v>
      </c>
      <c r="C272" s="315">
        <f ca="1">IFERROR(__xludf.DUMMYFUNCTION("GOOGLEFINANCE(""bom:""&amp;A272,""price"")"),19.35)</f>
        <v>19.350000000000001</v>
      </c>
      <c r="D272" s="316">
        <f ca="1">IFERROR(__xludf.DUMMYFUNCTION("GOOGLEFINANCE(""bom:""&amp;A272,""marketcap"")/10000000"),63.8511699)</f>
        <v>63.851169900000002</v>
      </c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</row>
    <row r="273" spans="1:42" ht="15.75" customHeight="1" x14ac:dyDescent="0.3">
      <c r="A273" s="7">
        <v>531624</v>
      </c>
      <c r="B273" s="11" t="s">
        <v>273</v>
      </c>
      <c r="C273" s="315">
        <f ca="1">IFERROR(__xludf.DUMMYFUNCTION("GOOGLEFINANCE(""bom:""&amp;A273,""price"")"),6.72)</f>
        <v>6.72</v>
      </c>
      <c r="D273" s="316">
        <f ca="1">IFERROR(__xludf.DUMMYFUNCTION("GOOGLEFINANCE(""bom:""&amp;A273,""marketcap"")/10000000"),52.4557698)</f>
        <v>52.455769799999999</v>
      </c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</row>
    <row r="274" spans="1:42" ht="15.75" customHeight="1" x14ac:dyDescent="0.3">
      <c r="A274" s="7">
        <v>543598</v>
      </c>
      <c r="B274" s="11" t="s">
        <v>271</v>
      </c>
      <c r="C274" s="315">
        <f ca="1">IFERROR(__xludf.DUMMYFUNCTION("GOOGLEFINANCE(""bom:""&amp;A274,""price"")"),305.5)</f>
        <v>305.5</v>
      </c>
      <c r="D274" s="316">
        <f ca="1">IFERROR(__xludf.DUMMYFUNCTION("GOOGLEFINANCE(""bom:""&amp;A274,""marketcap"")/10000000"),54.6592)</f>
        <v>54.659199999999998</v>
      </c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</row>
    <row r="275" spans="1:42" ht="15.75" customHeight="1" x14ac:dyDescent="0.3">
      <c r="A275" s="7">
        <v>523628</v>
      </c>
      <c r="B275" s="11" t="s">
        <v>361</v>
      </c>
      <c r="C275" s="315">
        <f ca="1">IFERROR(__xludf.DUMMYFUNCTION("GOOGLEFINANCE(""bom:""&amp;A275,""price"")"),73)</f>
        <v>73</v>
      </c>
      <c r="D275" s="316">
        <f ca="1">IFERROR(__xludf.DUMMYFUNCTION("GOOGLEFINANCE(""bom:""&amp;A275,""marketcap"")/10000000"),53.12057)</f>
        <v>53.120570000000001</v>
      </c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</row>
    <row r="276" spans="1:42" ht="15.75" customHeight="1" x14ac:dyDescent="0.3">
      <c r="A276" s="7">
        <v>531822</v>
      </c>
      <c r="B276" s="11" t="s">
        <v>274</v>
      </c>
      <c r="C276" s="315">
        <f ca="1">IFERROR(__xludf.DUMMYFUNCTION("GOOGLEFINANCE(""bom:""&amp;A276,""price"")"),160.8)</f>
        <v>160.80000000000001</v>
      </c>
      <c r="D276" s="316">
        <f ca="1">IFERROR(__xludf.DUMMYFUNCTION("GOOGLEFINANCE(""bom:""&amp;A276,""marketcap"")/10000000"),52.2262329)</f>
        <v>52.226232899999999</v>
      </c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</row>
    <row r="277" spans="1:42" ht="15.75" customHeight="1" x14ac:dyDescent="0.3">
      <c r="A277" s="7">
        <v>526727</v>
      </c>
      <c r="B277" s="11" t="s">
        <v>275</v>
      </c>
      <c r="C277" s="315">
        <f ca="1">IFERROR(__xludf.DUMMYFUNCTION("GOOGLEFINANCE(""bom:""&amp;A277,""price"")"),37.98)</f>
        <v>37.979999999999997</v>
      </c>
      <c r="D277" s="316">
        <f ca="1">IFERROR(__xludf.DUMMYFUNCTION("GOOGLEFINANCE(""bom:""&amp;A277,""marketcap"")/10000000"),52.8005549)</f>
        <v>52.800554900000002</v>
      </c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</row>
    <row r="278" spans="1:42" ht="15.75" customHeight="1" x14ac:dyDescent="0.3">
      <c r="A278" s="7">
        <v>526576</v>
      </c>
      <c r="B278" s="11" t="s">
        <v>362</v>
      </c>
      <c r="C278" s="315">
        <f ca="1">IFERROR(__xludf.DUMMYFUNCTION("GOOGLEFINANCE(""bom:""&amp;A278,""price"")"),32.8)</f>
        <v>32.799999999999997</v>
      </c>
      <c r="D278" s="316">
        <f ca="1">IFERROR(__xludf.DUMMYFUNCTION("GOOGLEFINANCE(""bom:""&amp;A278,""marketcap"")/10000000"),48.3216)</f>
        <v>48.321599999999997</v>
      </c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</row>
    <row r="279" spans="1:42" ht="15.75" customHeight="1" x14ac:dyDescent="0.3">
      <c r="A279" s="7">
        <v>532723</v>
      </c>
      <c r="B279" s="11" t="s">
        <v>277</v>
      </c>
      <c r="C279" s="315">
        <f ca="1">IFERROR(__xludf.DUMMYFUNCTION("GOOGLEFINANCE(""bom:""&amp;A279,""price"")"),59.84)</f>
        <v>59.84</v>
      </c>
      <c r="D279" s="316">
        <f ca="1">IFERROR(__xludf.DUMMYFUNCTION("GOOGLEFINANCE(""bom:""&amp;A279,""marketcap"")/10000000"),47.85526)</f>
        <v>47.855260000000001</v>
      </c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</row>
    <row r="280" spans="1:42" ht="15.75" customHeight="1" x14ac:dyDescent="0.3">
      <c r="A280" s="7">
        <v>523566</v>
      </c>
      <c r="B280" s="11" t="s">
        <v>278</v>
      </c>
      <c r="C280" s="315">
        <f ca="1">IFERROR(__xludf.DUMMYFUNCTION("GOOGLEFINANCE(""bom:""&amp;A280,""price"")"),87.95)</f>
        <v>87.95</v>
      </c>
      <c r="D280" s="316">
        <f ca="1">IFERROR(__xludf.DUMMYFUNCTION("GOOGLEFINANCE(""bom:""&amp;A280,""marketcap"")/10000000"),45.3281883)</f>
        <v>45.328188300000001</v>
      </c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</row>
    <row r="281" spans="1:42" ht="15.75" customHeight="1" x14ac:dyDescent="0.3">
      <c r="A281" s="7">
        <v>534338</v>
      </c>
      <c r="B281" s="11" t="s">
        <v>280</v>
      </c>
      <c r="C281" s="315">
        <f ca="1">IFERROR(__xludf.DUMMYFUNCTION("GOOGLEFINANCE(""bom:""&amp;A281,""price"")"),29)</f>
        <v>29</v>
      </c>
      <c r="D281" s="316">
        <f ca="1">IFERROR(__xludf.DUMMYFUNCTION("GOOGLEFINANCE(""bom:""&amp;A281,""marketcap"")/10000000"),45.266738)</f>
        <v>45.266737999999997</v>
      </c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</row>
    <row r="282" spans="1:42" ht="15.75" customHeight="1" x14ac:dyDescent="0.3">
      <c r="A282" s="7">
        <v>533078</v>
      </c>
      <c r="B282" s="11" t="s">
        <v>281</v>
      </c>
      <c r="C282" s="315">
        <f ca="1">IFERROR(__xludf.DUMMYFUNCTION("GOOGLEFINANCE(""bom:""&amp;A282,""price"")"),34.5)</f>
        <v>34.5</v>
      </c>
      <c r="D282" s="316">
        <f ca="1">IFERROR(__xludf.DUMMYFUNCTION("GOOGLEFINANCE(""bom:""&amp;A282,""marketcap"")/10000000"),43.1540145)</f>
        <v>43.154014500000002</v>
      </c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</row>
    <row r="283" spans="1:42" ht="15.75" customHeight="1" x14ac:dyDescent="0.3">
      <c r="A283" s="7">
        <v>538794</v>
      </c>
      <c r="B283" s="11" t="s">
        <v>363</v>
      </c>
      <c r="C283" s="315">
        <f ca="1">IFERROR(__xludf.DUMMYFUNCTION("GOOGLEFINANCE(""bom:""&amp;A283,""price"")"),39.99)</f>
        <v>39.99</v>
      </c>
      <c r="D283" s="316">
        <f ca="1">IFERROR(__xludf.DUMMYFUNCTION("GOOGLEFINANCE(""bom:""&amp;A283,""marketcap"")/10000000"),36.46866)</f>
        <v>36.46866</v>
      </c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</row>
    <row r="284" spans="1:42" ht="15.75" customHeight="1" x14ac:dyDescent="0.3">
      <c r="A284" s="7">
        <v>521149</v>
      </c>
      <c r="B284" s="11" t="s">
        <v>285</v>
      </c>
      <c r="C284" s="315">
        <f ca="1">IFERROR(__xludf.DUMMYFUNCTION("GOOGLEFINANCE(""bom:""&amp;A284,""price"")"),12.25)</f>
        <v>12.25</v>
      </c>
      <c r="D284" s="316">
        <f ca="1">IFERROR(__xludf.DUMMYFUNCTION("GOOGLEFINANCE(""bom:""&amp;A284,""marketcap"")/10000000"),32.63841)</f>
        <v>32.63841</v>
      </c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</row>
    <row r="285" spans="1:42" ht="15.75" customHeight="1" x14ac:dyDescent="0.3">
      <c r="A285" s="7">
        <v>530821</v>
      </c>
      <c r="B285" s="11" t="s">
        <v>286</v>
      </c>
      <c r="C285" s="315">
        <f ca="1">IFERROR(__xludf.DUMMYFUNCTION("GOOGLEFINANCE(""bom:""&amp;A285,""price"")"),23.24)</f>
        <v>23.24</v>
      </c>
      <c r="D285" s="316">
        <f ca="1">IFERROR(__xludf.DUMMYFUNCTION("GOOGLEFINANCE(""bom:""&amp;A285,""marketcap"")/10000000"),30.0475767)</f>
        <v>30.0475767</v>
      </c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</row>
    <row r="286" spans="1:42" ht="15.75" customHeight="1" x14ac:dyDescent="0.3">
      <c r="A286" s="7">
        <v>531416</v>
      </c>
      <c r="B286" s="11" t="s">
        <v>288</v>
      </c>
      <c r="C286" s="315">
        <f ca="1">IFERROR(__xludf.DUMMYFUNCTION("GOOGLEFINANCE(""bom:""&amp;A286,""price"")"),40)</f>
        <v>40</v>
      </c>
      <c r="D286" s="316">
        <f ca="1">IFERROR(__xludf.DUMMYFUNCTION("GOOGLEFINANCE(""bom:""&amp;A286,""marketcap"")/10000000"),28.4256)</f>
        <v>28.425599999999999</v>
      </c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</row>
    <row r="287" spans="1:42" ht="15.75" customHeight="1" x14ac:dyDescent="0.3">
      <c r="A287" s="7">
        <v>513173</v>
      </c>
      <c r="B287" s="11" t="s">
        <v>289</v>
      </c>
      <c r="C287" s="315">
        <f ca="1">IFERROR(__xludf.DUMMYFUNCTION("GOOGLEFINANCE(""bom:""&amp;A287,""price"")"),33.29)</f>
        <v>33.29</v>
      </c>
      <c r="D287" s="316">
        <f ca="1">IFERROR(__xludf.DUMMYFUNCTION("GOOGLEFINANCE(""bom:""&amp;A287,""marketcap"")/10000000"),28.7725477)</f>
        <v>28.772547700000001</v>
      </c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</row>
    <row r="288" spans="1:42" ht="15.75" customHeight="1" x14ac:dyDescent="0.3">
      <c r="A288" s="7">
        <v>531552</v>
      </c>
      <c r="B288" s="11" t="s">
        <v>287</v>
      </c>
      <c r="C288" s="315">
        <f ca="1">IFERROR(__xludf.DUMMYFUNCTION("GOOGLEFINANCE(""bom:""&amp;A288,""price"")"),24)</f>
        <v>24</v>
      </c>
      <c r="D288" s="316">
        <f ca="1">IFERROR(__xludf.DUMMYFUNCTION("GOOGLEFINANCE(""bom:""&amp;A288,""marketcap"")/10000000"),28.802784)</f>
        <v>28.802783999999999</v>
      </c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</row>
    <row r="289" spans="1:42" ht="15.75" customHeight="1" x14ac:dyDescent="0.3">
      <c r="A289" s="7">
        <v>531968</v>
      </c>
      <c r="B289" s="11" t="s">
        <v>290</v>
      </c>
      <c r="C289" s="315">
        <f ca="1">IFERROR(__xludf.DUMMYFUNCTION("GOOGLEFINANCE(""bom:""&amp;A289,""price"")"),55)</f>
        <v>55</v>
      </c>
      <c r="D289" s="316">
        <f ca="1">IFERROR(__xludf.DUMMYFUNCTION("GOOGLEFINANCE(""bom:""&amp;A289,""marketcap"")/10000000"),27.44995)</f>
        <v>27.449950000000001</v>
      </c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</row>
    <row r="290" spans="1:42" ht="15.75" customHeight="1" x14ac:dyDescent="0.3">
      <c r="A290" s="7">
        <v>538576</v>
      </c>
      <c r="B290" s="11" t="s">
        <v>291</v>
      </c>
      <c r="C290" s="315">
        <f ca="1">IFERROR(__xludf.DUMMYFUNCTION("GOOGLEFINANCE(""bom:""&amp;A290,""price"")"),105.5)</f>
        <v>105.5</v>
      </c>
      <c r="D290" s="316">
        <f ca="1">IFERROR(__xludf.DUMMYFUNCTION("GOOGLEFINANCE(""bom:""&amp;A290,""marketcap"")/10000000"),27.39413)</f>
        <v>27.394130000000001</v>
      </c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</row>
    <row r="291" spans="1:42" ht="15.75" customHeight="1" x14ac:dyDescent="0.3">
      <c r="A291" s="7">
        <v>511131</v>
      </c>
      <c r="B291" s="11" t="s">
        <v>293</v>
      </c>
      <c r="C291" s="315">
        <f ca="1">IFERROR(__xludf.DUMMYFUNCTION("GOOGLEFINANCE(""bom:""&amp;A291,""price"")"),17.85)</f>
        <v>17.850000000000001</v>
      </c>
      <c r="D291" s="316">
        <f ca="1">IFERROR(__xludf.DUMMYFUNCTION("GOOGLEFINANCE(""bom:""&amp;A291,""marketcap"")/10000000"),25.1562911)</f>
        <v>25.156291100000001</v>
      </c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</row>
    <row r="292" spans="1:42" ht="15.75" customHeight="1" x14ac:dyDescent="0.3">
      <c r="A292" s="7">
        <v>531909</v>
      </c>
      <c r="B292" s="11" t="s">
        <v>295</v>
      </c>
      <c r="C292" s="315">
        <f ca="1">IFERROR(__xludf.DUMMYFUNCTION("GOOGLEFINANCE(""bom:""&amp;A292,""price"")"),3.79)</f>
        <v>3.79</v>
      </c>
      <c r="D292" s="316">
        <f ca="1">IFERROR(__xludf.DUMMYFUNCTION("GOOGLEFINANCE(""bom:""&amp;A292,""marketcap"")/10000000"),25.9796917)</f>
        <v>25.9796917</v>
      </c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</row>
    <row r="293" spans="1:42" ht="15.75" customHeight="1" x14ac:dyDescent="0.3">
      <c r="A293" s="7">
        <v>539189</v>
      </c>
      <c r="B293" s="11" t="s">
        <v>298</v>
      </c>
      <c r="C293" s="315">
        <f ca="1">IFERROR(__xludf.DUMMYFUNCTION("GOOGLEFINANCE(""bom:""&amp;A293,""price"")"),21.84)</f>
        <v>21.84</v>
      </c>
      <c r="D293" s="316">
        <f ca="1">IFERROR(__xludf.DUMMYFUNCTION("GOOGLEFINANCE(""bom:""&amp;A293,""marketcap"")/10000000"),24.0240001)</f>
        <v>24.024000099999999</v>
      </c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</row>
    <row r="294" spans="1:42" ht="15.75" customHeight="1" x14ac:dyDescent="0.3">
      <c r="A294" s="7">
        <v>543745</v>
      </c>
      <c r="B294" s="11" t="s">
        <v>299</v>
      </c>
      <c r="C294" s="315">
        <f ca="1">IFERROR(__xludf.DUMMYFUNCTION("GOOGLEFINANCE(""bom:""&amp;A294,""price"")"),11.64)</f>
        <v>11.64</v>
      </c>
      <c r="D294" s="316">
        <f ca="1">IFERROR(__xludf.DUMMYFUNCTION("GOOGLEFINANCE(""bom:""&amp;A294,""marketcap"")/10000000"),24.8509584)</f>
        <v>24.8509584</v>
      </c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</row>
    <row r="295" spans="1:42" ht="15.75" customHeight="1" x14ac:dyDescent="0.3">
      <c r="A295" s="7">
        <v>537707</v>
      </c>
      <c r="B295" s="11" t="s">
        <v>300</v>
      </c>
      <c r="C295" s="315">
        <f ca="1">IFERROR(__xludf.DUMMYFUNCTION("GOOGLEFINANCE(""bom:""&amp;A295,""price"")"),17.25)</f>
        <v>17.25</v>
      </c>
      <c r="D295" s="316">
        <f ca="1">IFERROR(__xludf.DUMMYFUNCTION("GOOGLEFINANCE(""bom:""&amp;A295,""marketcap"")/10000000"),17.7303918)</f>
        <v>17.7303918</v>
      </c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</row>
    <row r="296" spans="1:42" ht="15.75" customHeight="1" x14ac:dyDescent="0.3">
      <c r="A296" s="7">
        <v>514332</v>
      </c>
      <c r="B296" s="11" t="s">
        <v>364</v>
      </c>
      <c r="C296" s="315">
        <f ca="1">IFERROR(__xludf.DUMMYFUNCTION("GOOGLEFINANCE(""bom:""&amp;A296,""price"")"),26)</f>
        <v>26</v>
      </c>
      <c r="D296" s="316">
        <f ca="1">IFERROR(__xludf.DUMMYFUNCTION("GOOGLEFINANCE(""bom:""&amp;A296,""marketcap"")/10000000"),13.79768)</f>
        <v>13.79768</v>
      </c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</row>
    <row r="297" spans="1:42" ht="15.75" customHeight="1" x14ac:dyDescent="0.3">
      <c r="A297" s="7">
        <v>500426</v>
      </c>
      <c r="B297" s="11" t="s">
        <v>305</v>
      </c>
      <c r="C297" s="315">
        <f ca="1">IFERROR(__xludf.DUMMYFUNCTION("GOOGLEFINANCE(""bom:""&amp;A297,""price"")"),3.01)</f>
        <v>3.01</v>
      </c>
      <c r="D297" s="316">
        <f ca="1">IFERROR(__xludf.DUMMYFUNCTION("GOOGLEFINANCE(""bom:""&amp;A297,""marketcap"")/10000000"),9.9194549)</f>
        <v>9.9194548999999999</v>
      </c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</row>
    <row r="298" spans="1:42" ht="15.75" customHeight="1" x14ac:dyDescent="0.3">
      <c r="A298" s="7">
        <v>539767</v>
      </c>
      <c r="B298" s="11" t="s">
        <v>308</v>
      </c>
      <c r="C298" s="315">
        <f ca="1">IFERROR(__xludf.DUMMYFUNCTION("GOOGLEFINANCE(""bom:""&amp;A298,""price"")"),20.94)</f>
        <v>20.94</v>
      </c>
      <c r="D298" s="316">
        <f ca="1">IFERROR(__xludf.DUMMYFUNCTION("GOOGLEFINANCE(""bom:""&amp;A298,""marketcap"")/10000000"),7.0096651)</f>
        <v>7.0096651000000003</v>
      </c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</row>
    <row r="299" spans="1:42" ht="15.75" customHeight="1" x14ac:dyDescent="0.3">
      <c r="A299" s="7">
        <v>531574</v>
      </c>
      <c r="B299" s="11" t="s">
        <v>314</v>
      </c>
      <c r="C299" s="315">
        <f ca="1">IFERROR(__xludf.DUMMYFUNCTION("GOOGLEFINANCE(""bom:""&amp;A299,""price"")"),4.86)</f>
        <v>4.8600000000000003</v>
      </c>
      <c r="D299" s="316">
        <f ca="1">IFERROR(__xludf.DUMMYFUNCTION("GOOGLEFINANCE(""bom:""&amp;A299,""marketcap"")/10000000"),7.3528837)</f>
        <v>7.3528836999999996</v>
      </c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</row>
    <row r="300" spans="1:42" ht="15.75" customHeight="1" x14ac:dyDescent="0.3">
      <c r="A300" s="7">
        <v>539099</v>
      </c>
      <c r="B300" s="11" t="s">
        <v>315</v>
      </c>
      <c r="C300" s="315">
        <f ca="1">IFERROR(__xludf.DUMMYFUNCTION("GOOGLEFINANCE(""bom:""&amp;A300,""price"")"),8.1)</f>
        <v>8.1</v>
      </c>
      <c r="D300" s="316">
        <f ca="1">IFERROR(__xludf.DUMMYFUNCTION("GOOGLEFINANCE(""bom:""&amp;A300,""marketcap"")/10000000"),6.0750002)</f>
        <v>6.0750001999999999</v>
      </c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</row>
    <row r="301" spans="1:42" ht="15.75" customHeight="1" x14ac:dyDescent="0.3">
      <c r="A301" s="7">
        <v>542677</v>
      </c>
      <c r="B301" s="11" t="s">
        <v>365</v>
      </c>
      <c r="C301" s="315">
        <f ca="1">IFERROR(__xludf.DUMMYFUNCTION("GOOGLEFINANCE(""bom:""&amp;A301,""price"")"),12.3)</f>
        <v>12.3</v>
      </c>
      <c r="D301" s="316">
        <f ca="1">IFERROR(__xludf.DUMMYFUNCTION("GOOGLEFINANCE(""bom:""&amp;A301,""marketcap"")/10000000"),5.10696)</f>
        <v>5.1069599999999999</v>
      </c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</row>
    <row r="302" spans="1:42" ht="15.75" customHeight="1" x14ac:dyDescent="0.3">
      <c r="A302" s="7">
        <v>524031</v>
      </c>
      <c r="B302" s="11" t="s">
        <v>318</v>
      </c>
      <c r="C302" s="315">
        <f ca="1">IFERROR(__xludf.DUMMYFUNCTION("GOOGLEFINANCE(""bom:""&amp;A302,""price"")"),9.2)</f>
        <v>9.1999999999999993</v>
      </c>
      <c r="D302" s="316">
        <f ca="1">IFERROR(__xludf.DUMMYFUNCTION("GOOGLEFINANCE(""bom:""&amp;A302,""marketcap"")/10000000"),5.0605233)</f>
        <v>5.0605232999999998</v>
      </c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</row>
    <row r="303" spans="1:42" ht="15.75" customHeight="1" x14ac:dyDescent="0.3">
      <c r="A303" s="7">
        <v>526823</v>
      </c>
      <c r="B303" s="11" t="s">
        <v>319</v>
      </c>
      <c r="C303" s="315">
        <f ca="1">IFERROR(__xludf.DUMMYFUNCTION("GOOGLEFINANCE(""bom:""&amp;A303,""price"")"),4.83)</f>
        <v>4.83</v>
      </c>
      <c r="D303" s="316">
        <f ca="1">IFERROR(__xludf.DUMMYFUNCTION("GOOGLEFINANCE(""bom:""&amp;A303,""marketcap"")/10000000"),2.6714241)</f>
        <v>2.6714240999999999</v>
      </c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</row>
    <row r="304" spans="1:42" ht="15.75" customHeight="1" x14ac:dyDescent="0.3">
      <c r="A304" s="86"/>
      <c r="B304" s="86"/>
      <c r="C304" s="86"/>
      <c r="D304" s="141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</row>
    <row r="305" spans="1:42" ht="15.75" customHeight="1" x14ac:dyDescent="0.3">
      <c r="A305" s="86"/>
      <c r="B305" s="86"/>
      <c r="C305" s="86"/>
      <c r="D305" s="141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</row>
    <row r="306" spans="1:42" ht="15.75" customHeight="1" x14ac:dyDescent="0.3">
      <c r="A306" s="4"/>
      <c r="B306" s="328" t="s">
        <v>174</v>
      </c>
      <c r="C306" s="4"/>
      <c r="D306" s="329">
        <f t="shared" ref="D306:L306" ca="1" si="20">SUM(D172:D303)</f>
        <v>922836.6977125</v>
      </c>
      <c r="E306" s="329">
        <f t="shared" si="20"/>
        <v>164770</v>
      </c>
      <c r="F306" s="329">
        <f t="shared" si="20"/>
        <v>109683</v>
      </c>
      <c r="G306" s="329">
        <f t="shared" si="20"/>
        <v>246096</v>
      </c>
      <c r="H306" s="329">
        <f t="shared" si="20"/>
        <v>140857</v>
      </c>
      <c r="I306" s="329">
        <f t="shared" si="20"/>
        <v>2800</v>
      </c>
      <c r="J306" s="329">
        <f t="shared" si="20"/>
        <v>105018</v>
      </c>
      <c r="K306" s="329">
        <f t="shared" si="20"/>
        <v>45982</v>
      </c>
      <c r="L306" s="329">
        <f t="shared" si="20"/>
        <v>4132</v>
      </c>
      <c r="M306" s="329">
        <f>MEDIAN(M172:M180)</f>
        <v>5</v>
      </c>
      <c r="N306" s="330">
        <f t="shared" ref="N306:Y306" si="21">SUM(N172:N303)</f>
        <v>0</v>
      </c>
      <c r="O306" s="330">
        <f t="shared" ca="1" si="21"/>
        <v>236.25</v>
      </c>
      <c r="P306" s="331">
        <f t="shared" ca="1" si="21"/>
        <v>0.83819420390169719</v>
      </c>
      <c r="Q306" s="330">
        <f t="shared" si="21"/>
        <v>32061</v>
      </c>
      <c r="R306" s="330">
        <f t="shared" si="21"/>
        <v>52331</v>
      </c>
      <c r="S306" s="330">
        <f t="shared" si="21"/>
        <v>8003</v>
      </c>
      <c r="T306" s="330">
        <f t="shared" si="21"/>
        <v>35051</v>
      </c>
      <c r="U306" s="330">
        <f t="shared" si="21"/>
        <v>28136</v>
      </c>
      <c r="V306" s="330">
        <f t="shared" si="21"/>
        <v>6819</v>
      </c>
      <c r="W306" s="330">
        <f t="shared" si="21"/>
        <v>4790</v>
      </c>
      <c r="X306" s="330">
        <f t="shared" si="21"/>
        <v>3149</v>
      </c>
      <c r="Y306" s="330">
        <f t="shared" si="21"/>
        <v>35294</v>
      </c>
      <c r="Z306" s="317">
        <f>(T306/U306)-1</f>
        <v>0.2457705430764856</v>
      </c>
      <c r="AA306" s="317">
        <f>(V306/W306)-1</f>
        <v>0.42359081419624212</v>
      </c>
      <c r="AB306" s="317">
        <f>(R306/Q306)^(1/6)-1</f>
        <v>8.5084754384089578E-2</v>
      </c>
      <c r="AC306" s="318">
        <f>S306/R306</f>
        <v>0.15293038543119758</v>
      </c>
      <c r="AD306" s="317">
        <f>V306/T306</f>
        <v>0.19454509143819007</v>
      </c>
      <c r="AE306" s="316">
        <f>(R306-Y306+X306)/X306</f>
        <v>6.4102889806287706</v>
      </c>
      <c r="AF306" s="319">
        <f>E306/F306</f>
        <v>1.5022382684645752</v>
      </c>
      <c r="AG306" s="316">
        <f>(L306/R306)*365</f>
        <v>28.820011083296706</v>
      </c>
      <c r="AH306" s="319">
        <f>K306/(I306+J306)</f>
        <v>0.42647795358845464</v>
      </c>
      <c r="AI306" s="319">
        <f>H306/G306</f>
        <v>0.57236606852610361</v>
      </c>
      <c r="AJ306" s="317">
        <f>S306/J306</f>
        <v>7.6205983736121433E-2</v>
      </c>
      <c r="AK306" s="319">
        <f>S306/I306</f>
        <v>2.8582142857142858</v>
      </c>
      <c r="AL306" s="317">
        <f>S306/G306</f>
        <v>3.2519829659970093E-2</v>
      </c>
      <c r="AM306" s="329">
        <f ca="1">MEDIAN(AM172:AM180)</f>
        <v>61.910194174757272</v>
      </c>
      <c r="AN306" s="332" t="e">
        <f ca="1">O306/C306</f>
        <v>#DIV/0!</v>
      </c>
      <c r="AO306" s="316">
        <f>(I306+J306)/(I306/M306)</f>
        <v>192.53214285714284</v>
      </c>
      <c r="AP306" s="329">
        <f ca="1">MEDIAN(AP172:AP180)</f>
        <v>8.3623573658813513</v>
      </c>
    </row>
    <row r="307" spans="1:42" ht="15.75" customHeight="1" x14ac:dyDescent="0.3">
      <c r="A307" s="86"/>
      <c r="B307" s="86"/>
      <c r="C307" s="86"/>
      <c r="D307" s="141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</row>
    <row r="308" spans="1:42" ht="15.75" customHeight="1" x14ac:dyDescent="0.3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</row>
    <row r="309" spans="1:42" ht="15.75" customHeight="1" x14ac:dyDescent="0.3">
      <c r="A309" s="86"/>
      <c r="B309" s="86"/>
      <c r="C309" s="86"/>
      <c r="D309" s="141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324"/>
      <c r="Q309" s="86"/>
      <c r="R309" s="86"/>
      <c r="S309" s="86"/>
      <c r="T309" s="86"/>
      <c r="U309" s="86"/>
      <c r="V309" s="86"/>
      <c r="W309" s="86"/>
      <c r="X309" s="86"/>
      <c r="Y309" s="86"/>
      <c r="Z309" s="324"/>
      <c r="AA309" s="324"/>
      <c r="AB309" s="324"/>
      <c r="AC309" s="182"/>
      <c r="AD309" s="324"/>
      <c r="AE309" s="141"/>
      <c r="AF309" s="326"/>
      <c r="AG309" s="141"/>
      <c r="AH309" s="326"/>
      <c r="AI309" s="326"/>
      <c r="AJ309" s="324"/>
      <c r="AK309" s="326"/>
      <c r="AL309" s="324"/>
      <c r="AM309" s="141"/>
      <c r="AN309" s="324"/>
      <c r="AO309" s="141"/>
      <c r="AP309" s="86"/>
    </row>
    <row r="310" spans="1:42" ht="15.75" customHeight="1" x14ac:dyDescent="0.3">
      <c r="A310" s="86"/>
      <c r="B310" s="86"/>
      <c r="C310" s="86"/>
      <c r="D310" s="141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</row>
    <row r="311" spans="1:42" ht="15.75" customHeight="1" x14ac:dyDescent="0.3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</row>
    <row r="312" spans="1:42" ht="15.75" customHeight="1" x14ac:dyDescent="0.3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</row>
    <row r="313" spans="1:42" ht="15.75" customHeight="1" x14ac:dyDescent="0.3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</row>
    <row r="314" spans="1:42" ht="15.75" customHeight="1" x14ac:dyDescent="0.3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</row>
    <row r="315" spans="1:42" ht="15.75" customHeight="1" x14ac:dyDescent="0.3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</row>
    <row r="316" spans="1:42" ht="15.75" customHeight="1" x14ac:dyDescent="0.3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</row>
    <row r="317" spans="1:42" ht="15.75" customHeight="1" x14ac:dyDescent="0.3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</row>
    <row r="318" spans="1:42" ht="15.75" customHeight="1" x14ac:dyDescent="0.3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</row>
    <row r="319" spans="1:42" ht="15.75" customHeight="1" x14ac:dyDescent="0.3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</row>
    <row r="320" spans="1:42" ht="15.75" customHeight="1" x14ac:dyDescent="0.3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</row>
    <row r="321" spans="1:42" ht="15.75" customHeight="1" x14ac:dyDescent="0.3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</row>
    <row r="322" spans="1:42" ht="15.75" customHeight="1" x14ac:dyDescent="0.3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</row>
    <row r="323" spans="1:42" ht="15.75" customHeight="1" x14ac:dyDescent="0.3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</row>
    <row r="324" spans="1:42" ht="15.75" customHeight="1" x14ac:dyDescent="0.3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</row>
    <row r="325" spans="1:42" ht="15.75" customHeight="1" x14ac:dyDescent="0.3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</row>
    <row r="326" spans="1:42" ht="15.75" customHeight="1" x14ac:dyDescent="0.3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</row>
    <row r="327" spans="1:42" ht="15.75" customHeight="1" x14ac:dyDescent="0.3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</row>
    <row r="328" spans="1:42" ht="15.75" customHeight="1" x14ac:dyDescent="0.3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</row>
    <row r="329" spans="1:42" ht="15.75" customHeight="1" x14ac:dyDescent="0.3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</row>
    <row r="330" spans="1:42" ht="15.75" customHeight="1" x14ac:dyDescent="0.3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</row>
    <row r="331" spans="1:42" ht="15.75" customHeight="1" x14ac:dyDescent="0.3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</row>
    <row r="332" spans="1:42" ht="15.75" customHeight="1" x14ac:dyDescent="0.3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</row>
    <row r="333" spans="1:42" ht="15.75" customHeight="1" x14ac:dyDescent="0.3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</row>
    <row r="334" spans="1:42" ht="15.75" customHeight="1" x14ac:dyDescent="0.3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</row>
    <row r="335" spans="1:42" ht="15.75" customHeight="1" x14ac:dyDescent="0.3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</row>
    <row r="336" spans="1:42" ht="15.75" customHeight="1" x14ac:dyDescent="0.3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</row>
    <row r="337" spans="1:42" ht="15.75" customHeight="1" x14ac:dyDescent="0.3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</row>
    <row r="338" spans="1:42" ht="15.75" customHeight="1" x14ac:dyDescent="0.3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</row>
    <row r="339" spans="1:42" ht="15.75" customHeight="1" x14ac:dyDescent="0.3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</row>
    <row r="340" spans="1:42" ht="15.75" customHeight="1" x14ac:dyDescent="0.3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</row>
    <row r="341" spans="1:42" ht="15.75" customHeight="1" x14ac:dyDescent="0.3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</row>
    <row r="342" spans="1:42" ht="15.75" customHeight="1" x14ac:dyDescent="0.3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</row>
    <row r="343" spans="1:42" ht="15.75" customHeight="1" x14ac:dyDescent="0.3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</row>
    <row r="344" spans="1:42" ht="15.75" customHeight="1" x14ac:dyDescent="0.3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</row>
    <row r="345" spans="1:42" ht="15.75" customHeight="1" x14ac:dyDescent="0.3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</row>
    <row r="346" spans="1:42" ht="15.75" customHeight="1" x14ac:dyDescent="0.3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</row>
    <row r="347" spans="1:42" ht="15.75" customHeight="1" x14ac:dyDescent="0.3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</row>
    <row r="348" spans="1:42" ht="15.75" customHeight="1" x14ac:dyDescent="0.3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</row>
    <row r="349" spans="1:42" ht="15.75" customHeight="1" x14ac:dyDescent="0.3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</row>
    <row r="350" spans="1:42" ht="15.75" customHeight="1" x14ac:dyDescent="0.3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</row>
    <row r="351" spans="1:42" ht="15.75" customHeight="1" x14ac:dyDescent="0.3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</row>
    <row r="352" spans="1:42" ht="15.75" customHeight="1" x14ac:dyDescent="0.3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</row>
    <row r="353" spans="1:42" ht="15.75" customHeight="1" x14ac:dyDescent="0.3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</row>
    <row r="354" spans="1:42" ht="15.75" customHeight="1" x14ac:dyDescent="0.3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</row>
    <row r="355" spans="1:42" ht="15.75" customHeight="1" x14ac:dyDescent="0.3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</row>
    <row r="356" spans="1:42" ht="15.75" customHeight="1" x14ac:dyDescent="0.3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</row>
    <row r="357" spans="1:42" ht="15.75" customHeight="1" x14ac:dyDescent="0.3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</row>
    <row r="358" spans="1:42" ht="15.75" customHeight="1" x14ac:dyDescent="0.3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</row>
    <row r="359" spans="1:42" ht="15.75" customHeight="1" x14ac:dyDescent="0.3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</row>
    <row r="360" spans="1:42" ht="15.75" customHeight="1" x14ac:dyDescent="0.3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</row>
    <row r="361" spans="1:42" ht="15.75" customHeight="1" x14ac:dyDescent="0.3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</row>
    <row r="362" spans="1:42" ht="15.75" customHeight="1" x14ac:dyDescent="0.3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</row>
    <row r="363" spans="1:42" ht="15.75" customHeight="1" x14ac:dyDescent="0.3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</row>
    <row r="364" spans="1:42" ht="15.75" customHeight="1" x14ac:dyDescent="0.3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</row>
    <row r="365" spans="1:42" ht="15.75" customHeight="1" x14ac:dyDescent="0.3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</row>
    <row r="366" spans="1:42" ht="15.75" customHeight="1" x14ac:dyDescent="0.3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</row>
    <row r="367" spans="1:42" ht="15.75" customHeight="1" x14ac:dyDescent="0.3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</row>
    <row r="368" spans="1:42" ht="15.75" customHeight="1" x14ac:dyDescent="0.3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</row>
    <row r="369" spans="1:42" ht="15.75" customHeight="1" x14ac:dyDescent="0.3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</row>
    <row r="370" spans="1:42" ht="15.75" customHeight="1" x14ac:dyDescent="0.3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</row>
    <row r="371" spans="1:42" ht="15.75" customHeight="1" x14ac:dyDescent="0.3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</row>
    <row r="372" spans="1:42" ht="15.75" customHeight="1" x14ac:dyDescent="0.3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</row>
    <row r="373" spans="1:42" ht="15.75" customHeight="1" x14ac:dyDescent="0.3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</row>
    <row r="374" spans="1:42" ht="15.75" customHeight="1" x14ac:dyDescent="0.3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</row>
    <row r="375" spans="1:42" ht="15.75" customHeight="1" x14ac:dyDescent="0.3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</row>
    <row r="376" spans="1:42" ht="15.75" customHeight="1" x14ac:dyDescent="0.3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</row>
    <row r="377" spans="1:42" ht="15.75" customHeight="1" x14ac:dyDescent="0.3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</row>
    <row r="378" spans="1:42" ht="15.75" customHeight="1" x14ac:dyDescent="0.3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</row>
    <row r="379" spans="1:42" ht="15.75" customHeight="1" x14ac:dyDescent="0.3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</row>
    <row r="380" spans="1:42" ht="15.75" customHeight="1" x14ac:dyDescent="0.3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</row>
    <row r="381" spans="1:42" ht="15.75" customHeight="1" x14ac:dyDescent="0.3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</row>
    <row r="382" spans="1:42" ht="15.75" customHeight="1" x14ac:dyDescent="0.3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</row>
    <row r="383" spans="1:42" ht="15.75" customHeight="1" x14ac:dyDescent="0.3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</row>
    <row r="384" spans="1:42" ht="15.75" customHeight="1" x14ac:dyDescent="0.3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</row>
    <row r="385" spans="1:42" ht="15.75" customHeight="1" x14ac:dyDescent="0.3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</row>
    <row r="386" spans="1:42" ht="15.75" customHeight="1" x14ac:dyDescent="0.3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</row>
    <row r="387" spans="1:42" ht="15.75" customHeight="1" x14ac:dyDescent="0.3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</row>
    <row r="388" spans="1:42" ht="15.75" customHeight="1" x14ac:dyDescent="0.3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</row>
    <row r="389" spans="1:42" ht="15.75" customHeight="1" x14ac:dyDescent="0.3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</row>
    <row r="390" spans="1:42" ht="15.75" customHeight="1" x14ac:dyDescent="0.3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</row>
    <row r="391" spans="1:42" ht="15.75" customHeight="1" x14ac:dyDescent="0.3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</row>
    <row r="392" spans="1:42" ht="15.75" customHeight="1" x14ac:dyDescent="0.3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</row>
    <row r="393" spans="1:42" ht="15.75" customHeight="1" x14ac:dyDescent="0.3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</row>
    <row r="394" spans="1:42" ht="15.75" customHeight="1" x14ac:dyDescent="0.3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</row>
    <row r="395" spans="1:42" ht="15.75" customHeight="1" x14ac:dyDescent="0.3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</row>
    <row r="396" spans="1:42" ht="15.75" customHeight="1" x14ac:dyDescent="0.3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</row>
    <row r="397" spans="1:42" ht="15.75" customHeight="1" x14ac:dyDescent="0.3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</row>
    <row r="398" spans="1:42" ht="15.75" customHeight="1" x14ac:dyDescent="0.3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</row>
    <row r="399" spans="1:42" ht="15.75" customHeight="1" x14ac:dyDescent="0.3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</row>
    <row r="400" spans="1:42" ht="15.75" customHeight="1" x14ac:dyDescent="0.3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</row>
    <row r="401" spans="1:42" ht="15.75" customHeight="1" x14ac:dyDescent="0.3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</row>
    <row r="402" spans="1:42" ht="15.75" customHeight="1" x14ac:dyDescent="0.3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</row>
    <row r="403" spans="1:42" ht="15.75" customHeight="1" x14ac:dyDescent="0.3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</row>
    <row r="404" spans="1:42" ht="15.75" customHeight="1" x14ac:dyDescent="0.3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</row>
    <row r="405" spans="1:42" ht="15.75" customHeight="1" x14ac:dyDescent="0.3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</row>
    <row r="406" spans="1:42" ht="15.75" customHeight="1" x14ac:dyDescent="0.3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</row>
    <row r="407" spans="1:42" ht="15.75" customHeight="1" x14ac:dyDescent="0.3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</row>
    <row r="408" spans="1:42" ht="15.75" customHeight="1" x14ac:dyDescent="0.3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</row>
    <row r="409" spans="1:42" ht="15.75" customHeight="1" x14ac:dyDescent="0.3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</row>
    <row r="410" spans="1:42" ht="15.75" customHeight="1" x14ac:dyDescent="0.3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</row>
    <row r="411" spans="1:42" ht="15.75" customHeight="1" x14ac:dyDescent="0.3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</row>
    <row r="412" spans="1:42" ht="15.75" customHeight="1" x14ac:dyDescent="0.3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</row>
    <row r="413" spans="1:42" ht="15.75" customHeight="1" x14ac:dyDescent="0.3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</row>
    <row r="414" spans="1:42" ht="15.75" customHeight="1" x14ac:dyDescent="0.3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</row>
    <row r="415" spans="1:42" ht="15.75" customHeight="1" x14ac:dyDescent="0.3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</row>
    <row r="416" spans="1:42" ht="15.75" customHeight="1" x14ac:dyDescent="0.3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</row>
    <row r="417" spans="1:42" ht="15.75" customHeight="1" x14ac:dyDescent="0.3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</row>
    <row r="418" spans="1:42" ht="15.75" customHeight="1" x14ac:dyDescent="0.3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</row>
    <row r="419" spans="1:42" ht="15.75" customHeight="1" x14ac:dyDescent="0.3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</row>
    <row r="420" spans="1:42" ht="15.75" customHeight="1" x14ac:dyDescent="0.3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</row>
    <row r="421" spans="1:42" ht="15.75" customHeight="1" x14ac:dyDescent="0.3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</row>
    <row r="422" spans="1:42" ht="15.75" customHeight="1" x14ac:dyDescent="0.3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</row>
    <row r="423" spans="1:42" ht="15.75" customHeight="1" x14ac:dyDescent="0.3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</row>
    <row r="424" spans="1:42" ht="15.75" customHeight="1" x14ac:dyDescent="0.3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</row>
    <row r="425" spans="1:42" ht="15.75" customHeight="1" x14ac:dyDescent="0.3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</row>
    <row r="426" spans="1:42" ht="15.75" customHeight="1" x14ac:dyDescent="0.3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</row>
    <row r="427" spans="1:42" ht="15.75" customHeight="1" x14ac:dyDescent="0.3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</row>
    <row r="428" spans="1:42" ht="15.75" customHeight="1" x14ac:dyDescent="0.3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</row>
    <row r="429" spans="1:42" ht="15.75" customHeight="1" x14ac:dyDescent="0.3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</row>
    <row r="430" spans="1:42" ht="15.75" customHeight="1" x14ac:dyDescent="0.3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</row>
    <row r="431" spans="1:42" ht="15.75" customHeight="1" x14ac:dyDescent="0.3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</row>
    <row r="432" spans="1:42" ht="15.75" customHeight="1" x14ac:dyDescent="0.3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</row>
    <row r="433" spans="1:42" ht="15.75" customHeight="1" x14ac:dyDescent="0.3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</row>
    <row r="434" spans="1:42" ht="15.75" customHeight="1" x14ac:dyDescent="0.3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</row>
    <row r="435" spans="1:42" ht="15.75" customHeight="1" x14ac:dyDescent="0.3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</row>
    <row r="436" spans="1:42" ht="15.75" customHeight="1" x14ac:dyDescent="0.3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</row>
    <row r="437" spans="1:42" ht="15.75" customHeight="1" x14ac:dyDescent="0.3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</row>
    <row r="438" spans="1:42" ht="15.75" customHeight="1" x14ac:dyDescent="0.3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</row>
    <row r="439" spans="1:42" ht="15.75" customHeight="1" x14ac:dyDescent="0.3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</row>
    <row r="440" spans="1:42" ht="15.75" customHeight="1" x14ac:dyDescent="0.3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</row>
    <row r="441" spans="1:42" ht="15.75" customHeight="1" x14ac:dyDescent="0.3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</row>
    <row r="442" spans="1:42" ht="15.75" customHeight="1" x14ac:dyDescent="0.3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</row>
    <row r="443" spans="1:42" ht="15.75" customHeight="1" x14ac:dyDescent="0.3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</row>
    <row r="444" spans="1:42" ht="15.75" customHeight="1" x14ac:dyDescent="0.3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</row>
    <row r="445" spans="1:42" ht="15.75" customHeight="1" x14ac:dyDescent="0.3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</row>
    <row r="446" spans="1:42" ht="15.75" customHeight="1" x14ac:dyDescent="0.3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</row>
    <row r="447" spans="1:42" ht="15.75" customHeight="1" x14ac:dyDescent="0.3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</row>
    <row r="448" spans="1:42" ht="15.75" customHeight="1" x14ac:dyDescent="0.3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</row>
    <row r="449" spans="1:42" ht="15.75" customHeight="1" x14ac:dyDescent="0.3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</row>
    <row r="450" spans="1:42" ht="15.75" customHeight="1" x14ac:dyDescent="0.3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</row>
    <row r="451" spans="1:42" ht="15.75" customHeight="1" x14ac:dyDescent="0.3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</row>
    <row r="452" spans="1:42" ht="15.75" customHeight="1" x14ac:dyDescent="0.3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</row>
    <row r="453" spans="1:42" ht="15.75" customHeight="1" x14ac:dyDescent="0.3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</row>
    <row r="454" spans="1:42" ht="15.75" customHeight="1" x14ac:dyDescent="0.3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</row>
    <row r="455" spans="1:42" ht="15.75" customHeight="1" x14ac:dyDescent="0.3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</row>
    <row r="456" spans="1:42" ht="15.75" customHeight="1" x14ac:dyDescent="0.3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</row>
    <row r="457" spans="1:42" ht="15.75" customHeight="1" x14ac:dyDescent="0.3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</row>
    <row r="458" spans="1:42" ht="15.75" customHeight="1" x14ac:dyDescent="0.3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</row>
    <row r="459" spans="1:42" ht="15.75" customHeight="1" x14ac:dyDescent="0.3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</row>
    <row r="460" spans="1:42" ht="15.75" customHeight="1" x14ac:dyDescent="0.3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</row>
    <row r="461" spans="1:42" ht="15.75" customHeight="1" x14ac:dyDescent="0.3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</row>
    <row r="462" spans="1:42" ht="15.75" customHeight="1" x14ac:dyDescent="0.3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</row>
    <row r="463" spans="1:42" ht="15.75" customHeight="1" x14ac:dyDescent="0.3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</row>
    <row r="464" spans="1:42" ht="15.75" customHeight="1" x14ac:dyDescent="0.3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</row>
    <row r="465" spans="1:42" ht="15.75" customHeight="1" x14ac:dyDescent="0.3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</row>
    <row r="466" spans="1:42" ht="15.75" customHeight="1" x14ac:dyDescent="0.3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</row>
    <row r="467" spans="1:42" ht="15.75" customHeight="1" x14ac:dyDescent="0.3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</row>
    <row r="468" spans="1:42" ht="15.75" customHeight="1" x14ac:dyDescent="0.3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</row>
    <row r="469" spans="1:42" ht="15.75" customHeight="1" x14ac:dyDescent="0.3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</row>
    <row r="470" spans="1:42" ht="15.75" customHeight="1" x14ac:dyDescent="0.3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</row>
    <row r="471" spans="1:42" ht="15.75" customHeight="1" x14ac:dyDescent="0.3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</row>
    <row r="472" spans="1:42" ht="15.75" customHeight="1" x14ac:dyDescent="0.3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</row>
    <row r="473" spans="1:42" ht="15.75" customHeight="1" x14ac:dyDescent="0.3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</row>
    <row r="474" spans="1:42" ht="15.75" customHeight="1" x14ac:dyDescent="0.3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</row>
    <row r="475" spans="1:42" ht="15.75" customHeight="1" x14ac:dyDescent="0.3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</row>
    <row r="476" spans="1:42" ht="15.75" customHeight="1" x14ac:dyDescent="0.3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</row>
    <row r="477" spans="1:42" ht="15.75" customHeight="1" x14ac:dyDescent="0.3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</row>
    <row r="478" spans="1:42" ht="15.75" customHeight="1" x14ac:dyDescent="0.3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</row>
    <row r="479" spans="1:42" ht="15.75" customHeight="1" x14ac:dyDescent="0.3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</row>
    <row r="480" spans="1:42" ht="15.75" customHeight="1" x14ac:dyDescent="0.3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</row>
    <row r="481" spans="1:42" ht="15.75" customHeight="1" x14ac:dyDescent="0.3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</row>
    <row r="482" spans="1:42" ht="15.75" customHeight="1" x14ac:dyDescent="0.3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</row>
    <row r="483" spans="1:42" ht="15.75" customHeight="1" x14ac:dyDescent="0.3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</row>
    <row r="484" spans="1:42" ht="15.75" customHeight="1" x14ac:dyDescent="0.3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</row>
    <row r="485" spans="1:42" ht="15.75" customHeight="1" x14ac:dyDescent="0.3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</row>
    <row r="486" spans="1:42" ht="15.75" customHeight="1" x14ac:dyDescent="0.3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</row>
    <row r="487" spans="1:42" ht="15.75" customHeight="1" x14ac:dyDescent="0.3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</row>
    <row r="488" spans="1:42" ht="15.75" customHeight="1" x14ac:dyDescent="0.3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</row>
    <row r="489" spans="1:42" ht="15.75" customHeight="1" x14ac:dyDescent="0.3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</row>
    <row r="490" spans="1:42" ht="15.75" customHeight="1" x14ac:dyDescent="0.3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</row>
    <row r="491" spans="1:42" ht="15.75" customHeight="1" x14ac:dyDescent="0.3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</row>
    <row r="492" spans="1:42" ht="15.75" customHeight="1" x14ac:dyDescent="0.3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</row>
    <row r="493" spans="1:42" ht="15.75" customHeight="1" x14ac:dyDescent="0.3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</row>
    <row r="494" spans="1:42" ht="15.75" customHeight="1" x14ac:dyDescent="0.3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</row>
    <row r="495" spans="1:42" ht="15.75" customHeight="1" x14ac:dyDescent="0.3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</row>
    <row r="496" spans="1:42" ht="15.75" customHeight="1" x14ac:dyDescent="0.3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</row>
    <row r="497" spans="1:42" ht="15.75" customHeight="1" x14ac:dyDescent="0.3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</row>
    <row r="498" spans="1:42" ht="15.75" customHeight="1" x14ac:dyDescent="0.3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</row>
    <row r="499" spans="1:42" ht="15.75" customHeight="1" x14ac:dyDescent="0.3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</row>
    <row r="500" spans="1:42" ht="15.75" customHeight="1" x14ac:dyDescent="0.3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</row>
    <row r="501" spans="1:42" ht="15.75" customHeight="1" x14ac:dyDescent="0.3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</row>
    <row r="502" spans="1:42" ht="15.75" customHeight="1" x14ac:dyDescent="0.3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</row>
    <row r="503" spans="1:42" ht="15.75" customHeight="1" x14ac:dyDescent="0.3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</row>
    <row r="504" spans="1:42" ht="15.75" customHeight="1" x14ac:dyDescent="0.3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</row>
    <row r="505" spans="1:42" ht="15.75" customHeight="1" x14ac:dyDescent="0.3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</row>
    <row r="506" spans="1:42" ht="15.75" customHeight="1" x14ac:dyDescent="0.3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</row>
    <row r="507" spans="1:42" ht="15.75" customHeight="1" x14ac:dyDescent="0.3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</row>
    <row r="508" spans="1:42" ht="15.75" customHeight="1" x14ac:dyDescent="0.3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</row>
    <row r="509" spans="1:42" ht="15.75" customHeight="1" x14ac:dyDescent="0.3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</row>
    <row r="510" spans="1:42" ht="15.75" customHeight="1" x14ac:dyDescent="0.3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</row>
    <row r="511" spans="1:42" ht="15.75" customHeight="1" x14ac:dyDescent="0.3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</row>
    <row r="512" spans="1:42" ht="15.75" customHeight="1" x14ac:dyDescent="0.3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</row>
    <row r="513" spans="1:42" ht="15.75" customHeight="1" x14ac:dyDescent="0.3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</row>
    <row r="514" spans="1:42" ht="15.75" customHeight="1" x14ac:dyDescent="0.3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</row>
    <row r="515" spans="1:42" ht="15.75" customHeight="1" x14ac:dyDescent="0.3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</row>
    <row r="516" spans="1:42" ht="15.75" customHeight="1" x14ac:dyDescent="0.3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</row>
    <row r="517" spans="1:42" ht="15.75" customHeight="1" x14ac:dyDescent="0.3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</row>
    <row r="518" spans="1:42" ht="15.75" customHeight="1" x14ac:dyDescent="0.3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</row>
    <row r="519" spans="1:42" ht="15.75" customHeight="1" x14ac:dyDescent="0.3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</row>
    <row r="520" spans="1:42" ht="15.75" customHeight="1" x14ac:dyDescent="0.3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</row>
    <row r="521" spans="1:42" ht="15.75" customHeight="1" x14ac:dyDescent="0.3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</row>
    <row r="522" spans="1:42" ht="15.75" customHeight="1" x14ac:dyDescent="0.3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</row>
    <row r="523" spans="1:42" ht="15.75" customHeight="1" x14ac:dyDescent="0.3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</row>
    <row r="524" spans="1:42" ht="15.75" customHeight="1" x14ac:dyDescent="0.3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</row>
    <row r="525" spans="1:42" ht="15.75" customHeight="1" x14ac:dyDescent="0.3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</row>
    <row r="526" spans="1:42" ht="15.75" customHeight="1" x14ac:dyDescent="0.3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</row>
    <row r="527" spans="1:42" ht="15.75" customHeight="1" x14ac:dyDescent="0.3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</row>
    <row r="528" spans="1:42" ht="15.75" customHeight="1" x14ac:dyDescent="0.3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</row>
    <row r="529" spans="1:42" ht="15.75" customHeight="1" x14ac:dyDescent="0.3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</row>
    <row r="530" spans="1:42" ht="15.75" customHeight="1" x14ac:dyDescent="0.3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</row>
    <row r="531" spans="1:42" ht="15.75" customHeight="1" x14ac:dyDescent="0.3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</row>
    <row r="532" spans="1:42" ht="15.75" customHeight="1" x14ac:dyDescent="0.3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</row>
    <row r="533" spans="1:42" ht="15.75" customHeight="1" x14ac:dyDescent="0.3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</row>
    <row r="534" spans="1:42" ht="15.75" customHeight="1" x14ac:dyDescent="0.3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</row>
    <row r="535" spans="1:42" ht="15.75" customHeight="1" x14ac:dyDescent="0.3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</row>
    <row r="536" spans="1:42" ht="15.75" customHeight="1" x14ac:dyDescent="0.3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</row>
    <row r="537" spans="1:42" ht="15.75" customHeight="1" x14ac:dyDescent="0.3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</row>
    <row r="538" spans="1:42" ht="15.75" customHeight="1" x14ac:dyDescent="0.3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</row>
    <row r="539" spans="1:42" ht="15.75" customHeight="1" x14ac:dyDescent="0.3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</row>
    <row r="540" spans="1:42" ht="15.75" customHeight="1" x14ac:dyDescent="0.3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</row>
    <row r="541" spans="1:42" ht="15.75" customHeight="1" x14ac:dyDescent="0.3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</row>
    <row r="542" spans="1:42" ht="15.75" customHeight="1" x14ac:dyDescent="0.3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</row>
    <row r="543" spans="1:42" ht="15.75" customHeight="1" x14ac:dyDescent="0.3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</row>
    <row r="544" spans="1:42" ht="15.75" customHeight="1" x14ac:dyDescent="0.3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</row>
    <row r="545" spans="1:42" ht="15.75" customHeight="1" x14ac:dyDescent="0.3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</row>
    <row r="546" spans="1:42" ht="15.75" customHeight="1" x14ac:dyDescent="0.3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</row>
    <row r="547" spans="1:42" ht="15.75" customHeight="1" x14ac:dyDescent="0.3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</row>
    <row r="548" spans="1:42" ht="15.75" customHeight="1" x14ac:dyDescent="0.3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</row>
    <row r="549" spans="1:42" ht="15.75" customHeight="1" x14ac:dyDescent="0.3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</row>
    <row r="550" spans="1:42" ht="15.75" customHeight="1" x14ac:dyDescent="0.3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</row>
    <row r="551" spans="1:42" ht="15.75" customHeight="1" x14ac:dyDescent="0.3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</row>
    <row r="552" spans="1:42" ht="15.75" customHeight="1" x14ac:dyDescent="0.3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</row>
    <row r="553" spans="1:42" ht="15.75" customHeight="1" x14ac:dyDescent="0.3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</row>
    <row r="554" spans="1:42" ht="15.75" customHeight="1" x14ac:dyDescent="0.3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6"/>
      <c r="AK554" s="86"/>
      <c r="AL554" s="86"/>
      <c r="AM554" s="86"/>
      <c r="AN554" s="86"/>
      <c r="AO554" s="86"/>
      <c r="AP554" s="86"/>
    </row>
    <row r="555" spans="1:42" ht="15.75" customHeight="1" x14ac:dyDescent="0.3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  <c r="AI555" s="86"/>
      <c r="AJ555" s="86"/>
      <c r="AK555" s="86"/>
      <c r="AL555" s="86"/>
      <c r="AM555" s="86"/>
      <c r="AN555" s="86"/>
      <c r="AO555" s="86"/>
      <c r="AP555" s="86"/>
    </row>
    <row r="556" spans="1:42" ht="15.75" customHeight="1" x14ac:dyDescent="0.3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86"/>
      <c r="AI556" s="86"/>
      <c r="AJ556" s="86"/>
      <c r="AK556" s="86"/>
      <c r="AL556" s="86"/>
      <c r="AM556" s="86"/>
      <c r="AN556" s="86"/>
      <c r="AO556" s="86"/>
      <c r="AP556" s="86"/>
    </row>
    <row r="557" spans="1:42" ht="15.75" customHeight="1" x14ac:dyDescent="0.3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86"/>
      <c r="AI557" s="86"/>
      <c r="AJ557" s="86"/>
      <c r="AK557" s="86"/>
      <c r="AL557" s="86"/>
      <c r="AM557" s="86"/>
      <c r="AN557" s="86"/>
      <c r="AO557" s="86"/>
      <c r="AP557" s="86"/>
    </row>
    <row r="558" spans="1:42" ht="15.75" customHeight="1" x14ac:dyDescent="0.3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86"/>
      <c r="AI558" s="86"/>
      <c r="AJ558" s="86"/>
      <c r="AK558" s="86"/>
      <c r="AL558" s="86"/>
      <c r="AM558" s="86"/>
      <c r="AN558" s="86"/>
      <c r="AO558" s="86"/>
      <c r="AP558" s="86"/>
    </row>
    <row r="559" spans="1:42" ht="15.75" customHeight="1" x14ac:dyDescent="0.3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  <c r="AA559" s="86"/>
      <c r="AB559" s="86"/>
      <c r="AC559" s="86"/>
      <c r="AD559" s="86"/>
      <c r="AE559" s="86"/>
      <c r="AF559" s="86"/>
      <c r="AG559" s="86"/>
      <c r="AH559" s="86"/>
      <c r="AI559" s="86"/>
      <c r="AJ559" s="86"/>
      <c r="AK559" s="86"/>
      <c r="AL559" s="86"/>
      <c r="AM559" s="86"/>
      <c r="AN559" s="86"/>
      <c r="AO559" s="86"/>
      <c r="AP559" s="86"/>
    </row>
    <row r="560" spans="1:42" ht="15.75" customHeight="1" x14ac:dyDescent="0.3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  <c r="AA560" s="86"/>
      <c r="AB560" s="86"/>
      <c r="AC560" s="86"/>
      <c r="AD560" s="86"/>
      <c r="AE560" s="86"/>
      <c r="AF560" s="86"/>
      <c r="AG560" s="86"/>
      <c r="AH560" s="86"/>
      <c r="AI560" s="86"/>
      <c r="AJ560" s="86"/>
      <c r="AK560" s="86"/>
      <c r="AL560" s="86"/>
      <c r="AM560" s="86"/>
      <c r="AN560" s="86"/>
      <c r="AO560" s="86"/>
      <c r="AP560" s="86"/>
    </row>
    <row r="561" spans="1:42" ht="15.75" customHeight="1" x14ac:dyDescent="0.3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86"/>
      <c r="AI561" s="86"/>
      <c r="AJ561" s="86"/>
      <c r="AK561" s="86"/>
      <c r="AL561" s="86"/>
      <c r="AM561" s="86"/>
      <c r="AN561" s="86"/>
      <c r="AO561" s="86"/>
      <c r="AP561" s="86"/>
    </row>
    <row r="562" spans="1:42" ht="15.75" customHeight="1" x14ac:dyDescent="0.3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86"/>
      <c r="AC562" s="86"/>
      <c r="AD562" s="86"/>
      <c r="AE562" s="86"/>
      <c r="AF562" s="86"/>
      <c r="AG562" s="86"/>
      <c r="AH562" s="86"/>
      <c r="AI562" s="86"/>
      <c r="AJ562" s="86"/>
      <c r="AK562" s="86"/>
      <c r="AL562" s="86"/>
      <c r="AM562" s="86"/>
      <c r="AN562" s="86"/>
      <c r="AO562" s="86"/>
      <c r="AP562" s="86"/>
    </row>
    <row r="563" spans="1:42" ht="15.75" customHeight="1" x14ac:dyDescent="0.3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86"/>
      <c r="AI563" s="86"/>
      <c r="AJ563" s="86"/>
      <c r="AK563" s="86"/>
      <c r="AL563" s="86"/>
      <c r="AM563" s="86"/>
      <c r="AN563" s="86"/>
      <c r="AO563" s="86"/>
      <c r="AP563" s="86"/>
    </row>
    <row r="564" spans="1:42" ht="15.75" customHeight="1" x14ac:dyDescent="0.3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  <c r="AI564" s="86"/>
      <c r="AJ564" s="86"/>
      <c r="AK564" s="86"/>
      <c r="AL564" s="86"/>
      <c r="AM564" s="86"/>
      <c r="AN564" s="86"/>
      <c r="AO564" s="86"/>
      <c r="AP564" s="86"/>
    </row>
    <row r="565" spans="1:42" ht="15.75" customHeight="1" x14ac:dyDescent="0.3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  <c r="AI565" s="86"/>
      <c r="AJ565" s="86"/>
      <c r="AK565" s="86"/>
      <c r="AL565" s="86"/>
      <c r="AM565" s="86"/>
      <c r="AN565" s="86"/>
      <c r="AO565" s="86"/>
      <c r="AP565" s="86"/>
    </row>
    <row r="566" spans="1:42" ht="15.75" customHeight="1" x14ac:dyDescent="0.3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86"/>
      <c r="AI566" s="86"/>
      <c r="AJ566" s="86"/>
      <c r="AK566" s="86"/>
      <c r="AL566" s="86"/>
      <c r="AM566" s="86"/>
      <c r="AN566" s="86"/>
      <c r="AO566" s="86"/>
      <c r="AP566" s="86"/>
    </row>
    <row r="567" spans="1:42" ht="15.75" customHeight="1" x14ac:dyDescent="0.3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86"/>
      <c r="AI567" s="86"/>
      <c r="AJ567" s="86"/>
      <c r="AK567" s="86"/>
      <c r="AL567" s="86"/>
      <c r="AM567" s="86"/>
      <c r="AN567" s="86"/>
      <c r="AO567" s="86"/>
      <c r="AP567" s="86"/>
    </row>
    <row r="568" spans="1:42" ht="15.75" customHeight="1" x14ac:dyDescent="0.3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86"/>
      <c r="AI568" s="86"/>
      <c r="AJ568" s="86"/>
      <c r="AK568" s="86"/>
      <c r="AL568" s="86"/>
      <c r="AM568" s="86"/>
      <c r="AN568" s="86"/>
      <c r="AO568" s="86"/>
      <c r="AP568" s="86"/>
    </row>
    <row r="569" spans="1:42" ht="15.75" customHeight="1" x14ac:dyDescent="0.3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86"/>
      <c r="AI569" s="86"/>
      <c r="AJ569" s="86"/>
      <c r="AK569" s="86"/>
      <c r="AL569" s="86"/>
      <c r="AM569" s="86"/>
      <c r="AN569" s="86"/>
      <c r="AO569" s="86"/>
      <c r="AP569" s="86"/>
    </row>
    <row r="570" spans="1:42" ht="15.75" customHeight="1" x14ac:dyDescent="0.3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6"/>
      <c r="AK570" s="86"/>
      <c r="AL570" s="86"/>
      <c r="AM570" s="86"/>
      <c r="AN570" s="86"/>
      <c r="AO570" s="86"/>
      <c r="AP570" s="86"/>
    </row>
    <row r="571" spans="1:42" ht="15.75" customHeight="1" x14ac:dyDescent="0.3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86"/>
      <c r="AI571" s="86"/>
      <c r="AJ571" s="86"/>
      <c r="AK571" s="86"/>
      <c r="AL571" s="86"/>
      <c r="AM571" s="86"/>
      <c r="AN571" s="86"/>
      <c r="AO571" s="86"/>
      <c r="AP571" s="86"/>
    </row>
    <row r="572" spans="1:42" ht="15.75" customHeight="1" x14ac:dyDescent="0.3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  <c r="AA572" s="86"/>
      <c r="AB572" s="86"/>
      <c r="AC572" s="86"/>
      <c r="AD572" s="86"/>
      <c r="AE572" s="86"/>
      <c r="AF572" s="86"/>
      <c r="AG572" s="86"/>
      <c r="AH572" s="86"/>
      <c r="AI572" s="86"/>
      <c r="AJ572" s="86"/>
      <c r="AK572" s="86"/>
      <c r="AL572" s="86"/>
      <c r="AM572" s="86"/>
      <c r="AN572" s="86"/>
      <c r="AO572" s="86"/>
      <c r="AP572" s="86"/>
    </row>
    <row r="573" spans="1:42" ht="15.75" customHeight="1" x14ac:dyDescent="0.3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  <c r="AA573" s="86"/>
      <c r="AB573" s="86"/>
      <c r="AC573" s="86"/>
      <c r="AD573" s="86"/>
      <c r="AE573" s="86"/>
      <c r="AF573" s="86"/>
      <c r="AG573" s="86"/>
      <c r="AH573" s="86"/>
      <c r="AI573" s="86"/>
      <c r="AJ573" s="86"/>
      <c r="AK573" s="86"/>
      <c r="AL573" s="86"/>
      <c r="AM573" s="86"/>
      <c r="AN573" s="86"/>
      <c r="AO573" s="86"/>
      <c r="AP573" s="86"/>
    </row>
    <row r="574" spans="1:42" ht="15.75" customHeight="1" x14ac:dyDescent="0.3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86"/>
      <c r="AI574" s="86"/>
      <c r="AJ574" s="86"/>
      <c r="AK574" s="86"/>
      <c r="AL574" s="86"/>
      <c r="AM574" s="86"/>
      <c r="AN574" s="86"/>
      <c r="AO574" s="86"/>
      <c r="AP574" s="86"/>
    </row>
    <row r="575" spans="1:42" ht="15.75" customHeight="1" x14ac:dyDescent="0.3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/>
      <c r="AH575" s="86"/>
      <c r="AI575" s="86"/>
      <c r="AJ575" s="86"/>
      <c r="AK575" s="86"/>
      <c r="AL575" s="86"/>
      <c r="AM575" s="86"/>
      <c r="AN575" s="86"/>
      <c r="AO575" s="86"/>
      <c r="AP575" s="86"/>
    </row>
    <row r="576" spans="1:42" ht="15.75" customHeight="1" x14ac:dyDescent="0.3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  <c r="AA576" s="86"/>
      <c r="AB576" s="86"/>
      <c r="AC576" s="86"/>
      <c r="AD576" s="86"/>
      <c r="AE576" s="86"/>
      <c r="AF576" s="86"/>
      <c r="AG576" s="86"/>
      <c r="AH576" s="86"/>
      <c r="AI576" s="86"/>
      <c r="AJ576" s="86"/>
      <c r="AK576" s="86"/>
      <c r="AL576" s="86"/>
      <c r="AM576" s="86"/>
      <c r="AN576" s="86"/>
      <c r="AO576" s="86"/>
      <c r="AP576" s="86"/>
    </row>
    <row r="577" spans="1:42" ht="15.75" customHeight="1" x14ac:dyDescent="0.3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86"/>
      <c r="AI577" s="86"/>
      <c r="AJ577" s="86"/>
      <c r="AK577" s="86"/>
      <c r="AL577" s="86"/>
      <c r="AM577" s="86"/>
      <c r="AN577" s="86"/>
      <c r="AO577" s="86"/>
      <c r="AP577" s="86"/>
    </row>
    <row r="578" spans="1:42" ht="15.75" customHeight="1" x14ac:dyDescent="0.3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86"/>
      <c r="AI578" s="86"/>
      <c r="AJ578" s="86"/>
      <c r="AK578" s="86"/>
      <c r="AL578" s="86"/>
      <c r="AM578" s="86"/>
      <c r="AN578" s="86"/>
      <c r="AO578" s="86"/>
      <c r="AP578" s="86"/>
    </row>
    <row r="579" spans="1:42" ht="15.75" customHeight="1" x14ac:dyDescent="0.3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86"/>
      <c r="AI579" s="86"/>
      <c r="AJ579" s="86"/>
      <c r="AK579" s="86"/>
      <c r="AL579" s="86"/>
      <c r="AM579" s="86"/>
      <c r="AN579" s="86"/>
      <c r="AO579" s="86"/>
      <c r="AP579" s="86"/>
    </row>
    <row r="580" spans="1:42" ht="15.75" customHeight="1" x14ac:dyDescent="0.3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86"/>
      <c r="AI580" s="86"/>
      <c r="AJ580" s="86"/>
      <c r="AK580" s="86"/>
      <c r="AL580" s="86"/>
      <c r="AM580" s="86"/>
      <c r="AN580" s="86"/>
      <c r="AO580" s="86"/>
      <c r="AP580" s="86"/>
    </row>
    <row r="581" spans="1:42" ht="15.75" customHeight="1" x14ac:dyDescent="0.3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86"/>
      <c r="AI581" s="86"/>
      <c r="AJ581" s="86"/>
      <c r="AK581" s="86"/>
      <c r="AL581" s="86"/>
      <c r="AM581" s="86"/>
      <c r="AN581" s="86"/>
      <c r="AO581" s="86"/>
      <c r="AP581" s="86"/>
    </row>
    <row r="582" spans="1:42" ht="15.75" customHeight="1" x14ac:dyDescent="0.3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86"/>
      <c r="AI582" s="86"/>
      <c r="AJ582" s="86"/>
      <c r="AK582" s="86"/>
      <c r="AL582" s="86"/>
      <c r="AM582" s="86"/>
      <c r="AN582" s="86"/>
      <c r="AO582" s="86"/>
      <c r="AP582" s="86"/>
    </row>
    <row r="583" spans="1:42" ht="15.75" customHeight="1" x14ac:dyDescent="0.3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  <c r="AI583" s="86"/>
      <c r="AJ583" s="86"/>
      <c r="AK583" s="86"/>
      <c r="AL583" s="86"/>
      <c r="AM583" s="86"/>
      <c r="AN583" s="86"/>
      <c r="AO583" s="86"/>
      <c r="AP583" s="86"/>
    </row>
    <row r="584" spans="1:42" ht="15.75" customHeight="1" x14ac:dyDescent="0.3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  <c r="AI584" s="86"/>
      <c r="AJ584" s="86"/>
      <c r="AK584" s="86"/>
      <c r="AL584" s="86"/>
      <c r="AM584" s="86"/>
      <c r="AN584" s="86"/>
      <c r="AO584" s="86"/>
      <c r="AP584" s="86"/>
    </row>
    <row r="585" spans="1:42" ht="15.75" customHeight="1" x14ac:dyDescent="0.3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6"/>
      <c r="AK585" s="86"/>
      <c r="AL585" s="86"/>
      <c r="AM585" s="86"/>
      <c r="AN585" s="86"/>
      <c r="AO585" s="86"/>
      <c r="AP585" s="86"/>
    </row>
    <row r="586" spans="1:42" ht="15.75" customHeight="1" x14ac:dyDescent="0.3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6"/>
      <c r="AK586" s="86"/>
      <c r="AL586" s="86"/>
      <c r="AM586" s="86"/>
      <c r="AN586" s="86"/>
      <c r="AO586" s="86"/>
      <c r="AP586" s="86"/>
    </row>
    <row r="587" spans="1:42" ht="15.75" customHeight="1" x14ac:dyDescent="0.3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86"/>
      <c r="AI587" s="86"/>
      <c r="AJ587" s="86"/>
      <c r="AK587" s="86"/>
      <c r="AL587" s="86"/>
      <c r="AM587" s="86"/>
      <c r="AN587" s="86"/>
      <c r="AO587" s="86"/>
      <c r="AP587" s="86"/>
    </row>
    <row r="588" spans="1:42" ht="15.75" customHeight="1" x14ac:dyDescent="0.3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86"/>
      <c r="AI588" s="86"/>
      <c r="AJ588" s="86"/>
      <c r="AK588" s="86"/>
      <c r="AL588" s="86"/>
      <c r="AM588" s="86"/>
      <c r="AN588" s="86"/>
      <c r="AO588" s="86"/>
      <c r="AP588" s="86"/>
    </row>
    <row r="589" spans="1:42" ht="15.75" customHeight="1" x14ac:dyDescent="0.3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86"/>
      <c r="AI589" s="86"/>
      <c r="AJ589" s="86"/>
      <c r="AK589" s="86"/>
      <c r="AL589" s="86"/>
      <c r="AM589" s="86"/>
      <c r="AN589" s="86"/>
      <c r="AO589" s="86"/>
      <c r="AP589" s="86"/>
    </row>
    <row r="590" spans="1:42" ht="15.75" customHeight="1" x14ac:dyDescent="0.3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  <c r="AI590" s="86"/>
      <c r="AJ590" s="86"/>
      <c r="AK590" s="86"/>
      <c r="AL590" s="86"/>
      <c r="AM590" s="86"/>
      <c r="AN590" s="86"/>
      <c r="AO590" s="86"/>
      <c r="AP590" s="86"/>
    </row>
    <row r="591" spans="1:42" ht="15.75" customHeight="1" x14ac:dyDescent="0.3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6"/>
      <c r="AJ591" s="86"/>
      <c r="AK591" s="86"/>
      <c r="AL591" s="86"/>
      <c r="AM591" s="86"/>
      <c r="AN591" s="86"/>
      <c r="AO591" s="86"/>
      <c r="AP591" s="86"/>
    </row>
    <row r="592" spans="1:42" ht="15.75" customHeight="1" x14ac:dyDescent="0.3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  <c r="AI592" s="86"/>
      <c r="AJ592" s="86"/>
      <c r="AK592" s="86"/>
      <c r="AL592" s="86"/>
      <c r="AM592" s="86"/>
      <c r="AN592" s="86"/>
      <c r="AO592" s="86"/>
      <c r="AP592" s="86"/>
    </row>
    <row r="593" spans="1:42" ht="15.75" customHeight="1" x14ac:dyDescent="0.3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86"/>
      <c r="AI593" s="86"/>
      <c r="AJ593" s="86"/>
      <c r="AK593" s="86"/>
      <c r="AL593" s="86"/>
      <c r="AM593" s="86"/>
      <c r="AN593" s="86"/>
      <c r="AO593" s="86"/>
      <c r="AP593" s="86"/>
    </row>
    <row r="594" spans="1:42" ht="15.75" customHeight="1" x14ac:dyDescent="0.3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86"/>
      <c r="AI594" s="86"/>
      <c r="AJ594" s="86"/>
      <c r="AK594" s="86"/>
      <c r="AL594" s="86"/>
      <c r="AM594" s="86"/>
      <c r="AN594" s="86"/>
      <c r="AO594" s="86"/>
      <c r="AP594" s="86"/>
    </row>
    <row r="595" spans="1:42" ht="15.75" customHeight="1" x14ac:dyDescent="0.3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  <c r="AI595" s="86"/>
      <c r="AJ595" s="86"/>
      <c r="AK595" s="86"/>
      <c r="AL595" s="86"/>
      <c r="AM595" s="86"/>
      <c r="AN595" s="86"/>
      <c r="AO595" s="86"/>
      <c r="AP595" s="86"/>
    </row>
    <row r="596" spans="1:42" ht="15.75" customHeight="1" x14ac:dyDescent="0.3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  <c r="AI596" s="86"/>
      <c r="AJ596" s="86"/>
      <c r="AK596" s="86"/>
      <c r="AL596" s="86"/>
      <c r="AM596" s="86"/>
      <c r="AN596" s="86"/>
      <c r="AO596" s="86"/>
      <c r="AP596" s="86"/>
    </row>
    <row r="597" spans="1:42" ht="15.75" customHeight="1" x14ac:dyDescent="0.3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  <c r="AI597" s="86"/>
      <c r="AJ597" s="86"/>
      <c r="AK597" s="86"/>
      <c r="AL597" s="86"/>
      <c r="AM597" s="86"/>
      <c r="AN597" s="86"/>
      <c r="AO597" s="86"/>
      <c r="AP597" s="86"/>
    </row>
    <row r="598" spans="1:42" ht="15.75" customHeight="1" x14ac:dyDescent="0.3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  <c r="AI598" s="86"/>
      <c r="AJ598" s="86"/>
      <c r="AK598" s="86"/>
      <c r="AL598" s="86"/>
      <c r="AM598" s="86"/>
      <c r="AN598" s="86"/>
      <c r="AO598" s="86"/>
      <c r="AP598" s="86"/>
    </row>
    <row r="599" spans="1:42" ht="15.75" customHeight="1" x14ac:dyDescent="0.3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  <c r="AI599" s="86"/>
      <c r="AJ599" s="86"/>
      <c r="AK599" s="86"/>
      <c r="AL599" s="86"/>
      <c r="AM599" s="86"/>
      <c r="AN599" s="86"/>
      <c r="AO599" s="86"/>
      <c r="AP599" s="86"/>
    </row>
    <row r="600" spans="1:42" ht="15.75" customHeight="1" x14ac:dyDescent="0.3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  <c r="AI600" s="86"/>
      <c r="AJ600" s="86"/>
      <c r="AK600" s="86"/>
      <c r="AL600" s="86"/>
      <c r="AM600" s="86"/>
      <c r="AN600" s="86"/>
      <c r="AO600" s="86"/>
      <c r="AP600" s="86"/>
    </row>
    <row r="601" spans="1:42" ht="15.75" customHeight="1" x14ac:dyDescent="0.3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  <c r="AI601" s="86"/>
      <c r="AJ601" s="86"/>
      <c r="AK601" s="86"/>
      <c r="AL601" s="86"/>
      <c r="AM601" s="86"/>
      <c r="AN601" s="86"/>
      <c r="AO601" s="86"/>
      <c r="AP601" s="86"/>
    </row>
    <row r="602" spans="1:42" ht="15.75" customHeight="1" x14ac:dyDescent="0.3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  <c r="AI602" s="86"/>
      <c r="AJ602" s="86"/>
      <c r="AK602" s="86"/>
      <c r="AL602" s="86"/>
      <c r="AM602" s="86"/>
      <c r="AN602" s="86"/>
      <c r="AO602" s="86"/>
      <c r="AP602" s="86"/>
    </row>
    <row r="603" spans="1:42" ht="15.75" customHeight="1" x14ac:dyDescent="0.3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  <c r="AI603" s="86"/>
      <c r="AJ603" s="86"/>
      <c r="AK603" s="86"/>
      <c r="AL603" s="86"/>
      <c r="AM603" s="86"/>
      <c r="AN603" s="86"/>
      <c r="AO603" s="86"/>
      <c r="AP603" s="86"/>
    </row>
    <row r="604" spans="1:42" ht="15.75" customHeight="1" x14ac:dyDescent="0.3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  <c r="AI604" s="86"/>
      <c r="AJ604" s="86"/>
      <c r="AK604" s="86"/>
      <c r="AL604" s="86"/>
      <c r="AM604" s="86"/>
      <c r="AN604" s="86"/>
      <c r="AO604" s="86"/>
      <c r="AP604" s="86"/>
    </row>
    <row r="605" spans="1:42" ht="15.75" customHeight="1" x14ac:dyDescent="0.3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  <c r="AI605" s="86"/>
      <c r="AJ605" s="86"/>
      <c r="AK605" s="86"/>
      <c r="AL605" s="86"/>
      <c r="AM605" s="86"/>
      <c r="AN605" s="86"/>
      <c r="AO605" s="86"/>
      <c r="AP605" s="86"/>
    </row>
    <row r="606" spans="1:42" ht="15.75" customHeight="1" x14ac:dyDescent="0.3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  <c r="AI606" s="86"/>
      <c r="AJ606" s="86"/>
      <c r="AK606" s="86"/>
      <c r="AL606" s="86"/>
      <c r="AM606" s="86"/>
      <c r="AN606" s="86"/>
      <c r="AO606" s="86"/>
      <c r="AP606" s="86"/>
    </row>
    <row r="607" spans="1:42" ht="15.75" customHeight="1" x14ac:dyDescent="0.3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  <c r="AI607" s="86"/>
      <c r="AJ607" s="86"/>
      <c r="AK607" s="86"/>
      <c r="AL607" s="86"/>
      <c r="AM607" s="86"/>
      <c r="AN607" s="86"/>
      <c r="AO607" s="86"/>
      <c r="AP607" s="86"/>
    </row>
    <row r="608" spans="1:42" ht="15.75" customHeight="1" x14ac:dyDescent="0.3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86"/>
      <c r="AI608" s="86"/>
      <c r="AJ608" s="86"/>
      <c r="AK608" s="86"/>
      <c r="AL608" s="86"/>
      <c r="AM608" s="86"/>
      <c r="AN608" s="86"/>
      <c r="AO608" s="86"/>
      <c r="AP608" s="86"/>
    </row>
    <row r="609" spans="1:42" ht="15.75" customHeight="1" x14ac:dyDescent="0.3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86"/>
      <c r="AI609" s="86"/>
      <c r="AJ609" s="86"/>
      <c r="AK609" s="86"/>
      <c r="AL609" s="86"/>
      <c r="AM609" s="86"/>
      <c r="AN609" s="86"/>
      <c r="AO609" s="86"/>
      <c r="AP609" s="86"/>
    </row>
    <row r="610" spans="1:42" ht="15.75" customHeight="1" x14ac:dyDescent="0.3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86"/>
      <c r="AI610" s="86"/>
      <c r="AJ610" s="86"/>
      <c r="AK610" s="86"/>
      <c r="AL610" s="86"/>
      <c r="AM610" s="86"/>
      <c r="AN610" s="86"/>
      <c r="AO610" s="86"/>
      <c r="AP610" s="86"/>
    </row>
    <row r="611" spans="1:42" ht="15.75" customHeight="1" x14ac:dyDescent="0.3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86"/>
      <c r="AI611" s="86"/>
      <c r="AJ611" s="86"/>
      <c r="AK611" s="86"/>
      <c r="AL611" s="86"/>
      <c r="AM611" s="86"/>
      <c r="AN611" s="86"/>
      <c r="AO611" s="86"/>
      <c r="AP611" s="86"/>
    </row>
    <row r="612" spans="1:42" ht="15.75" customHeight="1" x14ac:dyDescent="0.3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86"/>
      <c r="AI612" s="86"/>
      <c r="AJ612" s="86"/>
      <c r="AK612" s="86"/>
      <c r="AL612" s="86"/>
      <c r="AM612" s="86"/>
      <c r="AN612" s="86"/>
      <c r="AO612" s="86"/>
      <c r="AP612" s="86"/>
    </row>
    <row r="613" spans="1:42" ht="15.75" customHeight="1" x14ac:dyDescent="0.3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86"/>
      <c r="AI613" s="86"/>
      <c r="AJ613" s="86"/>
      <c r="AK613" s="86"/>
      <c r="AL613" s="86"/>
      <c r="AM613" s="86"/>
      <c r="AN613" s="86"/>
      <c r="AO613" s="86"/>
      <c r="AP613" s="86"/>
    </row>
    <row r="614" spans="1:42" ht="15.75" customHeight="1" x14ac:dyDescent="0.3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86"/>
      <c r="AI614" s="86"/>
      <c r="AJ614" s="86"/>
      <c r="AK614" s="86"/>
      <c r="AL614" s="86"/>
      <c r="AM614" s="86"/>
      <c r="AN614" s="86"/>
      <c r="AO614" s="86"/>
      <c r="AP614" s="86"/>
    </row>
    <row r="615" spans="1:42" ht="15.75" customHeight="1" x14ac:dyDescent="0.3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86"/>
      <c r="AI615" s="86"/>
      <c r="AJ615" s="86"/>
      <c r="AK615" s="86"/>
      <c r="AL615" s="86"/>
      <c r="AM615" s="86"/>
      <c r="AN615" s="86"/>
      <c r="AO615" s="86"/>
      <c r="AP615" s="86"/>
    </row>
    <row r="616" spans="1:42" ht="15.75" customHeight="1" x14ac:dyDescent="0.3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86"/>
      <c r="AI616" s="86"/>
      <c r="AJ616" s="86"/>
      <c r="AK616" s="86"/>
      <c r="AL616" s="86"/>
      <c r="AM616" s="86"/>
      <c r="AN616" s="86"/>
      <c r="AO616" s="86"/>
      <c r="AP616" s="86"/>
    </row>
    <row r="617" spans="1:42" ht="15.75" customHeight="1" x14ac:dyDescent="0.3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86"/>
      <c r="AI617" s="86"/>
      <c r="AJ617" s="86"/>
      <c r="AK617" s="86"/>
      <c r="AL617" s="86"/>
      <c r="AM617" s="86"/>
      <c r="AN617" s="86"/>
      <c r="AO617" s="86"/>
      <c r="AP617" s="86"/>
    </row>
    <row r="618" spans="1:42" ht="15.75" customHeight="1" x14ac:dyDescent="0.3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86"/>
      <c r="AI618" s="86"/>
      <c r="AJ618" s="86"/>
      <c r="AK618" s="86"/>
      <c r="AL618" s="86"/>
      <c r="AM618" s="86"/>
      <c r="AN618" s="86"/>
      <c r="AO618" s="86"/>
      <c r="AP618" s="86"/>
    </row>
    <row r="619" spans="1:42" ht="15.75" customHeight="1" x14ac:dyDescent="0.3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86"/>
      <c r="AI619" s="86"/>
      <c r="AJ619" s="86"/>
      <c r="AK619" s="86"/>
      <c r="AL619" s="86"/>
      <c r="AM619" s="86"/>
      <c r="AN619" s="86"/>
      <c r="AO619" s="86"/>
      <c r="AP619" s="86"/>
    </row>
    <row r="620" spans="1:42" ht="15.75" customHeight="1" x14ac:dyDescent="0.3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86"/>
      <c r="AI620" s="86"/>
      <c r="AJ620" s="86"/>
      <c r="AK620" s="86"/>
      <c r="AL620" s="86"/>
      <c r="AM620" s="86"/>
      <c r="AN620" s="86"/>
      <c r="AO620" s="86"/>
      <c r="AP620" s="86"/>
    </row>
    <row r="621" spans="1:42" ht="15.75" customHeight="1" x14ac:dyDescent="0.3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86"/>
      <c r="AI621" s="86"/>
      <c r="AJ621" s="86"/>
      <c r="AK621" s="86"/>
      <c r="AL621" s="86"/>
      <c r="AM621" s="86"/>
      <c r="AN621" s="86"/>
      <c r="AO621" s="86"/>
      <c r="AP621" s="86"/>
    </row>
    <row r="622" spans="1:42" ht="15.75" customHeight="1" x14ac:dyDescent="0.3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86"/>
      <c r="AI622" s="86"/>
      <c r="AJ622" s="86"/>
      <c r="AK622" s="86"/>
      <c r="AL622" s="86"/>
      <c r="AM622" s="86"/>
      <c r="AN622" s="86"/>
      <c r="AO622" s="86"/>
      <c r="AP622" s="86"/>
    </row>
    <row r="623" spans="1:42" ht="15.75" customHeight="1" x14ac:dyDescent="0.3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86"/>
      <c r="AI623" s="86"/>
      <c r="AJ623" s="86"/>
      <c r="AK623" s="86"/>
      <c r="AL623" s="86"/>
      <c r="AM623" s="86"/>
      <c r="AN623" s="86"/>
      <c r="AO623" s="86"/>
      <c r="AP623" s="86"/>
    </row>
    <row r="624" spans="1:42" ht="15.75" customHeight="1" x14ac:dyDescent="0.3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  <c r="AA624" s="86"/>
      <c r="AB624" s="86"/>
      <c r="AC624" s="86"/>
      <c r="AD624" s="86"/>
      <c r="AE624" s="86"/>
      <c r="AF624" s="86"/>
      <c r="AG624" s="86"/>
      <c r="AH624" s="86"/>
      <c r="AI624" s="86"/>
      <c r="AJ624" s="86"/>
      <c r="AK624" s="86"/>
      <c r="AL624" s="86"/>
      <c r="AM624" s="86"/>
      <c r="AN624" s="86"/>
      <c r="AO624" s="86"/>
      <c r="AP624" s="86"/>
    </row>
    <row r="625" spans="1:42" ht="15.75" customHeight="1" x14ac:dyDescent="0.3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86"/>
      <c r="AI625" s="86"/>
      <c r="AJ625" s="86"/>
      <c r="AK625" s="86"/>
      <c r="AL625" s="86"/>
      <c r="AM625" s="86"/>
      <c r="AN625" s="86"/>
      <c r="AO625" s="86"/>
      <c r="AP625" s="86"/>
    </row>
    <row r="626" spans="1:42" ht="15.75" customHeight="1" x14ac:dyDescent="0.3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86"/>
      <c r="AI626" s="86"/>
      <c r="AJ626" s="86"/>
      <c r="AK626" s="86"/>
      <c r="AL626" s="86"/>
      <c r="AM626" s="86"/>
      <c r="AN626" s="86"/>
      <c r="AO626" s="86"/>
      <c r="AP626" s="86"/>
    </row>
    <row r="627" spans="1:42" ht="15.75" customHeight="1" x14ac:dyDescent="0.3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  <c r="AA627" s="86"/>
      <c r="AB627" s="86"/>
      <c r="AC627" s="86"/>
      <c r="AD627" s="86"/>
      <c r="AE627" s="86"/>
      <c r="AF627" s="86"/>
      <c r="AG627" s="86"/>
      <c r="AH627" s="86"/>
      <c r="AI627" s="86"/>
      <c r="AJ627" s="86"/>
      <c r="AK627" s="86"/>
      <c r="AL627" s="86"/>
      <c r="AM627" s="86"/>
      <c r="AN627" s="86"/>
      <c r="AO627" s="86"/>
      <c r="AP627" s="86"/>
    </row>
    <row r="628" spans="1:42" ht="15.75" customHeight="1" x14ac:dyDescent="0.3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  <c r="AA628" s="86"/>
      <c r="AB628" s="86"/>
      <c r="AC628" s="86"/>
      <c r="AD628" s="86"/>
      <c r="AE628" s="86"/>
      <c r="AF628" s="86"/>
      <c r="AG628" s="86"/>
      <c r="AH628" s="86"/>
      <c r="AI628" s="86"/>
      <c r="AJ628" s="86"/>
      <c r="AK628" s="86"/>
      <c r="AL628" s="86"/>
      <c r="AM628" s="86"/>
      <c r="AN628" s="86"/>
      <c r="AO628" s="86"/>
      <c r="AP628" s="86"/>
    </row>
    <row r="629" spans="1:42" ht="15.75" customHeight="1" x14ac:dyDescent="0.3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  <c r="AA629" s="86"/>
      <c r="AB629" s="86"/>
      <c r="AC629" s="86"/>
      <c r="AD629" s="86"/>
      <c r="AE629" s="86"/>
      <c r="AF629" s="86"/>
      <c r="AG629" s="86"/>
      <c r="AH629" s="86"/>
      <c r="AI629" s="86"/>
      <c r="AJ629" s="86"/>
      <c r="AK629" s="86"/>
      <c r="AL629" s="86"/>
      <c r="AM629" s="86"/>
      <c r="AN629" s="86"/>
      <c r="AO629" s="86"/>
      <c r="AP629" s="86"/>
    </row>
    <row r="630" spans="1:42" ht="15.75" customHeight="1" x14ac:dyDescent="0.3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86"/>
      <c r="AC630" s="86"/>
      <c r="AD630" s="86"/>
      <c r="AE630" s="86"/>
      <c r="AF630" s="86"/>
      <c r="AG630" s="86"/>
      <c r="AH630" s="86"/>
      <c r="AI630" s="86"/>
      <c r="AJ630" s="86"/>
      <c r="AK630" s="86"/>
      <c r="AL630" s="86"/>
      <c r="AM630" s="86"/>
      <c r="AN630" s="86"/>
      <c r="AO630" s="86"/>
      <c r="AP630" s="86"/>
    </row>
    <row r="631" spans="1:42" ht="15.75" customHeight="1" x14ac:dyDescent="0.3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  <c r="AA631" s="86"/>
      <c r="AB631" s="86"/>
      <c r="AC631" s="86"/>
      <c r="AD631" s="86"/>
      <c r="AE631" s="86"/>
      <c r="AF631" s="86"/>
      <c r="AG631" s="86"/>
      <c r="AH631" s="86"/>
      <c r="AI631" s="86"/>
      <c r="AJ631" s="86"/>
      <c r="AK631" s="86"/>
      <c r="AL631" s="86"/>
      <c r="AM631" s="86"/>
      <c r="AN631" s="86"/>
      <c r="AO631" s="86"/>
      <c r="AP631" s="86"/>
    </row>
    <row r="632" spans="1:42" ht="15.75" customHeight="1" x14ac:dyDescent="0.3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  <c r="AA632" s="86"/>
      <c r="AB632" s="86"/>
      <c r="AC632" s="86"/>
      <c r="AD632" s="86"/>
      <c r="AE632" s="86"/>
      <c r="AF632" s="86"/>
      <c r="AG632" s="86"/>
      <c r="AH632" s="86"/>
      <c r="AI632" s="86"/>
      <c r="AJ632" s="86"/>
      <c r="AK632" s="86"/>
      <c r="AL632" s="86"/>
      <c r="AM632" s="86"/>
      <c r="AN632" s="86"/>
      <c r="AO632" s="86"/>
      <c r="AP632" s="86"/>
    </row>
    <row r="633" spans="1:42" ht="15.75" customHeight="1" x14ac:dyDescent="0.3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  <c r="AA633" s="86"/>
      <c r="AB633" s="86"/>
      <c r="AC633" s="86"/>
      <c r="AD633" s="86"/>
      <c r="AE633" s="86"/>
      <c r="AF633" s="86"/>
      <c r="AG633" s="86"/>
      <c r="AH633" s="86"/>
      <c r="AI633" s="86"/>
      <c r="AJ633" s="86"/>
      <c r="AK633" s="86"/>
      <c r="AL633" s="86"/>
      <c r="AM633" s="86"/>
      <c r="AN633" s="86"/>
      <c r="AO633" s="86"/>
      <c r="AP633" s="86"/>
    </row>
    <row r="634" spans="1:42" ht="15.75" customHeight="1" x14ac:dyDescent="0.3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  <c r="AI634" s="86"/>
      <c r="AJ634" s="86"/>
      <c r="AK634" s="86"/>
      <c r="AL634" s="86"/>
      <c r="AM634" s="86"/>
      <c r="AN634" s="86"/>
      <c r="AO634" s="86"/>
      <c r="AP634" s="86"/>
    </row>
    <row r="635" spans="1:42" ht="15.75" customHeight="1" x14ac:dyDescent="0.3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6"/>
      <c r="AK635" s="86"/>
      <c r="AL635" s="86"/>
      <c r="AM635" s="86"/>
      <c r="AN635" s="86"/>
      <c r="AO635" s="86"/>
      <c r="AP635" s="86"/>
    </row>
    <row r="636" spans="1:42" ht="15.75" customHeight="1" x14ac:dyDescent="0.3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  <c r="AA636" s="86"/>
      <c r="AB636" s="86"/>
      <c r="AC636" s="86"/>
      <c r="AD636" s="86"/>
      <c r="AE636" s="86"/>
      <c r="AF636" s="86"/>
      <c r="AG636" s="86"/>
      <c r="AH636" s="86"/>
      <c r="AI636" s="86"/>
      <c r="AJ636" s="86"/>
      <c r="AK636" s="86"/>
      <c r="AL636" s="86"/>
      <c r="AM636" s="86"/>
      <c r="AN636" s="86"/>
      <c r="AO636" s="86"/>
      <c r="AP636" s="86"/>
    </row>
    <row r="637" spans="1:42" ht="15.75" customHeight="1" x14ac:dyDescent="0.3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  <c r="AA637" s="86"/>
      <c r="AB637" s="86"/>
      <c r="AC637" s="86"/>
      <c r="AD637" s="86"/>
      <c r="AE637" s="86"/>
      <c r="AF637" s="86"/>
      <c r="AG637" s="86"/>
      <c r="AH637" s="86"/>
      <c r="AI637" s="86"/>
      <c r="AJ637" s="86"/>
      <c r="AK637" s="86"/>
      <c r="AL637" s="86"/>
      <c r="AM637" s="86"/>
      <c r="AN637" s="86"/>
      <c r="AO637" s="86"/>
      <c r="AP637" s="86"/>
    </row>
    <row r="638" spans="1:42" ht="15.75" customHeight="1" x14ac:dyDescent="0.3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  <c r="AA638" s="86"/>
      <c r="AB638" s="86"/>
      <c r="AC638" s="86"/>
      <c r="AD638" s="86"/>
      <c r="AE638" s="86"/>
      <c r="AF638" s="86"/>
      <c r="AG638" s="86"/>
      <c r="AH638" s="86"/>
      <c r="AI638" s="86"/>
      <c r="AJ638" s="86"/>
      <c r="AK638" s="86"/>
      <c r="AL638" s="86"/>
      <c r="AM638" s="86"/>
      <c r="AN638" s="86"/>
      <c r="AO638" s="86"/>
      <c r="AP638" s="86"/>
    </row>
    <row r="639" spans="1:42" ht="15.75" customHeight="1" x14ac:dyDescent="0.3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  <c r="AA639" s="86"/>
      <c r="AB639" s="86"/>
      <c r="AC639" s="86"/>
      <c r="AD639" s="86"/>
      <c r="AE639" s="86"/>
      <c r="AF639" s="86"/>
      <c r="AG639" s="86"/>
      <c r="AH639" s="86"/>
      <c r="AI639" s="86"/>
      <c r="AJ639" s="86"/>
      <c r="AK639" s="86"/>
      <c r="AL639" s="86"/>
      <c r="AM639" s="86"/>
      <c r="AN639" s="86"/>
      <c r="AO639" s="86"/>
      <c r="AP639" s="86"/>
    </row>
    <row r="640" spans="1:42" ht="15.75" customHeight="1" x14ac:dyDescent="0.3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  <c r="AA640" s="86"/>
      <c r="AB640" s="86"/>
      <c r="AC640" s="86"/>
      <c r="AD640" s="86"/>
      <c r="AE640" s="86"/>
      <c r="AF640" s="86"/>
      <c r="AG640" s="86"/>
      <c r="AH640" s="86"/>
      <c r="AI640" s="86"/>
      <c r="AJ640" s="86"/>
      <c r="AK640" s="86"/>
      <c r="AL640" s="86"/>
      <c r="AM640" s="86"/>
      <c r="AN640" s="86"/>
      <c r="AO640" s="86"/>
      <c r="AP640" s="86"/>
    </row>
    <row r="641" spans="1:42" ht="15.75" customHeight="1" x14ac:dyDescent="0.3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  <c r="AA641" s="86"/>
      <c r="AB641" s="86"/>
      <c r="AC641" s="86"/>
      <c r="AD641" s="86"/>
      <c r="AE641" s="86"/>
      <c r="AF641" s="86"/>
      <c r="AG641" s="86"/>
      <c r="AH641" s="86"/>
      <c r="AI641" s="86"/>
      <c r="AJ641" s="86"/>
      <c r="AK641" s="86"/>
      <c r="AL641" s="86"/>
      <c r="AM641" s="86"/>
      <c r="AN641" s="86"/>
      <c r="AO641" s="86"/>
      <c r="AP641" s="86"/>
    </row>
    <row r="642" spans="1:42" ht="15.75" customHeight="1" x14ac:dyDescent="0.3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  <c r="AA642" s="86"/>
      <c r="AB642" s="86"/>
      <c r="AC642" s="86"/>
      <c r="AD642" s="86"/>
      <c r="AE642" s="86"/>
      <c r="AF642" s="86"/>
      <c r="AG642" s="86"/>
      <c r="AH642" s="86"/>
      <c r="AI642" s="86"/>
      <c r="AJ642" s="86"/>
      <c r="AK642" s="86"/>
      <c r="AL642" s="86"/>
      <c r="AM642" s="86"/>
      <c r="AN642" s="86"/>
      <c r="AO642" s="86"/>
      <c r="AP642" s="86"/>
    </row>
    <row r="643" spans="1:42" ht="15.75" customHeight="1" x14ac:dyDescent="0.3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  <c r="AA643" s="86"/>
      <c r="AB643" s="86"/>
      <c r="AC643" s="86"/>
      <c r="AD643" s="86"/>
      <c r="AE643" s="86"/>
      <c r="AF643" s="86"/>
      <c r="AG643" s="86"/>
      <c r="AH643" s="86"/>
      <c r="AI643" s="86"/>
      <c r="AJ643" s="86"/>
      <c r="AK643" s="86"/>
      <c r="AL643" s="86"/>
      <c r="AM643" s="86"/>
      <c r="AN643" s="86"/>
      <c r="AO643" s="86"/>
      <c r="AP643" s="86"/>
    </row>
    <row r="644" spans="1:42" ht="15.75" customHeight="1" x14ac:dyDescent="0.3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  <c r="AA644" s="86"/>
      <c r="AB644" s="86"/>
      <c r="AC644" s="86"/>
      <c r="AD644" s="86"/>
      <c r="AE644" s="86"/>
      <c r="AF644" s="86"/>
      <c r="AG644" s="86"/>
      <c r="AH644" s="86"/>
      <c r="AI644" s="86"/>
      <c r="AJ644" s="86"/>
      <c r="AK644" s="86"/>
      <c r="AL644" s="86"/>
      <c r="AM644" s="86"/>
      <c r="AN644" s="86"/>
      <c r="AO644" s="86"/>
      <c r="AP644" s="86"/>
    </row>
    <row r="645" spans="1:42" ht="15.75" customHeight="1" x14ac:dyDescent="0.3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  <c r="AA645" s="86"/>
      <c r="AB645" s="86"/>
      <c r="AC645" s="86"/>
      <c r="AD645" s="86"/>
      <c r="AE645" s="86"/>
      <c r="AF645" s="86"/>
      <c r="AG645" s="86"/>
      <c r="AH645" s="86"/>
      <c r="AI645" s="86"/>
      <c r="AJ645" s="86"/>
      <c r="AK645" s="86"/>
      <c r="AL645" s="86"/>
      <c r="AM645" s="86"/>
      <c r="AN645" s="86"/>
      <c r="AO645" s="86"/>
      <c r="AP645" s="86"/>
    </row>
    <row r="646" spans="1:42" ht="15.75" customHeight="1" x14ac:dyDescent="0.3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  <c r="AA646" s="86"/>
      <c r="AB646" s="86"/>
      <c r="AC646" s="86"/>
      <c r="AD646" s="86"/>
      <c r="AE646" s="86"/>
      <c r="AF646" s="86"/>
      <c r="AG646" s="86"/>
      <c r="AH646" s="86"/>
      <c r="AI646" s="86"/>
      <c r="AJ646" s="86"/>
      <c r="AK646" s="86"/>
      <c r="AL646" s="86"/>
      <c r="AM646" s="86"/>
      <c r="AN646" s="86"/>
      <c r="AO646" s="86"/>
      <c r="AP646" s="86"/>
    </row>
    <row r="647" spans="1:42" ht="15.75" customHeight="1" x14ac:dyDescent="0.3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  <c r="AA647" s="86"/>
      <c r="AB647" s="86"/>
      <c r="AC647" s="86"/>
      <c r="AD647" s="86"/>
      <c r="AE647" s="86"/>
      <c r="AF647" s="86"/>
      <c r="AG647" s="86"/>
      <c r="AH647" s="86"/>
      <c r="AI647" s="86"/>
      <c r="AJ647" s="86"/>
      <c r="AK647" s="86"/>
      <c r="AL647" s="86"/>
      <c r="AM647" s="86"/>
      <c r="AN647" s="86"/>
      <c r="AO647" s="86"/>
      <c r="AP647" s="86"/>
    </row>
    <row r="648" spans="1:42" ht="15.75" customHeight="1" x14ac:dyDescent="0.3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  <c r="AA648" s="86"/>
      <c r="AB648" s="86"/>
      <c r="AC648" s="86"/>
      <c r="AD648" s="86"/>
      <c r="AE648" s="86"/>
      <c r="AF648" s="86"/>
      <c r="AG648" s="86"/>
      <c r="AH648" s="86"/>
      <c r="AI648" s="86"/>
      <c r="AJ648" s="86"/>
      <c r="AK648" s="86"/>
      <c r="AL648" s="86"/>
      <c r="AM648" s="86"/>
      <c r="AN648" s="86"/>
      <c r="AO648" s="86"/>
      <c r="AP648" s="86"/>
    </row>
    <row r="649" spans="1:42" ht="15.75" customHeight="1" x14ac:dyDescent="0.3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  <c r="AA649" s="86"/>
      <c r="AB649" s="86"/>
      <c r="AC649" s="86"/>
      <c r="AD649" s="86"/>
      <c r="AE649" s="86"/>
      <c r="AF649" s="86"/>
      <c r="AG649" s="86"/>
      <c r="AH649" s="86"/>
      <c r="AI649" s="86"/>
      <c r="AJ649" s="86"/>
      <c r="AK649" s="86"/>
      <c r="AL649" s="86"/>
      <c r="AM649" s="86"/>
      <c r="AN649" s="86"/>
      <c r="AO649" s="86"/>
      <c r="AP649" s="86"/>
    </row>
    <row r="650" spans="1:42" ht="15.75" customHeight="1" x14ac:dyDescent="0.3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  <c r="AI650" s="86"/>
      <c r="AJ650" s="86"/>
      <c r="AK650" s="86"/>
      <c r="AL650" s="86"/>
      <c r="AM650" s="86"/>
      <c r="AN650" s="86"/>
      <c r="AO650" s="86"/>
      <c r="AP650" s="86"/>
    </row>
    <row r="651" spans="1:42" ht="15.75" customHeight="1" x14ac:dyDescent="0.3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6"/>
      <c r="AK651" s="86"/>
      <c r="AL651" s="86"/>
      <c r="AM651" s="86"/>
      <c r="AN651" s="86"/>
      <c r="AO651" s="86"/>
      <c r="AP651" s="86"/>
    </row>
    <row r="652" spans="1:42" ht="15.75" customHeight="1" x14ac:dyDescent="0.3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  <c r="AI652" s="86"/>
      <c r="AJ652" s="86"/>
      <c r="AK652" s="86"/>
      <c r="AL652" s="86"/>
      <c r="AM652" s="86"/>
      <c r="AN652" s="86"/>
      <c r="AO652" s="86"/>
      <c r="AP652" s="86"/>
    </row>
    <row r="653" spans="1:42" ht="15.75" customHeight="1" x14ac:dyDescent="0.3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6"/>
      <c r="AK653" s="86"/>
      <c r="AL653" s="86"/>
      <c r="AM653" s="86"/>
      <c r="AN653" s="86"/>
      <c r="AO653" s="86"/>
      <c r="AP653" s="86"/>
    </row>
    <row r="654" spans="1:42" ht="15.75" customHeight="1" x14ac:dyDescent="0.3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/>
      <c r="AJ654" s="86"/>
      <c r="AK654" s="86"/>
      <c r="AL654" s="86"/>
      <c r="AM654" s="86"/>
      <c r="AN654" s="86"/>
      <c r="AO654" s="86"/>
      <c r="AP654" s="86"/>
    </row>
    <row r="655" spans="1:42" ht="15.75" customHeight="1" x14ac:dyDescent="0.3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6"/>
      <c r="AK655" s="86"/>
      <c r="AL655" s="86"/>
      <c r="AM655" s="86"/>
      <c r="AN655" s="86"/>
      <c r="AO655" s="86"/>
      <c r="AP655" s="86"/>
    </row>
    <row r="656" spans="1:42" ht="15.75" customHeight="1" x14ac:dyDescent="0.3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6"/>
      <c r="AK656" s="86"/>
      <c r="AL656" s="86"/>
      <c r="AM656" s="86"/>
      <c r="AN656" s="86"/>
      <c r="AO656" s="86"/>
      <c r="AP656" s="86"/>
    </row>
    <row r="657" spans="1:42" ht="15.75" customHeight="1" x14ac:dyDescent="0.3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6"/>
      <c r="AK657" s="86"/>
      <c r="AL657" s="86"/>
      <c r="AM657" s="86"/>
      <c r="AN657" s="86"/>
      <c r="AO657" s="86"/>
      <c r="AP657" s="86"/>
    </row>
    <row r="658" spans="1:42" ht="15.75" customHeight="1" x14ac:dyDescent="0.3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/>
      <c r="AJ658" s="86"/>
      <c r="AK658" s="86"/>
      <c r="AL658" s="86"/>
      <c r="AM658" s="86"/>
      <c r="AN658" s="86"/>
      <c r="AO658" s="86"/>
      <c r="AP658" s="86"/>
    </row>
    <row r="659" spans="1:42" ht="15.75" customHeight="1" x14ac:dyDescent="0.3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  <c r="AA659" s="86"/>
      <c r="AB659" s="86"/>
      <c r="AC659" s="86"/>
      <c r="AD659" s="86"/>
      <c r="AE659" s="86"/>
      <c r="AF659" s="86"/>
      <c r="AG659" s="86"/>
      <c r="AH659" s="86"/>
      <c r="AI659" s="86"/>
      <c r="AJ659" s="86"/>
      <c r="AK659" s="86"/>
      <c r="AL659" s="86"/>
      <c r="AM659" s="86"/>
      <c r="AN659" s="86"/>
      <c r="AO659" s="86"/>
      <c r="AP659" s="86"/>
    </row>
    <row r="660" spans="1:42" ht="15.75" customHeight="1" x14ac:dyDescent="0.3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6"/>
      <c r="AK660" s="86"/>
      <c r="AL660" s="86"/>
      <c r="AM660" s="86"/>
      <c r="AN660" s="86"/>
      <c r="AO660" s="86"/>
      <c r="AP660" s="86"/>
    </row>
    <row r="661" spans="1:42" ht="15.75" customHeight="1" x14ac:dyDescent="0.3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6"/>
      <c r="AK661" s="86"/>
      <c r="AL661" s="86"/>
      <c r="AM661" s="86"/>
      <c r="AN661" s="86"/>
      <c r="AO661" s="86"/>
      <c r="AP661" s="86"/>
    </row>
    <row r="662" spans="1:42" ht="15.75" customHeight="1" x14ac:dyDescent="0.3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6"/>
      <c r="AK662" s="86"/>
      <c r="AL662" s="86"/>
      <c r="AM662" s="86"/>
      <c r="AN662" s="86"/>
      <c r="AO662" s="86"/>
      <c r="AP662" s="86"/>
    </row>
    <row r="663" spans="1:42" ht="15.75" customHeight="1" x14ac:dyDescent="0.3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6"/>
      <c r="AK663" s="86"/>
      <c r="AL663" s="86"/>
      <c r="AM663" s="86"/>
      <c r="AN663" s="86"/>
      <c r="AO663" s="86"/>
      <c r="AP663" s="86"/>
    </row>
    <row r="664" spans="1:42" ht="15.75" customHeight="1" x14ac:dyDescent="0.3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6"/>
      <c r="AK664" s="86"/>
      <c r="AL664" s="86"/>
      <c r="AM664" s="86"/>
      <c r="AN664" s="86"/>
      <c r="AO664" s="86"/>
      <c r="AP664" s="86"/>
    </row>
    <row r="665" spans="1:42" ht="15.75" customHeight="1" x14ac:dyDescent="0.3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6"/>
      <c r="AK665" s="86"/>
      <c r="AL665" s="86"/>
      <c r="AM665" s="86"/>
      <c r="AN665" s="86"/>
      <c r="AO665" s="86"/>
      <c r="AP665" s="86"/>
    </row>
    <row r="666" spans="1:42" ht="15.75" customHeight="1" x14ac:dyDescent="0.3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6"/>
      <c r="AK666" s="86"/>
      <c r="AL666" s="86"/>
      <c r="AM666" s="86"/>
      <c r="AN666" s="86"/>
      <c r="AO666" s="86"/>
      <c r="AP666" s="86"/>
    </row>
    <row r="667" spans="1:42" ht="15.75" customHeight="1" x14ac:dyDescent="0.3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6"/>
      <c r="AK667" s="86"/>
      <c r="AL667" s="86"/>
      <c r="AM667" s="86"/>
      <c r="AN667" s="86"/>
      <c r="AO667" s="86"/>
      <c r="AP667" s="86"/>
    </row>
    <row r="668" spans="1:42" ht="15.75" customHeight="1" x14ac:dyDescent="0.3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6"/>
      <c r="AK668" s="86"/>
      <c r="AL668" s="86"/>
      <c r="AM668" s="86"/>
      <c r="AN668" s="86"/>
      <c r="AO668" s="86"/>
      <c r="AP668" s="86"/>
    </row>
    <row r="669" spans="1:42" ht="15.75" customHeight="1" x14ac:dyDescent="0.3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6"/>
      <c r="AK669" s="86"/>
      <c r="AL669" s="86"/>
      <c r="AM669" s="86"/>
      <c r="AN669" s="86"/>
      <c r="AO669" s="86"/>
      <c r="AP669" s="86"/>
    </row>
    <row r="670" spans="1:42" ht="15.75" customHeight="1" x14ac:dyDescent="0.3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6"/>
      <c r="AK670" s="86"/>
      <c r="AL670" s="86"/>
      <c r="AM670" s="86"/>
      <c r="AN670" s="86"/>
      <c r="AO670" s="86"/>
      <c r="AP670" s="86"/>
    </row>
    <row r="671" spans="1:42" ht="15.75" customHeight="1" x14ac:dyDescent="0.3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6"/>
      <c r="AK671" s="86"/>
      <c r="AL671" s="86"/>
      <c r="AM671" s="86"/>
      <c r="AN671" s="86"/>
      <c r="AO671" s="86"/>
      <c r="AP671" s="86"/>
    </row>
    <row r="672" spans="1:42" ht="15.75" customHeight="1" x14ac:dyDescent="0.3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6"/>
      <c r="AK672" s="86"/>
      <c r="AL672" s="86"/>
      <c r="AM672" s="86"/>
      <c r="AN672" s="86"/>
      <c r="AO672" s="86"/>
      <c r="AP672" s="86"/>
    </row>
    <row r="673" spans="1:42" ht="15.75" customHeight="1" x14ac:dyDescent="0.3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6"/>
      <c r="AK673" s="86"/>
      <c r="AL673" s="86"/>
      <c r="AM673" s="86"/>
      <c r="AN673" s="86"/>
      <c r="AO673" s="86"/>
      <c r="AP673" s="86"/>
    </row>
    <row r="674" spans="1:42" ht="15.75" customHeight="1" x14ac:dyDescent="0.3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6"/>
      <c r="AK674" s="86"/>
      <c r="AL674" s="86"/>
      <c r="AM674" s="86"/>
      <c r="AN674" s="86"/>
      <c r="AO674" s="86"/>
      <c r="AP674" s="86"/>
    </row>
    <row r="675" spans="1:42" ht="15.75" customHeight="1" x14ac:dyDescent="0.3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6"/>
      <c r="AK675" s="86"/>
      <c r="AL675" s="86"/>
      <c r="AM675" s="86"/>
      <c r="AN675" s="86"/>
      <c r="AO675" s="86"/>
      <c r="AP675" s="86"/>
    </row>
    <row r="676" spans="1:42" ht="15.75" customHeight="1" x14ac:dyDescent="0.3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6"/>
      <c r="AK676" s="86"/>
      <c r="AL676" s="86"/>
      <c r="AM676" s="86"/>
      <c r="AN676" s="86"/>
      <c r="AO676" s="86"/>
      <c r="AP676" s="86"/>
    </row>
    <row r="677" spans="1:42" ht="15.75" customHeight="1" x14ac:dyDescent="0.3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  <c r="AI677" s="86"/>
      <c r="AJ677" s="86"/>
      <c r="AK677" s="86"/>
      <c r="AL677" s="86"/>
      <c r="AM677" s="86"/>
      <c r="AN677" s="86"/>
      <c r="AO677" s="86"/>
      <c r="AP677" s="86"/>
    </row>
    <row r="678" spans="1:42" ht="15.75" customHeight="1" x14ac:dyDescent="0.3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  <c r="AI678" s="86"/>
      <c r="AJ678" s="86"/>
      <c r="AK678" s="86"/>
      <c r="AL678" s="86"/>
      <c r="AM678" s="86"/>
      <c r="AN678" s="86"/>
      <c r="AO678" s="86"/>
      <c r="AP678" s="86"/>
    </row>
    <row r="679" spans="1:42" ht="15.75" customHeight="1" x14ac:dyDescent="0.3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  <c r="AI679" s="86"/>
      <c r="AJ679" s="86"/>
      <c r="AK679" s="86"/>
      <c r="AL679" s="86"/>
      <c r="AM679" s="86"/>
      <c r="AN679" s="86"/>
      <c r="AO679" s="86"/>
      <c r="AP679" s="86"/>
    </row>
    <row r="680" spans="1:42" ht="15.75" customHeight="1" x14ac:dyDescent="0.3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  <c r="AI680" s="86"/>
      <c r="AJ680" s="86"/>
      <c r="AK680" s="86"/>
      <c r="AL680" s="86"/>
      <c r="AM680" s="86"/>
      <c r="AN680" s="86"/>
      <c r="AO680" s="86"/>
      <c r="AP680" s="86"/>
    </row>
    <row r="681" spans="1:42" ht="15.75" customHeight="1" x14ac:dyDescent="0.3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  <c r="AI681" s="86"/>
      <c r="AJ681" s="86"/>
      <c r="AK681" s="86"/>
      <c r="AL681" s="86"/>
      <c r="AM681" s="86"/>
      <c r="AN681" s="86"/>
      <c r="AO681" s="86"/>
      <c r="AP681" s="86"/>
    </row>
    <row r="682" spans="1:42" ht="15.75" customHeight="1" x14ac:dyDescent="0.3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6"/>
      <c r="AK682" s="86"/>
      <c r="AL682" s="86"/>
      <c r="AM682" s="86"/>
      <c r="AN682" s="86"/>
      <c r="AO682" s="86"/>
      <c r="AP682" s="86"/>
    </row>
    <row r="683" spans="1:42" ht="15.75" customHeight="1" x14ac:dyDescent="0.3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6"/>
      <c r="AK683" s="86"/>
      <c r="AL683" s="86"/>
      <c r="AM683" s="86"/>
      <c r="AN683" s="86"/>
      <c r="AO683" s="86"/>
      <c r="AP683" s="86"/>
    </row>
    <row r="684" spans="1:42" ht="15.75" customHeight="1" x14ac:dyDescent="0.3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  <c r="AI684" s="86"/>
      <c r="AJ684" s="86"/>
      <c r="AK684" s="86"/>
      <c r="AL684" s="86"/>
      <c r="AM684" s="86"/>
      <c r="AN684" s="86"/>
      <c r="AO684" s="86"/>
      <c r="AP684" s="86"/>
    </row>
    <row r="685" spans="1:42" ht="15.75" customHeight="1" x14ac:dyDescent="0.3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  <c r="AI685" s="86"/>
      <c r="AJ685" s="86"/>
      <c r="AK685" s="86"/>
      <c r="AL685" s="86"/>
      <c r="AM685" s="86"/>
      <c r="AN685" s="86"/>
      <c r="AO685" s="86"/>
      <c r="AP685" s="86"/>
    </row>
    <row r="686" spans="1:42" ht="15.75" customHeight="1" x14ac:dyDescent="0.3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6"/>
      <c r="AK686" s="86"/>
      <c r="AL686" s="86"/>
      <c r="AM686" s="86"/>
      <c r="AN686" s="86"/>
      <c r="AO686" s="86"/>
      <c r="AP686" s="86"/>
    </row>
    <row r="687" spans="1:42" ht="15.75" customHeight="1" x14ac:dyDescent="0.3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  <c r="AI687" s="86"/>
      <c r="AJ687" s="86"/>
      <c r="AK687" s="86"/>
      <c r="AL687" s="86"/>
      <c r="AM687" s="86"/>
      <c r="AN687" s="86"/>
      <c r="AO687" s="86"/>
      <c r="AP687" s="86"/>
    </row>
    <row r="688" spans="1:42" ht="15.75" customHeight="1" x14ac:dyDescent="0.3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6"/>
      <c r="AK688" s="86"/>
      <c r="AL688" s="86"/>
      <c r="AM688" s="86"/>
      <c r="AN688" s="86"/>
      <c r="AO688" s="86"/>
      <c r="AP688" s="86"/>
    </row>
    <row r="689" spans="1:42" ht="15.75" customHeight="1" x14ac:dyDescent="0.3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6"/>
      <c r="AK689" s="86"/>
      <c r="AL689" s="86"/>
      <c r="AM689" s="86"/>
      <c r="AN689" s="86"/>
      <c r="AO689" s="86"/>
      <c r="AP689" s="86"/>
    </row>
    <row r="690" spans="1:42" ht="15.75" customHeight="1" x14ac:dyDescent="0.3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  <c r="AI690" s="86"/>
      <c r="AJ690" s="86"/>
      <c r="AK690" s="86"/>
      <c r="AL690" s="86"/>
      <c r="AM690" s="86"/>
      <c r="AN690" s="86"/>
      <c r="AO690" s="86"/>
      <c r="AP690" s="86"/>
    </row>
    <row r="691" spans="1:42" ht="15.75" customHeight="1" x14ac:dyDescent="0.3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  <c r="AI691" s="86"/>
      <c r="AJ691" s="86"/>
      <c r="AK691" s="86"/>
      <c r="AL691" s="86"/>
      <c r="AM691" s="86"/>
      <c r="AN691" s="86"/>
      <c r="AO691" s="86"/>
      <c r="AP691" s="86"/>
    </row>
    <row r="692" spans="1:42" ht="15.75" customHeight="1" x14ac:dyDescent="0.3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  <c r="AI692" s="86"/>
      <c r="AJ692" s="86"/>
      <c r="AK692" s="86"/>
      <c r="AL692" s="86"/>
      <c r="AM692" s="86"/>
      <c r="AN692" s="86"/>
      <c r="AO692" s="86"/>
      <c r="AP692" s="86"/>
    </row>
    <row r="693" spans="1:42" ht="15.75" customHeight="1" x14ac:dyDescent="0.3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6"/>
      <c r="AK693" s="86"/>
      <c r="AL693" s="86"/>
      <c r="AM693" s="86"/>
      <c r="AN693" s="86"/>
      <c r="AO693" s="86"/>
      <c r="AP693" s="86"/>
    </row>
    <row r="694" spans="1:42" ht="15.75" customHeight="1" x14ac:dyDescent="0.3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  <c r="AA694" s="86"/>
      <c r="AB694" s="86"/>
      <c r="AC694" s="86"/>
      <c r="AD694" s="86"/>
      <c r="AE694" s="86"/>
      <c r="AF694" s="86"/>
      <c r="AG694" s="86"/>
      <c r="AH694" s="86"/>
      <c r="AI694" s="86"/>
      <c r="AJ694" s="86"/>
      <c r="AK694" s="86"/>
      <c r="AL694" s="86"/>
      <c r="AM694" s="86"/>
      <c r="AN694" s="86"/>
      <c r="AO694" s="86"/>
      <c r="AP694" s="86"/>
    </row>
    <row r="695" spans="1:42" ht="15.75" customHeight="1" x14ac:dyDescent="0.3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  <c r="AI695" s="86"/>
      <c r="AJ695" s="86"/>
      <c r="AK695" s="86"/>
      <c r="AL695" s="86"/>
      <c r="AM695" s="86"/>
      <c r="AN695" s="86"/>
      <c r="AO695" s="86"/>
      <c r="AP695" s="86"/>
    </row>
    <row r="696" spans="1:42" ht="15.75" customHeight="1" x14ac:dyDescent="0.3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  <c r="AI696" s="86"/>
      <c r="AJ696" s="86"/>
      <c r="AK696" s="86"/>
      <c r="AL696" s="86"/>
      <c r="AM696" s="86"/>
      <c r="AN696" s="86"/>
      <c r="AO696" s="86"/>
      <c r="AP696" s="86"/>
    </row>
    <row r="697" spans="1:42" ht="15.75" customHeight="1" x14ac:dyDescent="0.3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6"/>
      <c r="AK697" s="86"/>
      <c r="AL697" s="86"/>
      <c r="AM697" s="86"/>
      <c r="AN697" s="86"/>
      <c r="AO697" s="86"/>
      <c r="AP697" s="86"/>
    </row>
    <row r="698" spans="1:42" ht="15.75" customHeight="1" x14ac:dyDescent="0.3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6"/>
      <c r="AK698" s="86"/>
      <c r="AL698" s="86"/>
      <c r="AM698" s="86"/>
      <c r="AN698" s="86"/>
      <c r="AO698" s="86"/>
      <c r="AP698" s="86"/>
    </row>
    <row r="699" spans="1:42" ht="15.75" customHeight="1" x14ac:dyDescent="0.3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6"/>
      <c r="AK699" s="86"/>
      <c r="AL699" s="86"/>
      <c r="AM699" s="86"/>
      <c r="AN699" s="86"/>
      <c r="AO699" s="86"/>
      <c r="AP699" s="86"/>
    </row>
    <row r="700" spans="1:42" ht="15.75" customHeight="1" x14ac:dyDescent="0.3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  <c r="AI700" s="86"/>
      <c r="AJ700" s="86"/>
      <c r="AK700" s="86"/>
      <c r="AL700" s="86"/>
      <c r="AM700" s="86"/>
      <c r="AN700" s="86"/>
      <c r="AO700" s="86"/>
      <c r="AP700" s="86"/>
    </row>
    <row r="701" spans="1:42" ht="15.75" customHeight="1" x14ac:dyDescent="0.3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  <c r="AI701" s="86"/>
      <c r="AJ701" s="86"/>
      <c r="AK701" s="86"/>
      <c r="AL701" s="86"/>
      <c r="AM701" s="86"/>
      <c r="AN701" s="86"/>
      <c r="AO701" s="86"/>
      <c r="AP701" s="86"/>
    </row>
    <row r="702" spans="1:42" ht="15.75" customHeight="1" x14ac:dyDescent="0.3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  <c r="AA702" s="86"/>
      <c r="AB702" s="86"/>
      <c r="AC702" s="86"/>
      <c r="AD702" s="86"/>
      <c r="AE702" s="86"/>
      <c r="AF702" s="86"/>
      <c r="AG702" s="86"/>
      <c r="AH702" s="86"/>
      <c r="AI702" s="86"/>
      <c r="AJ702" s="86"/>
      <c r="AK702" s="86"/>
      <c r="AL702" s="86"/>
      <c r="AM702" s="86"/>
      <c r="AN702" s="86"/>
      <c r="AO702" s="86"/>
      <c r="AP702" s="86"/>
    </row>
    <row r="703" spans="1:42" ht="15.75" customHeight="1" x14ac:dyDescent="0.3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  <c r="AA703" s="86"/>
      <c r="AB703" s="86"/>
      <c r="AC703" s="86"/>
      <c r="AD703" s="86"/>
      <c r="AE703" s="86"/>
      <c r="AF703" s="86"/>
      <c r="AG703" s="86"/>
      <c r="AH703" s="86"/>
      <c r="AI703" s="86"/>
      <c r="AJ703" s="86"/>
      <c r="AK703" s="86"/>
      <c r="AL703" s="86"/>
      <c r="AM703" s="86"/>
      <c r="AN703" s="86"/>
      <c r="AO703" s="86"/>
      <c r="AP703" s="86"/>
    </row>
    <row r="704" spans="1:42" ht="15.75" customHeight="1" x14ac:dyDescent="0.3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  <c r="AI704" s="86"/>
      <c r="AJ704" s="86"/>
      <c r="AK704" s="86"/>
      <c r="AL704" s="86"/>
      <c r="AM704" s="86"/>
      <c r="AN704" s="86"/>
      <c r="AO704" s="86"/>
      <c r="AP704" s="86"/>
    </row>
    <row r="705" spans="1:42" ht="15.75" customHeight="1" x14ac:dyDescent="0.3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  <c r="AI705" s="86"/>
      <c r="AJ705" s="86"/>
      <c r="AK705" s="86"/>
      <c r="AL705" s="86"/>
      <c r="AM705" s="86"/>
      <c r="AN705" s="86"/>
      <c r="AO705" s="86"/>
      <c r="AP705" s="86"/>
    </row>
    <row r="706" spans="1:42" ht="15.75" customHeight="1" x14ac:dyDescent="0.3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  <c r="AI706" s="86"/>
      <c r="AJ706" s="86"/>
      <c r="AK706" s="86"/>
      <c r="AL706" s="86"/>
      <c r="AM706" s="86"/>
      <c r="AN706" s="86"/>
      <c r="AO706" s="86"/>
      <c r="AP706" s="86"/>
    </row>
    <row r="707" spans="1:42" ht="15.75" customHeight="1" x14ac:dyDescent="0.3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  <c r="AI707" s="86"/>
      <c r="AJ707" s="86"/>
      <c r="AK707" s="86"/>
      <c r="AL707" s="86"/>
      <c r="AM707" s="86"/>
      <c r="AN707" s="86"/>
      <c r="AO707" s="86"/>
      <c r="AP707" s="86"/>
    </row>
    <row r="708" spans="1:42" ht="15.75" customHeight="1" x14ac:dyDescent="0.3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  <c r="AA708" s="86"/>
      <c r="AB708" s="86"/>
      <c r="AC708" s="86"/>
      <c r="AD708" s="86"/>
      <c r="AE708" s="86"/>
      <c r="AF708" s="86"/>
      <c r="AG708" s="86"/>
      <c r="AH708" s="86"/>
      <c r="AI708" s="86"/>
      <c r="AJ708" s="86"/>
      <c r="AK708" s="86"/>
      <c r="AL708" s="86"/>
      <c r="AM708" s="86"/>
      <c r="AN708" s="86"/>
      <c r="AO708" s="86"/>
      <c r="AP708" s="86"/>
    </row>
    <row r="709" spans="1:42" ht="15.75" customHeight="1" x14ac:dyDescent="0.3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  <c r="AI709" s="86"/>
      <c r="AJ709" s="86"/>
      <c r="AK709" s="86"/>
      <c r="AL709" s="86"/>
      <c r="AM709" s="86"/>
      <c r="AN709" s="86"/>
      <c r="AO709" s="86"/>
      <c r="AP709" s="86"/>
    </row>
    <row r="710" spans="1:42" ht="15.75" customHeight="1" x14ac:dyDescent="0.3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  <c r="AI710" s="86"/>
      <c r="AJ710" s="86"/>
      <c r="AK710" s="86"/>
      <c r="AL710" s="86"/>
      <c r="AM710" s="86"/>
      <c r="AN710" s="86"/>
      <c r="AO710" s="86"/>
      <c r="AP710" s="86"/>
    </row>
    <row r="711" spans="1:42" ht="15.75" customHeight="1" x14ac:dyDescent="0.3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  <c r="AI711" s="86"/>
      <c r="AJ711" s="86"/>
      <c r="AK711" s="86"/>
      <c r="AL711" s="86"/>
      <c r="AM711" s="86"/>
      <c r="AN711" s="86"/>
      <c r="AO711" s="86"/>
      <c r="AP711" s="86"/>
    </row>
    <row r="712" spans="1:42" ht="15.75" customHeight="1" x14ac:dyDescent="0.3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  <c r="AI712" s="86"/>
      <c r="AJ712" s="86"/>
      <c r="AK712" s="86"/>
      <c r="AL712" s="86"/>
      <c r="AM712" s="86"/>
      <c r="AN712" s="86"/>
      <c r="AO712" s="86"/>
      <c r="AP712" s="86"/>
    </row>
    <row r="713" spans="1:42" ht="15.75" customHeight="1" x14ac:dyDescent="0.3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  <c r="AI713" s="86"/>
      <c r="AJ713" s="86"/>
      <c r="AK713" s="86"/>
      <c r="AL713" s="86"/>
      <c r="AM713" s="86"/>
      <c r="AN713" s="86"/>
      <c r="AO713" s="86"/>
      <c r="AP713" s="86"/>
    </row>
    <row r="714" spans="1:42" ht="15.75" customHeight="1" x14ac:dyDescent="0.3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  <c r="AI714" s="86"/>
      <c r="AJ714" s="86"/>
      <c r="AK714" s="86"/>
      <c r="AL714" s="86"/>
      <c r="AM714" s="86"/>
      <c r="AN714" s="86"/>
      <c r="AO714" s="86"/>
      <c r="AP714" s="86"/>
    </row>
    <row r="715" spans="1:42" ht="15.75" customHeight="1" x14ac:dyDescent="0.3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  <c r="AI715" s="86"/>
      <c r="AJ715" s="86"/>
      <c r="AK715" s="86"/>
      <c r="AL715" s="86"/>
      <c r="AM715" s="86"/>
      <c r="AN715" s="86"/>
      <c r="AO715" s="86"/>
      <c r="AP715" s="86"/>
    </row>
    <row r="716" spans="1:42" ht="15.75" customHeight="1" x14ac:dyDescent="0.3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  <c r="AI716" s="86"/>
      <c r="AJ716" s="86"/>
      <c r="AK716" s="86"/>
      <c r="AL716" s="86"/>
      <c r="AM716" s="86"/>
      <c r="AN716" s="86"/>
      <c r="AO716" s="86"/>
      <c r="AP716" s="86"/>
    </row>
    <row r="717" spans="1:42" ht="15.75" customHeight="1" x14ac:dyDescent="0.3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  <c r="AA717" s="86"/>
      <c r="AB717" s="86"/>
      <c r="AC717" s="86"/>
      <c r="AD717" s="86"/>
      <c r="AE717" s="86"/>
      <c r="AF717" s="86"/>
      <c r="AG717" s="86"/>
      <c r="AH717" s="86"/>
      <c r="AI717" s="86"/>
      <c r="AJ717" s="86"/>
      <c r="AK717" s="86"/>
      <c r="AL717" s="86"/>
      <c r="AM717" s="86"/>
      <c r="AN717" s="86"/>
      <c r="AO717" s="86"/>
      <c r="AP717" s="86"/>
    </row>
    <row r="718" spans="1:42" ht="15.75" customHeight="1" x14ac:dyDescent="0.3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  <c r="AI718" s="86"/>
      <c r="AJ718" s="86"/>
      <c r="AK718" s="86"/>
      <c r="AL718" s="86"/>
      <c r="AM718" s="86"/>
      <c r="AN718" s="86"/>
      <c r="AO718" s="86"/>
      <c r="AP718" s="86"/>
    </row>
    <row r="719" spans="1:42" ht="15.75" customHeight="1" x14ac:dyDescent="0.3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  <c r="AI719" s="86"/>
      <c r="AJ719" s="86"/>
      <c r="AK719" s="86"/>
      <c r="AL719" s="86"/>
      <c r="AM719" s="86"/>
      <c r="AN719" s="86"/>
      <c r="AO719" s="86"/>
      <c r="AP719" s="86"/>
    </row>
    <row r="720" spans="1:42" ht="15.75" customHeight="1" x14ac:dyDescent="0.3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6"/>
      <c r="AK720" s="86"/>
      <c r="AL720" s="86"/>
      <c r="AM720" s="86"/>
      <c r="AN720" s="86"/>
      <c r="AO720" s="86"/>
      <c r="AP720" s="86"/>
    </row>
    <row r="721" spans="1:42" ht="15.75" customHeight="1" x14ac:dyDescent="0.3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  <c r="AA721" s="86"/>
      <c r="AB721" s="86"/>
      <c r="AC721" s="86"/>
      <c r="AD721" s="86"/>
      <c r="AE721" s="86"/>
      <c r="AF721" s="86"/>
      <c r="AG721" s="86"/>
      <c r="AH721" s="86"/>
      <c r="AI721" s="86"/>
      <c r="AJ721" s="86"/>
      <c r="AK721" s="86"/>
      <c r="AL721" s="86"/>
      <c r="AM721" s="86"/>
      <c r="AN721" s="86"/>
      <c r="AO721" s="86"/>
      <c r="AP721" s="86"/>
    </row>
    <row r="722" spans="1:42" ht="15.75" customHeight="1" x14ac:dyDescent="0.3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  <c r="AI722" s="86"/>
      <c r="AJ722" s="86"/>
      <c r="AK722" s="86"/>
      <c r="AL722" s="86"/>
      <c r="AM722" s="86"/>
      <c r="AN722" s="86"/>
      <c r="AO722" s="86"/>
      <c r="AP722" s="86"/>
    </row>
    <row r="723" spans="1:42" ht="15.75" customHeight="1" x14ac:dyDescent="0.3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  <c r="AI723" s="86"/>
      <c r="AJ723" s="86"/>
      <c r="AK723" s="86"/>
      <c r="AL723" s="86"/>
      <c r="AM723" s="86"/>
      <c r="AN723" s="86"/>
      <c r="AO723" s="86"/>
      <c r="AP723" s="86"/>
    </row>
    <row r="724" spans="1:42" ht="15.75" customHeight="1" x14ac:dyDescent="0.3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6"/>
      <c r="AK724" s="86"/>
      <c r="AL724" s="86"/>
      <c r="AM724" s="86"/>
      <c r="AN724" s="86"/>
      <c r="AO724" s="86"/>
      <c r="AP724" s="86"/>
    </row>
    <row r="725" spans="1:42" ht="15.75" customHeight="1" x14ac:dyDescent="0.3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  <c r="AI725" s="86"/>
      <c r="AJ725" s="86"/>
      <c r="AK725" s="86"/>
      <c r="AL725" s="86"/>
      <c r="AM725" s="86"/>
      <c r="AN725" s="86"/>
      <c r="AO725" s="86"/>
      <c r="AP725" s="86"/>
    </row>
    <row r="726" spans="1:42" ht="15.75" customHeight="1" x14ac:dyDescent="0.3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  <c r="AI726" s="86"/>
      <c r="AJ726" s="86"/>
      <c r="AK726" s="86"/>
      <c r="AL726" s="86"/>
      <c r="AM726" s="86"/>
      <c r="AN726" s="86"/>
      <c r="AO726" s="86"/>
      <c r="AP726" s="86"/>
    </row>
    <row r="727" spans="1:42" ht="15.75" customHeight="1" x14ac:dyDescent="0.3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  <c r="AI727" s="86"/>
      <c r="AJ727" s="86"/>
      <c r="AK727" s="86"/>
      <c r="AL727" s="86"/>
      <c r="AM727" s="86"/>
      <c r="AN727" s="86"/>
      <c r="AO727" s="86"/>
      <c r="AP727" s="86"/>
    </row>
    <row r="728" spans="1:42" ht="15.75" customHeight="1" x14ac:dyDescent="0.3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6"/>
      <c r="AK728" s="86"/>
      <c r="AL728" s="86"/>
      <c r="AM728" s="86"/>
      <c r="AN728" s="86"/>
      <c r="AO728" s="86"/>
      <c r="AP728" s="86"/>
    </row>
    <row r="729" spans="1:42" ht="15.75" customHeight="1" x14ac:dyDescent="0.3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  <c r="AI729" s="86"/>
      <c r="AJ729" s="86"/>
      <c r="AK729" s="86"/>
      <c r="AL729" s="86"/>
      <c r="AM729" s="86"/>
      <c r="AN729" s="86"/>
      <c r="AO729" s="86"/>
      <c r="AP729" s="86"/>
    </row>
    <row r="730" spans="1:42" ht="15.75" customHeight="1" x14ac:dyDescent="0.3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  <c r="AI730" s="86"/>
      <c r="AJ730" s="86"/>
      <c r="AK730" s="86"/>
      <c r="AL730" s="86"/>
      <c r="AM730" s="86"/>
      <c r="AN730" s="86"/>
      <c r="AO730" s="86"/>
      <c r="AP730" s="86"/>
    </row>
    <row r="731" spans="1:42" ht="15.75" customHeight="1" x14ac:dyDescent="0.3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  <c r="AI731" s="86"/>
      <c r="AJ731" s="86"/>
      <c r="AK731" s="86"/>
      <c r="AL731" s="86"/>
      <c r="AM731" s="86"/>
      <c r="AN731" s="86"/>
      <c r="AO731" s="86"/>
      <c r="AP731" s="86"/>
    </row>
    <row r="732" spans="1:42" ht="15.75" customHeight="1" x14ac:dyDescent="0.3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6"/>
      <c r="AK732" s="86"/>
      <c r="AL732" s="86"/>
      <c r="AM732" s="86"/>
      <c r="AN732" s="86"/>
      <c r="AO732" s="86"/>
      <c r="AP732" s="86"/>
    </row>
    <row r="733" spans="1:42" ht="15.75" customHeight="1" x14ac:dyDescent="0.3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  <c r="AI733" s="86"/>
      <c r="AJ733" s="86"/>
      <c r="AK733" s="86"/>
      <c r="AL733" s="86"/>
      <c r="AM733" s="86"/>
      <c r="AN733" s="86"/>
      <c r="AO733" s="86"/>
      <c r="AP733" s="86"/>
    </row>
    <row r="734" spans="1:42" ht="15.75" customHeight="1" x14ac:dyDescent="0.3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6"/>
      <c r="AK734" s="86"/>
      <c r="AL734" s="86"/>
      <c r="AM734" s="86"/>
      <c r="AN734" s="86"/>
      <c r="AO734" s="86"/>
      <c r="AP734" s="86"/>
    </row>
    <row r="735" spans="1:42" ht="15.75" customHeight="1" x14ac:dyDescent="0.3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  <c r="AA735" s="86"/>
      <c r="AB735" s="86"/>
      <c r="AC735" s="86"/>
      <c r="AD735" s="86"/>
      <c r="AE735" s="86"/>
      <c r="AF735" s="86"/>
      <c r="AG735" s="86"/>
      <c r="AH735" s="86"/>
      <c r="AI735" s="86"/>
      <c r="AJ735" s="86"/>
      <c r="AK735" s="86"/>
      <c r="AL735" s="86"/>
      <c r="AM735" s="86"/>
      <c r="AN735" s="86"/>
      <c r="AO735" s="86"/>
      <c r="AP735" s="86"/>
    </row>
    <row r="736" spans="1:42" ht="15.75" customHeight="1" x14ac:dyDescent="0.3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  <c r="AA736" s="86"/>
      <c r="AB736" s="86"/>
      <c r="AC736" s="86"/>
      <c r="AD736" s="86"/>
      <c r="AE736" s="86"/>
      <c r="AF736" s="86"/>
      <c r="AG736" s="86"/>
      <c r="AH736" s="86"/>
      <c r="AI736" s="86"/>
      <c r="AJ736" s="86"/>
      <c r="AK736" s="86"/>
      <c r="AL736" s="86"/>
      <c r="AM736" s="86"/>
      <c r="AN736" s="86"/>
      <c r="AO736" s="86"/>
      <c r="AP736" s="86"/>
    </row>
    <row r="737" spans="1:42" ht="15.75" customHeight="1" x14ac:dyDescent="0.3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  <c r="AA737" s="86"/>
      <c r="AB737" s="86"/>
      <c r="AC737" s="86"/>
      <c r="AD737" s="86"/>
      <c r="AE737" s="86"/>
      <c r="AF737" s="86"/>
      <c r="AG737" s="86"/>
      <c r="AH737" s="86"/>
      <c r="AI737" s="86"/>
      <c r="AJ737" s="86"/>
      <c r="AK737" s="86"/>
      <c r="AL737" s="86"/>
      <c r="AM737" s="86"/>
      <c r="AN737" s="86"/>
      <c r="AO737" s="86"/>
      <c r="AP737" s="86"/>
    </row>
    <row r="738" spans="1:42" ht="15.75" customHeight="1" x14ac:dyDescent="0.3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  <c r="AA738" s="86"/>
      <c r="AB738" s="86"/>
      <c r="AC738" s="86"/>
      <c r="AD738" s="86"/>
      <c r="AE738" s="86"/>
      <c r="AF738" s="86"/>
      <c r="AG738" s="86"/>
      <c r="AH738" s="86"/>
      <c r="AI738" s="86"/>
      <c r="AJ738" s="86"/>
      <c r="AK738" s="86"/>
      <c r="AL738" s="86"/>
      <c r="AM738" s="86"/>
      <c r="AN738" s="86"/>
      <c r="AO738" s="86"/>
      <c r="AP738" s="86"/>
    </row>
    <row r="739" spans="1:42" ht="15.75" customHeight="1" x14ac:dyDescent="0.3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  <c r="AA739" s="86"/>
      <c r="AB739" s="86"/>
      <c r="AC739" s="86"/>
      <c r="AD739" s="86"/>
      <c r="AE739" s="86"/>
      <c r="AF739" s="86"/>
      <c r="AG739" s="86"/>
      <c r="AH739" s="86"/>
      <c r="AI739" s="86"/>
      <c r="AJ739" s="86"/>
      <c r="AK739" s="86"/>
      <c r="AL739" s="86"/>
      <c r="AM739" s="86"/>
      <c r="AN739" s="86"/>
      <c r="AO739" s="86"/>
      <c r="AP739" s="86"/>
    </row>
    <row r="740" spans="1:42" ht="15.75" customHeight="1" x14ac:dyDescent="0.3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  <c r="AA740" s="86"/>
      <c r="AB740" s="86"/>
      <c r="AC740" s="86"/>
      <c r="AD740" s="86"/>
      <c r="AE740" s="86"/>
      <c r="AF740" s="86"/>
      <c r="AG740" s="86"/>
      <c r="AH740" s="86"/>
      <c r="AI740" s="86"/>
      <c r="AJ740" s="86"/>
      <c r="AK740" s="86"/>
      <c r="AL740" s="86"/>
      <c r="AM740" s="86"/>
      <c r="AN740" s="86"/>
      <c r="AO740" s="86"/>
      <c r="AP740" s="86"/>
    </row>
    <row r="741" spans="1:42" ht="15.75" customHeight="1" x14ac:dyDescent="0.3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  <c r="AA741" s="86"/>
      <c r="AB741" s="86"/>
      <c r="AC741" s="86"/>
      <c r="AD741" s="86"/>
      <c r="AE741" s="86"/>
      <c r="AF741" s="86"/>
      <c r="AG741" s="86"/>
      <c r="AH741" s="86"/>
      <c r="AI741" s="86"/>
      <c r="AJ741" s="86"/>
      <c r="AK741" s="86"/>
      <c r="AL741" s="86"/>
      <c r="AM741" s="86"/>
      <c r="AN741" s="86"/>
      <c r="AO741" s="86"/>
      <c r="AP741" s="86"/>
    </row>
    <row r="742" spans="1:42" ht="15.75" customHeight="1" x14ac:dyDescent="0.3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  <c r="AA742" s="86"/>
      <c r="AB742" s="86"/>
      <c r="AC742" s="86"/>
      <c r="AD742" s="86"/>
      <c r="AE742" s="86"/>
      <c r="AF742" s="86"/>
      <c r="AG742" s="86"/>
      <c r="AH742" s="86"/>
      <c r="AI742" s="86"/>
      <c r="AJ742" s="86"/>
      <c r="AK742" s="86"/>
      <c r="AL742" s="86"/>
      <c r="AM742" s="86"/>
      <c r="AN742" s="86"/>
      <c r="AO742" s="86"/>
      <c r="AP742" s="86"/>
    </row>
    <row r="743" spans="1:42" ht="15.75" customHeight="1" x14ac:dyDescent="0.3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  <c r="AA743" s="86"/>
      <c r="AB743" s="86"/>
      <c r="AC743" s="86"/>
      <c r="AD743" s="86"/>
      <c r="AE743" s="86"/>
      <c r="AF743" s="86"/>
      <c r="AG743" s="86"/>
      <c r="AH743" s="86"/>
      <c r="AI743" s="86"/>
      <c r="AJ743" s="86"/>
      <c r="AK743" s="86"/>
      <c r="AL743" s="86"/>
      <c r="AM743" s="86"/>
      <c r="AN743" s="86"/>
      <c r="AO743" s="86"/>
      <c r="AP743" s="86"/>
    </row>
    <row r="744" spans="1:42" ht="15.75" customHeight="1" x14ac:dyDescent="0.3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  <c r="AA744" s="86"/>
      <c r="AB744" s="86"/>
      <c r="AC744" s="86"/>
      <c r="AD744" s="86"/>
      <c r="AE744" s="86"/>
      <c r="AF744" s="86"/>
      <c r="AG744" s="86"/>
      <c r="AH744" s="86"/>
      <c r="AI744" s="86"/>
      <c r="AJ744" s="86"/>
      <c r="AK744" s="86"/>
      <c r="AL744" s="86"/>
      <c r="AM744" s="86"/>
      <c r="AN744" s="86"/>
      <c r="AO744" s="86"/>
      <c r="AP744" s="86"/>
    </row>
    <row r="745" spans="1:42" ht="15.75" customHeight="1" x14ac:dyDescent="0.3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  <c r="AA745" s="86"/>
      <c r="AB745" s="86"/>
      <c r="AC745" s="86"/>
      <c r="AD745" s="86"/>
      <c r="AE745" s="86"/>
      <c r="AF745" s="86"/>
      <c r="AG745" s="86"/>
      <c r="AH745" s="86"/>
      <c r="AI745" s="86"/>
      <c r="AJ745" s="86"/>
      <c r="AK745" s="86"/>
      <c r="AL745" s="86"/>
      <c r="AM745" s="86"/>
      <c r="AN745" s="86"/>
      <c r="AO745" s="86"/>
      <c r="AP745" s="86"/>
    </row>
    <row r="746" spans="1:42" ht="15.75" customHeight="1" x14ac:dyDescent="0.3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  <c r="AA746" s="86"/>
      <c r="AB746" s="86"/>
      <c r="AC746" s="86"/>
      <c r="AD746" s="86"/>
      <c r="AE746" s="86"/>
      <c r="AF746" s="86"/>
      <c r="AG746" s="86"/>
      <c r="AH746" s="86"/>
      <c r="AI746" s="86"/>
      <c r="AJ746" s="86"/>
      <c r="AK746" s="86"/>
      <c r="AL746" s="86"/>
      <c r="AM746" s="86"/>
      <c r="AN746" s="86"/>
      <c r="AO746" s="86"/>
      <c r="AP746" s="86"/>
    </row>
    <row r="747" spans="1:42" ht="15.75" customHeight="1" x14ac:dyDescent="0.3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  <c r="AA747" s="86"/>
      <c r="AB747" s="86"/>
      <c r="AC747" s="86"/>
      <c r="AD747" s="86"/>
      <c r="AE747" s="86"/>
      <c r="AF747" s="86"/>
      <c r="AG747" s="86"/>
      <c r="AH747" s="86"/>
      <c r="AI747" s="86"/>
      <c r="AJ747" s="86"/>
      <c r="AK747" s="86"/>
      <c r="AL747" s="86"/>
      <c r="AM747" s="86"/>
      <c r="AN747" s="86"/>
      <c r="AO747" s="86"/>
      <c r="AP747" s="86"/>
    </row>
    <row r="748" spans="1:42" ht="15.75" customHeight="1" x14ac:dyDescent="0.3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  <c r="AA748" s="86"/>
      <c r="AB748" s="86"/>
      <c r="AC748" s="86"/>
      <c r="AD748" s="86"/>
      <c r="AE748" s="86"/>
      <c r="AF748" s="86"/>
      <c r="AG748" s="86"/>
      <c r="AH748" s="86"/>
      <c r="AI748" s="86"/>
      <c r="AJ748" s="86"/>
      <c r="AK748" s="86"/>
      <c r="AL748" s="86"/>
      <c r="AM748" s="86"/>
      <c r="AN748" s="86"/>
      <c r="AO748" s="86"/>
      <c r="AP748" s="86"/>
    </row>
    <row r="749" spans="1:42" ht="15.75" customHeight="1" x14ac:dyDescent="0.3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  <c r="AA749" s="86"/>
      <c r="AB749" s="86"/>
      <c r="AC749" s="86"/>
      <c r="AD749" s="86"/>
      <c r="AE749" s="86"/>
      <c r="AF749" s="86"/>
      <c r="AG749" s="86"/>
      <c r="AH749" s="86"/>
      <c r="AI749" s="86"/>
      <c r="AJ749" s="86"/>
      <c r="AK749" s="86"/>
      <c r="AL749" s="86"/>
      <c r="AM749" s="86"/>
      <c r="AN749" s="86"/>
      <c r="AO749" s="86"/>
      <c r="AP749" s="86"/>
    </row>
    <row r="750" spans="1:42" ht="15.75" customHeight="1" x14ac:dyDescent="0.3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  <c r="AA750" s="86"/>
      <c r="AB750" s="86"/>
      <c r="AC750" s="86"/>
      <c r="AD750" s="86"/>
      <c r="AE750" s="86"/>
      <c r="AF750" s="86"/>
      <c r="AG750" s="86"/>
      <c r="AH750" s="86"/>
      <c r="AI750" s="86"/>
      <c r="AJ750" s="86"/>
      <c r="AK750" s="86"/>
      <c r="AL750" s="86"/>
      <c r="AM750" s="86"/>
      <c r="AN750" s="86"/>
      <c r="AO750" s="86"/>
      <c r="AP750" s="86"/>
    </row>
    <row r="751" spans="1:42" ht="15.75" customHeight="1" x14ac:dyDescent="0.3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  <c r="AA751" s="86"/>
      <c r="AB751" s="86"/>
      <c r="AC751" s="86"/>
      <c r="AD751" s="86"/>
      <c r="AE751" s="86"/>
      <c r="AF751" s="86"/>
      <c r="AG751" s="86"/>
      <c r="AH751" s="86"/>
      <c r="AI751" s="86"/>
      <c r="AJ751" s="86"/>
      <c r="AK751" s="86"/>
      <c r="AL751" s="86"/>
      <c r="AM751" s="86"/>
      <c r="AN751" s="86"/>
      <c r="AO751" s="86"/>
      <c r="AP751" s="86"/>
    </row>
    <row r="752" spans="1:42" ht="15.75" customHeight="1" x14ac:dyDescent="0.3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  <c r="AA752" s="86"/>
      <c r="AB752" s="86"/>
      <c r="AC752" s="86"/>
      <c r="AD752" s="86"/>
      <c r="AE752" s="86"/>
      <c r="AF752" s="86"/>
      <c r="AG752" s="86"/>
      <c r="AH752" s="86"/>
      <c r="AI752" s="86"/>
      <c r="AJ752" s="86"/>
      <c r="AK752" s="86"/>
      <c r="AL752" s="86"/>
      <c r="AM752" s="86"/>
      <c r="AN752" s="86"/>
      <c r="AO752" s="86"/>
      <c r="AP752" s="86"/>
    </row>
    <row r="753" spans="1:42" ht="15.75" customHeight="1" x14ac:dyDescent="0.3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  <c r="AA753" s="86"/>
      <c r="AB753" s="86"/>
      <c r="AC753" s="86"/>
      <c r="AD753" s="86"/>
      <c r="AE753" s="86"/>
      <c r="AF753" s="86"/>
      <c r="AG753" s="86"/>
      <c r="AH753" s="86"/>
      <c r="AI753" s="86"/>
      <c r="AJ753" s="86"/>
      <c r="AK753" s="86"/>
      <c r="AL753" s="86"/>
      <c r="AM753" s="86"/>
      <c r="AN753" s="86"/>
      <c r="AO753" s="86"/>
      <c r="AP753" s="86"/>
    </row>
    <row r="754" spans="1:42" ht="15.75" customHeight="1" x14ac:dyDescent="0.3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  <c r="AA754" s="86"/>
      <c r="AB754" s="86"/>
      <c r="AC754" s="86"/>
      <c r="AD754" s="86"/>
      <c r="AE754" s="86"/>
      <c r="AF754" s="86"/>
      <c r="AG754" s="86"/>
      <c r="AH754" s="86"/>
      <c r="AI754" s="86"/>
      <c r="AJ754" s="86"/>
      <c r="AK754" s="86"/>
      <c r="AL754" s="86"/>
      <c r="AM754" s="86"/>
      <c r="AN754" s="86"/>
      <c r="AO754" s="86"/>
      <c r="AP754" s="86"/>
    </row>
    <row r="755" spans="1:42" ht="15.75" customHeight="1" x14ac:dyDescent="0.3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  <c r="AA755" s="86"/>
      <c r="AB755" s="86"/>
      <c r="AC755" s="86"/>
      <c r="AD755" s="86"/>
      <c r="AE755" s="86"/>
      <c r="AF755" s="86"/>
      <c r="AG755" s="86"/>
      <c r="AH755" s="86"/>
      <c r="AI755" s="86"/>
      <c r="AJ755" s="86"/>
      <c r="AK755" s="86"/>
      <c r="AL755" s="86"/>
      <c r="AM755" s="86"/>
      <c r="AN755" s="86"/>
      <c r="AO755" s="86"/>
      <c r="AP755" s="86"/>
    </row>
    <row r="756" spans="1:42" ht="15.75" customHeight="1" x14ac:dyDescent="0.3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  <c r="AA756" s="86"/>
      <c r="AB756" s="86"/>
      <c r="AC756" s="86"/>
      <c r="AD756" s="86"/>
      <c r="AE756" s="86"/>
      <c r="AF756" s="86"/>
      <c r="AG756" s="86"/>
      <c r="AH756" s="86"/>
      <c r="AI756" s="86"/>
      <c r="AJ756" s="86"/>
      <c r="AK756" s="86"/>
      <c r="AL756" s="86"/>
      <c r="AM756" s="86"/>
      <c r="AN756" s="86"/>
      <c r="AO756" s="86"/>
      <c r="AP756" s="86"/>
    </row>
    <row r="757" spans="1:42" ht="15.75" customHeight="1" x14ac:dyDescent="0.3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  <c r="AA757" s="86"/>
      <c r="AB757" s="86"/>
      <c r="AC757" s="86"/>
      <c r="AD757" s="86"/>
      <c r="AE757" s="86"/>
      <c r="AF757" s="86"/>
      <c r="AG757" s="86"/>
      <c r="AH757" s="86"/>
      <c r="AI757" s="86"/>
      <c r="AJ757" s="86"/>
      <c r="AK757" s="86"/>
      <c r="AL757" s="86"/>
      <c r="AM757" s="86"/>
      <c r="AN757" s="86"/>
      <c r="AO757" s="86"/>
      <c r="AP757" s="86"/>
    </row>
    <row r="758" spans="1:42" ht="15.75" customHeight="1" x14ac:dyDescent="0.3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  <c r="AA758" s="86"/>
      <c r="AB758" s="86"/>
      <c r="AC758" s="86"/>
      <c r="AD758" s="86"/>
      <c r="AE758" s="86"/>
      <c r="AF758" s="86"/>
      <c r="AG758" s="86"/>
      <c r="AH758" s="86"/>
      <c r="AI758" s="86"/>
      <c r="AJ758" s="86"/>
      <c r="AK758" s="86"/>
      <c r="AL758" s="86"/>
      <c r="AM758" s="86"/>
      <c r="AN758" s="86"/>
      <c r="AO758" s="86"/>
      <c r="AP758" s="86"/>
    </row>
    <row r="759" spans="1:42" ht="15.75" customHeight="1" x14ac:dyDescent="0.3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  <c r="AA759" s="86"/>
      <c r="AB759" s="86"/>
      <c r="AC759" s="86"/>
      <c r="AD759" s="86"/>
      <c r="AE759" s="86"/>
      <c r="AF759" s="86"/>
      <c r="AG759" s="86"/>
      <c r="AH759" s="86"/>
      <c r="AI759" s="86"/>
      <c r="AJ759" s="86"/>
      <c r="AK759" s="86"/>
      <c r="AL759" s="86"/>
      <c r="AM759" s="86"/>
      <c r="AN759" s="86"/>
      <c r="AO759" s="86"/>
      <c r="AP759" s="86"/>
    </row>
    <row r="760" spans="1:42" ht="15.75" customHeight="1" x14ac:dyDescent="0.3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  <c r="AA760" s="86"/>
      <c r="AB760" s="86"/>
      <c r="AC760" s="86"/>
      <c r="AD760" s="86"/>
      <c r="AE760" s="86"/>
      <c r="AF760" s="86"/>
      <c r="AG760" s="86"/>
      <c r="AH760" s="86"/>
      <c r="AI760" s="86"/>
      <c r="AJ760" s="86"/>
      <c r="AK760" s="86"/>
      <c r="AL760" s="86"/>
      <c r="AM760" s="86"/>
      <c r="AN760" s="86"/>
      <c r="AO760" s="86"/>
      <c r="AP760" s="86"/>
    </row>
    <row r="761" spans="1:42" ht="15.75" customHeight="1" x14ac:dyDescent="0.3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  <c r="AA761" s="86"/>
      <c r="AB761" s="86"/>
      <c r="AC761" s="86"/>
      <c r="AD761" s="86"/>
      <c r="AE761" s="86"/>
      <c r="AF761" s="86"/>
      <c r="AG761" s="86"/>
      <c r="AH761" s="86"/>
      <c r="AI761" s="86"/>
      <c r="AJ761" s="86"/>
      <c r="AK761" s="86"/>
      <c r="AL761" s="86"/>
      <c r="AM761" s="86"/>
      <c r="AN761" s="86"/>
      <c r="AO761" s="86"/>
      <c r="AP761" s="86"/>
    </row>
    <row r="762" spans="1:42" ht="15.75" customHeight="1" x14ac:dyDescent="0.3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  <c r="AA762" s="86"/>
      <c r="AB762" s="86"/>
      <c r="AC762" s="86"/>
      <c r="AD762" s="86"/>
      <c r="AE762" s="86"/>
      <c r="AF762" s="86"/>
      <c r="AG762" s="86"/>
      <c r="AH762" s="86"/>
      <c r="AI762" s="86"/>
      <c r="AJ762" s="86"/>
      <c r="AK762" s="86"/>
      <c r="AL762" s="86"/>
      <c r="AM762" s="86"/>
      <c r="AN762" s="86"/>
      <c r="AO762" s="86"/>
      <c r="AP762" s="86"/>
    </row>
    <row r="763" spans="1:42" ht="15.75" customHeight="1" x14ac:dyDescent="0.3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  <c r="AA763" s="86"/>
      <c r="AB763" s="86"/>
      <c r="AC763" s="86"/>
      <c r="AD763" s="86"/>
      <c r="AE763" s="86"/>
      <c r="AF763" s="86"/>
      <c r="AG763" s="86"/>
      <c r="AH763" s="86"/>
      <c r="AI763" s="86"/>
      <c r="AJ763" s="86"/>
      <c r="AK763" s="86"/>
      <c r="AL763" s="86"/>
      <c r="AM763" s="86"/>
      <c r="AN763" s="86"/>
      <c r="AO763" s="86"/>
      <c r="AP763" s="86"/>
    </row>
    <row r="764" spans="1:42" ht="15.75" customHeight="1" x14ac:dyDescent="0.3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  <c r="AA764" s="86"/>
      <c r="AB764" s="86"/>
      <c r="AC764" s="86"/>
      <c r="AD764" s="86"/>
      <c r="AE764" s="86"/>
      <c r="AF764" s="86"/>
      <c r="AG764" s="86"/>
      <c r="AH764" s="86"/>
      <c r="AI764" s="86"/>
      <c r="AJ764" s="86"/>
      <c r="AK764" s="86"/>
      <c r="AL764" s="86"/>
      <c r="AM764" s="86"/>
      <c r="AN764" s="86"/>
      <c r="AO764" s="86"/>
      <c r="AP764" s="86"/>
    </row>
    <row r="765" spans="1:42" ht="15.75" customHeight="1" x14ac:dyDescent="0.3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  <c r="AA765" s="86"/>
      <c r="AB765" s="86"/>
      <c r="AC765" s="86"/>
      <c r="AD765" s="86"/>
      <c r="AE765" s="86"/>
      <c r="AF765" s="86"/>
      <c r="AG765" s="86"/>
      <c r="AH765" s="86"/>
      <c r="AI765" s="86"/>
      <c r="AJ765" s="86"/>
      <c r="AK765" s="86"/>
      <c r="AL765" s="86"/>
      <c r="AM765" s="86"/>
      <c r="AN765" s="86"/>
      <c r="AO765" s="86"/>
      <c r="AP765" s="86"/>
    </row>
    <row r="766" spans="1:42" ht="15.75" customHeight="1" x14ac:dyDescent="0.3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  <c r="AA766" s="86"/>
      <c r="AB766" s="86"/>
      <c r="AC766" s="86"/>
      <c r="AD766" s="86"/>
      <c r="AE766" s="86"/>
      <c r="AF766" s="86"/>
      <c r="AG766" s="86"/>
      <c r="AH766" s="86"/>
      <c r="AI766" s="86"/>
      <c r="AJ766" s="86"/>
      <c r="AK766" s="86"/>
      <c r="AL766" s="86"/>
      <c r="AM766" s="86"/>
      <c r="AN766" s="86"/>
      <c r="AO766" s="86"/>
      <c r="AP766" s="86"/>
    </row>
    <row r="767" spans="1:42" ht="15.75" customHeight="1" x14ac:dyDescent="0.3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  <c r="AA767" s="86"/>
      <c r="AB767" s="86"/>
      <c r="AC767" s="86"/>
      <c r="AD767" s="86"/>
      <c r="AE767" s="86"/>
      <c r="AF767" s="86"/>
      <c r="AG767" s="86"/>
      <c r="AH767" s="86"/>
      <c r="AI767" s="86"/>
      <c r="AJ767" s="86"/>
      <c r="AK767" s="86"/>
      <c r="AL767" s="86"/>
      <c r="AM767" s="86"/>
      <c r="AN767" s="86"/>
      <c r="AO767" s="86"/>
      <c r="AP767" s="86"/>
    </row>
    <row r="768" spans="1:42" ht="15.75" customHeight="1" x14ac:dyDescent="0.3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  <c r="AA768" s="86"/>
      <c r="AB768" s="86"/>
      <c r="AC768" s="86"/>
      <c r="AD768" s="86"/>
      <c r="AE768" s="86"/>
      <c r="AF768" s="86"/>
      <c r="AG768" s="86"/>
      <c r="AH768" s="86"/>
      <c r="AI768" s="86"/>
      <c r="AJ768" s="86"/>
      <c r="AK768" s="86"/>
      <c r="AL768" s="86"/>
      <c r="AM768" s="86"/>
      <c r="AN768" s="86"/>
      <c r="AO768" s="86"/>
      <c r="AP768" s="86"/>
    </row>
    <row r="769" spans="1:42" ht="15.75" customHeight="1" x14ac:dyDescent="0.3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  <c r="AA769" s="86"/>
      <c r="AB769" s="86"/>
      <c r="AC769" s="86"/>
      <c r="AD769" s="86"/>
      <c r="AE769" s="86"/>
      <c r="AF769" s="86"/>
      <c r="AG769" s="86"/>
      <c r="AH769" s="86"/>
      <c r="AI769" s="86"/>
      <c r="AJ769" s="86"/>
      <c r="AK769" s="86"/>
      <c r="AL769" s="86"/>
      <c r="AM769" s="86"/>
      <c r="AN769" s="86"/>
      <c r="AO769" s="86"/>
      <c r="AP769" s="86"/>
    </row>
    <row r="770" spans="1:42" ht="15.75" customHeight="1" x14ac:dyDescent="0.3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  <c r="AA770" s="86"/>
      <c r="AB770" s="86"/>
      <c r="AC770" s="86"/>
      <c r="AD770" s="86"/>
      <c r="AE770" s="86"/>
      <c r="AF770" s="86"/>
      <c r="AG770" s="86"/>
      <c r="AH770" s="86"/>
      <c r="AI770" s="86"/>
      <c r="AJ770" s="86"/>
      <c r="AK770" s="86"/>
      <c r="AL770" s="86"/>
      <c r="AM770" s="86"/>
      <c r="AN770" s="86"/>
      <c r="AO770" s="86"/>
      <c r="AP770" s="86"/>
    </row>
    <row r="771" spans="1:42" ht="15.75" customHeight="1" x14ac:dyDescent="0.3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  <c r="AA771" s="86"/>
      <c r="AB771" s="86"/>
      <c r="AC771" s="86"/>
      <c r="AD771" s="86"/>
      <c r="AE771" s="86"/>
      <c r="AF771" s="86"/>
      <c r="AG771" s="86"/>
      <c r="AH771" s="86"/>
      <c r="AI771" s="86"/>
      <c r="AJ771" s="86"/>
      <c r="AK771" s="86"/>
      <c r="AL771" s="86"/>
      <c r="AM771" s="86"/>
      <c r="AN771" s="86"/>
      <c r="AO771" s="86"/>
      <c r="AP771" s="86"/>
    </row>
    <row r="772" spans="1:42" ht="15.75" customHeight="1" x14ac:dyDescent="0.3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  <c r="AA772" s="86"/>
      <c r="AB772" s="86"/>
      <c r="AC772" s="86"/>
      <c r="AD772" s="86"/>
      <c r="AE772" s="86"/>
      <c r="AF772" s="86"/>
      <c r="AG772" s="86"/>
      <c r="AH772" s="86"/>
      <c r="AI772" s="86"/>
      <c r="AJ772" s="86"/>
      <c r="AK772" s="86"/>
      <c r="AL772" s="86"/>
      <c r="AM772" s="86"/>
      <c r="AN772" s="86"/>
      <c r="AO772" s="86"/>
      <c r="AP772" s="86"/>
    </row>
    <row r="773" spans="1:42" ht="15.75" customHeight="1" x14ac:dyDescent="0.3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  <c r="AA773" s="86"/>
      <c r="AB773" s="86"/>
      <c r="AC773" s="86"/>
      <c r="AD773" s="86"/>
      <c r="AE773" s="86"/>
      <c r="AF773" s="86"/>
      <c r="AG773" s="86"/>
      <c r="AH773" s="86"/>
      <c r="AI773" s="86"/>
      <c r="AJ773" s="86"/>
      <c r="AK773" s="86"/>
      <c r="AL773" s="86"/>
      <c r="AM773" s="86"/>
      <c r="AN773" s="86"/>
      <c r="AO773" s="86"/>
      <c r="AP773" s="86"/>
    </row>
    <row r="774" spans="1:42" ht="15.75" customHeight="1" x14ac:dyDescent="0.3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  <c r="AA774" s="86"/>
      <c r="AB774" s="86"/>
      <c r="AC774" s="86"/>
      <c r="AD774" s="86"/>
      <c r="AE774" s="86"/>
      <c r="AF774" s="86"/>
      <c r="AG774" s="86"/>
      <c r="AH774" s="86"/>
      <c r="AI774" s="86"/>
      <c r="AJ774" s="86"/>
      <c r="AK774" s="86"/>
      <c r="AL774" s="86"/>
      <c r="AM774" s="86"/>
      <c r="AN774" s="86"/>
      <c r="AO774" s="86"/>
      <c r="AP774" s="86"/>
    </row>
    <row r="775" spans="1:42" ht="15.75" customHeight="1" x14ac:dyDescent="0.3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  <c r="AA775" s="86"/>
      <c r="AB775" s="86"/>
      <c r="AC775" s="86"/>
      <c r="AD775" s="86"/>
      <c r="AE775" s="86"/>
      <c r="AF775" s="86"/>
      <c r="AG775" s="86"/>
      <c r="AH775" s="86"/>
      <c r="AI775" s="86"/>
      <c r="AJ775" s="86"/>
      <c r="AK775" s="86"/>
      <c r="AL775" s="86"/>
      <c r="AM775" s="86"/>
      <c r="AN775" s="86"/>
      <c r="AO775" s="86"/>
      <c r="AP775" s="86"/>
    </row>
    <row r="776" spans="1:42" ht="15.75" customHeight="1" x14ac:dyDescent="0.3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  <c r="AA776" s="86"/>
      <c r="AB776" s="86"/>
      <c r="AC776" s="86"/>
      <c r="AD776" s="86"/>
      <c r="AE776" s="86"/>
      <c r="AF776" s="86"/>
      <c r="AG776" s="86"/>
      <c r="AH776" s="86"/>
      <c r="AI776" s="86"/>
      <c r="AJ776" s="86"/>
      <c r="AK776" s="86"/>
      <c r="AL776" s="86"/>
      <c r="AM776" s="86"/>
      <c r="AN776" s="86"/>
      <c r="AO776" s="86"/>
      <c r="AP776" s="86"/>
    </row>
    <row r="777" spans="1:42" ht="15.75" customHeight="1" x14ac:dyDescent="0.3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  <c r="AA777" s="86"/>
      <c r="AB777" s="86"/>
      <c r="AC777" s="86"/>
      <c r="AD777" s="86"/>
      <c r="AE777" s="86"/>
      <c r="AF777" s="86"/>
      <c r="AG777" s="86"/>
      <c r="AH777" s="86"/>
      <c r="AI777" s="86"/>
      <c r="AJ777" s="86"/>
      <c r="AK777" s="86"/>
      <c r="AL777" s="86"/>
      <c r="AM777" s="86"/>
      <c r="AN777" s="86"/>
      <c r="AO777" s="86"/>
      <c r="AP777" s="86"/>
    </row>
    <row r="778" spans="1:42" ht="15.75" customHeight="1" x14ac:dyDescent="0.3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  <c r="AA778" s="86"/>
      <c r="AB778" s="86"/>
      <c r="AC778" s="86"/>
      <c r="AD778" s="86"/>
      <c r="AE778" s="86"/>
      <c r="AF778" s="86"/>
      <c r="AG778" s="86"/>
      <c r="AH778" s="86"/>
      <c r="AI778" s="86"/>
      <c r="AJ778" s="86"/>
      <c r="AK778" s="86"/>
      <c r="AL778" s="86"/>
      <c r="AM778" s="86"/>
      <c r="AN778" s="86"/>
      <c r="AO778" s="86"/>
      <c r="AP778" s="86"/>
    </row>
    <row r="779" spans="1:42" ht="15.75" customHeight="1" x14ac:dyDescent="0.3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  <c r="AA779" s="86"/>
      <c r="AB779" s="86"/>
      <c r="AC779" s="86"/>
      <c r="AD779" s="86"/>
      <c r="AE779" s="86"/>
      <c r="AF779" s="86"/>
      <c r="AG779" s="86"/>
      <c r="AH779" s="86"/>
      <c r="AI779" s="86"/>
      <c r="AJ779" s="86"/>
      <c r="AK779" s="86"/>
      <c r="AL779" s="86"/>
      <c r="AM779" s="86"/>
      <c r="AN779" s="86"/>
      <c r="AO779" s="86"/>
      <c r="AP779" s="86"/>
    </row>
    <row r="780" spans="1:42" ht="15.75" customHeight="1" x14ac:dyDescent="0.3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  <c r="AA780" s="86"/>
      <c r="AB780" s="86"/>
      <c r="AC780" s="86"/>
      <c r="AD780" s="86"/>
      <c r="AE780" s="86"/>
      <c r="AF780" s="86"/>
      <c r="AG780" s="86"/>
      <c r="AH780" s="86"/>
      <c r="AI780" s="86"/>
      <c r="AJ780" s="86"/>
      <c r="AK780" s="86"/>
      <c r="AL780" s="86"/>
      <c r="AM780" s="86"/>
      <c r="AN780" s="86"/>
      <c r="AO780" s="86"/>
      <c r="AP780" s="86"/>
    </row>
    <row r="781" spans="1:42" ht="15.75" customHeight="1" x14ac:dyDescent="0.3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  <c r="AA781" s="86"/>
      <c r="AB781" s="86"/>
      <c r="AC781" s="86"/>
      <c r="AD781" s="86"/>
      <c r="AE781" s="86"/>
      <c r="AF781" s="86"/>
      <c r="AG781" s="86"/>
      <c r="AH781" s="86"/>
      <c r="AI781" s="86"/>
      <c r="AJ781" s="86"/>
      <c r="AK781" s="86"/>
      <c r="AL781" s="86"/>
      <c r="AM781" s="86"/>
      <c r="AN781" s="86"/>
      <c r="AO781" s="86"/>
      <c r="AP781" s="86"/>
    </row>
    <row r="782" spans="1:42" ht="15.75" customHeight="1" x14ac:dyDescent="0.3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  <c r="AA782" s="86"/>
      <c r="AB782" s="86"/>
      <c r="AC782" s="86"/>
      <c r="AD782" s="86"/>
      <c r="AE782" s="86"/>
      <c r="AF782" s="86"/>
      <c r="AG782" s="86"/>
      <c r="AH782" s="86"/>
      <c r="AI782" s="86"/>
      <c r="AJ782" s="86"/>
      <c r="AK782" s="86"/>
      <c r="AL782" s="86"/>
      <c r="AM782" s="86"/>
      <c r="AN782" s="86"/>
      <c r="AO782" s="86"/>
      <c r="AP782" s="86"/>
    </row>
    <row r="783" spans="1:42" ht="15.75" customHeight="1" x14ac:dyDescent="0.3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  <c r="AA783" s="86"/>
      <c r="AB783" s="86"/>
      <c r="AC783" s="86"/>
      <c r="AD783" s="86"/>
      <c r="AE783" s="86"/>
      <c r="AF783" s="86"/>
      <c r="AG783" s="86"/>
      <c r="AH783" s="86"/>
      <c r="AI783" s="86"/>
      <c r="AJ783" s="86"/>
      <c r="AK783" s="86"/>
      <c r="AL783" s="86"/>
      <c r="AM783" s="86"/>
      <c r="AN783" s="86"/>
      <c r="AO783" s="86"/>
      <c r="AP783" s="86"/>
    </row>
    <row r="784" spans="1:42" ht="15.75" customHeight="1" x14ac:dyDescent="0.3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  <c r="AA784" s="86"/>
      <c r="AB784" s="86"/>
      <c r="AC784" s="86"/>
      <c r="AD784" s="86"/>
      <c r="AE784" s="86"/>
      <c r="AF784" s="86"/>
      <c r="AG784" s="86"/>
      <c r="AH784" s="86"/>
      <c r="AI784" s="86"/>
      <c r="AJ784" s="86"/>
      <c r="AK784" s="86"/>
      <c r="AL784" s="86"/>
      <c r="AM784" s="86"/>
      <c r="AN784" s="86"/>
      <c r="AO784" s="86"/>
      <c r="AP784" s="86"/>
    </row>
    <row r="785" spans="1:42" ht="15.75" customHeight="1" x14ac:dyDescent="0.3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  <c r="AA785" s="86"/>
      <c r="AB785" s="86"/>
      <c r="AC785" s="86"/>
      <c r="AD785" s="86"/>
      <c r="AE785" s="86"/>
      <c r="AF785" s="86"/>
      <c r="AG785" s="86"/>
      <c r="AH785" s="86"/>
      <c r="AI785" s="86"/>
      <c r="AJ785" s="86"/>
      <c r="AK785" s="86"/>
      <c r="AL785" s="86"/>
      <c r="AM785" s="86"/>
      <c r="AN785" s="86"/>
      <c r="AO785" s="86"/>
      <c r="AP785" s="86"/>
    </row>
    <row r="786" spans="1:42" ht="15.75" customHeight="1" x14ac:dyDescent="0.3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  <c r="AA786" s="86"/>
      <c r="AB786" s="86"/>
      <c r="AC786" s="86"/>
      <c r="AD786" s="86"/>
      <c r="AE786" s="86"/>
      <c r="AF786" s="86"/>
      <c r="AG786" s="86"/>
      <c r="AH786" s="86"/>
      <c r="AI786" s="86"/>
      <c r="AJ786" s="86"/>
      <c r="AK786" s="86"/>
      <c r="AL786" s="86"/>
      <c r="AM786" s="86"/>
      <c r="AN786" s="86"/>
      <c r="AO786" s="86"/>
      <c r="AP786" s="86"/>
    </row>
    <row r="787" spans="1:42" ht="15.75" customHeight="1" x14ac:dyDescent="0.3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  <c r="AA787" s="86"/>
      <c r="AB787" s="86"/>
      <c r="AC787" s="86"/>
      <c r="AD787" s="86"/>
      <c r="AE787" s="86"/>
      <c r="AF787" s="86"/>
      <c r="AG787" s="86"/>
      <c r="AH787" s="86"/>
      <c r="AI787" s="86"/>
      <c r="AJ787" s="86"/>
      <c r="AK787" s="86"/>
      <c r="AL787" s="86"/>
      <c r="AM787" s="86"/>
      <c r="AN787" s="86"/>
      <c r="AO787" s="86"/>
      <c r="AP787" s="86"/>
    </row>
    <row r="788" spans="1:42" ht="15.75" customHeight="1" x14ac:dyDescent="0.3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  <c r="AA788" s="86"/>
      <c r="AB788" s="86"/>
      <c r="AC788" s="86"/>
      <c r="AD788" s="86"/>
      <c r="AE788" s="86"/>
      <c r="AF788" s="86"/>
      <c r="AG788" s="86"/>
      <c r="AH788" s="86"/>
      <c r="AI788" s="86"/>
      <c r="AJ788" s="86"/>
      <c r="AK788" s="86"/>
      <c r="AL788" s="86"/>
      <c r="AM788" s="86"/>
      <c r="AN788" s="86"/>
      <c r="AO788" s="86"/>
      <c r="AP788" s="86"/>
    </row>
    <row r="789" spans="1:42" ht="15.75" customHeight="1" x14ac:dyDescent="0.3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  <c r="AA789" s="86"/>
      <c r="AB789" s="86"/>
      <c r="AC789" s="86"/>
      <c r="AD789" s="86"/>
      <c r="AE789" s="86"/>
      <c r="AF789" s="86"/>
      <c r="AG789" s="86"/>
      <c r="AH789" s="86"/>
      <c r="AI789" s="86"/>
      <c r="AJ789" s="86"/>
      <c r="AK789" s="86"/>
      <c r="AL789" s="86"/>
      <c r="AM789" s="86"/>
      <c r="AN789" s="86"/>
      <c r="AO789" s="86"/>
      <c r="AP789" s="86"/>
    </row>
    <row r="790" spans="1:42" ht="15.75" customHeight="1" x14ac:dyDescent="0.3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  <c r="AA790" s="86"/>
      <c r="AB790" s="86"/>
      <c r="AC790" s="86"/>
      <c r="AD790" s="86"/>
      <c r="AE790" s="86"/>
      <c r="AF790" s="86"/>
      <c r="AG790" s="86"/>
      <c r="AH790" s="86"/>
      <c r="AI790" s="86"/>
      <c r="AJ790" s="86"/>
      <c r="AK790" s="86"/>
      <c r="AL790" s="86"/>
      <c r="AM790" s="86"/>
      <c r="AN790" s="86"/>
      <c r="AO790" s="86"/>
      <c r="AP790" s="86"/>
    </row>
    <row r="791" spans="1:42" ht="15.75" customHeight="1" x14ac:dyDescent="0.3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  <c r="AA791" s="86"/>
      <c r="AB791" s="86"/>
      <c r="AC791" s="86"/>
      <c r="AD791" s="86"/>
      <c r="AE791" s="86"/>
      <c r="AF791" s="86"/>
      <c r="AG791" s="86"/>
      <c r="AH791" s="86"/>
      <c r="AI791" s="86"/>
      <c r="AJ791" s="86"/>
      <c r="AK791" s="86"/>
      <c r="AL791" s="86"/>
      <c r="AM791" s="86"/>
      <c r="AN791" s="86"/>
      <c r="AO791" s="86"/>
      <c r="AP791" s="86"/>
    </row>
    <row r="792" spans="1:42" ht="15.75" customHeight="1" x14ac:dyDescent="0.3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  <c r="AA792" s="86"/>
      <c r="AB792" s="86"/>
      <c r="AC792" s="86"/>
      <c r="AD792" s="86"/>
      <c r="AE792" s="86"/>
      <c r="AF792" s="86"/>
      <c r="AG792" s="86"/>
      <c r="AH792" s="86"/>
      <c r="AI792" s="86"/>
      <c r="AJ792" s="86"/>
      <c r="AK792" s="86"/>
      <c r="AL792" s="86"/>
      <c r="AM792" s="86"/>
      <c r="AN792" s="86"/>
      <c r="AO792" s="86"/>
      <c r="AP792" s="86"/>
    </row>
    <row r="793" spans="1:42" ht="15.75" customHeight="1" x14ac:dyDescent="0.3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  <c r="AA793" s="86"/>
      <c r="AB793" s="86"/>
      <c r="AC793" s="86"/>
      <c r="AD793" s="86"/>
      <c r="AE793" s="86"/>
      <c r="AF793" s="86"/>
      <c r="AG793" s="86"/>
      <c r="AH793" s="86"/>
      <c r="AI793" s="86"/>
      <c r="AJ793" s="86"/>
      <c r="AK793" s="86"/>
      <c r="AL793" s="86"/>
      <c r="AM793" s="86"/>
      <c r="AN793" s="86"/>
      <c r="AO793" s="86"/>
      <c r="AP793" s="86"/>
    </row>
    <row r="794" spans="1:42" ht="15.75" customHeight="1" x14ac:dyDescent="0.3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  <c r="AA794" s="86"/>
      <c r="AB794" s="86"/>
      <c r="AC794" s="86"/>
      <c r="AD794" s="86"/>
      <c r="AE794" s="86"/>
      <c r="AF794" s="86"/>
      <c r="AG794" s="86"/>
      <c r="AH794" s="86"/>
      <c r="AI794" s="86"/>
      <c r="AJ794" s="86"/>
      <c r="AK794" s="86"/>
      <c r="AL794" s="86"/>
      <c r="AM794" s="86"/>
      <c r="AN794" s="86"/>
      <c r="AO794" s="86"/>
      <c r="AP794" s="86"/>
    </row>
    <row r="795" spans="1:42" ht="15.75" customHeight="1" x14ac:dyDescent="0.3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  <c r="AA795" s="86"/>
      <c r="AB795" s="86"/>
      <c r="AC795" s="86"/>
      <c r="AD795" s="86"/>
      <c r="AE795" s="86"/>
      <c r="AF795" s="86"/>
      <c r="AG795" s="86"/>
      <c r="AH795" s="86"/>
      <c r="AI795" s="86"/>
      <c r="AJ795" s="86"/>
      <c r="AK795" s="86"/>
      <c r="AL795" s="86"/>
      <c r="AM795" s="86"/>
      <c r="AN795" s="86"/>
      <c r="AO795" s="86"/>
      <c r="AP795" s="86"/>
    </row>
    <row r="796" spans="1:42" ht="15.75" customHeight="1" x14ac:dyDescent="0.3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  <c r="AA796" s="86"/>
      <c r="AB796" s="86"/>
      <c r="AC796" s="86"/>
      <c r="AD796" s="86"/>
      <c r="AE796" s="86"/>
      <c r="AF796" s="86"/>
      <c r="AG796" s="86"/>
      <c r="AH796" s="86"/>
      <c r="AI796" s="86"/>
      <c r="AJ796" s="86"/>
      <c r="AK796" s="86"/>
      <c r="AL796" s="86"/>
      <c r="AM796" s="86"/>
      <c r="AN796" s="86"/>
      <c r="AO796" s="86"/>
      <c r="AP796" s="86"/>
    </row>
    <row r="797" spans="1:42" ht="15.75" customHeight="1" x14ac:dyDescent="0.3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  <c r="AA797" s="86"/>
      <c r="AB797" s="86"/>
      <c r="AC797" s="86"/>
      <c r="AD797" s="86"/>
      <c r="AE797" s="86"/>
      <c r="AF797" s="86"/>
      <c r="AG797" s="86"/>
      <c r="AH797" s="86"/>
      <c r="AI797" s="86"/>
      <c r="AJ797" s="86"/>
      <c r="AK797" s="86"/>
      <c r="AL797" s="86"/>
      <c r="AM797" s="86"/>
      <c r="AN797" s="86"/>
      <c r="AO797" s="86"/>
      <c r="AP797" s="86"/>
    </row>
    <row r="798" spans="1:42" ht="15.75" customHeight="1" x14ac:dyDescent="0.3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  <c r="AA798" s="86"/>
      <c r="AB798" s="86"/>
      <c r="AC798" s="86"/>
      <c r="AD798" s="86"/>
      <c r="AE798" s="86"/>
      <c r="AF798" s="86"/>
      <c r="AG798" s="86"/>
      <c r="AH798" s="86"/>
      <c r="AI798" s="86"/>
      <c r="AJ798" s="86"/>
      <c r="AK798" s="86"/>
      <c r="AL798" s="86"/>
      <c r="AM798" s="86"/>
      <c r="AN798" s="86"/>
      <c r="AO798" s="86"/>
      <c r="AP798" s="86"/>
    </row>
    <row r="799" spans="1:42" ht="15.75" customHeight="1" x14ac:dyDescent="0.3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  <c r="AA799" s="86"/>
      <c r="AB799" s="86"/>
      <c r="AC799" s="86"/>
      <c r="AD799" s="86"/>
      <c r="AE799" s="86"/>
      <c r="AF799" s="86"/>
      <c r="AG799" s="86"/>
      <c r="AH799" s="86"/>
      <c r="AI799" s="86"/>
      <c r="AJ799" s="86"/>
      <c r="AK799" s="86"/>
      <c r="AL799" s="86"/>
      <c r="AM799" s="86"/>
      <c r="AN799" s="86"/>
      <c r="AO799" s="86"/>
      <c r="AP799" s="86"/>
    </row>
    <row r="800" spans="1:42" ht="15.75" customHeight="1" x14ac:dyDescent="0.3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  <c r="AA800" s="86"/>
      <c r="AB800" s="86"/>
      <c r="AC800" s="86"/>
      <c r="AD800" s="86"/>
      <c r="AE800" s="86"/>
      <c r="AF800" s="86"/>
      <c r="AG800" s="86"/>
      <c r="AH800" s="86"/>
      <c r="AI800" s="86"/>
      <c r="AJ800" s="86"/>
      <c r="AK800" s="86"/>
      <c r="AL800" s="86"/>
      <c r="AM800" s="86"/>
      <c r="AN800" s="86"/>
      <c r="AO800" s="86"/>
      <c r="AP800" s="86"/>
    </row>
    <row r="801" spans="1:42" ht="15.75" customHeight="1" x14ac:dyDescent="0.3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  <c r="AA801" s="86"/>
      <c r="AB801" s="86"/>
      <c r="AC801" s="86"/>
      <c r="AD801" s="86"/>
      <c r="AE801" s="86"/>
      <c r="AF801" s="86"/>
      <c r="AG801" s="86"/>
      <c r="AH801" s="86"/>
      <c r="AI801" s="86"/>
      <c r="AJ801" s="86"/>
      <c r="AK801" s="86"/>
      <c r="AL801" s="86"/>
      <c r="AM801" s="86"/>
      <c r="AN801" s="86"/>
      <c r="AO801" s="86"/>
      <c r="AP801" s="86"/>
    </row>
    <row r="802" spans="1:42" ht="15.75" customHeight="1" x14ac:dyDescent="0.3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  <c r="AA802" s="86"/>
      <c r="AB802" s="86"/>
      <c r="AC802" s="86"/>
      <c r="AD802" s="86"/>
      <c r="AE802" s="86"/>
      <c r="AF802" s="86"/>
      <c r="AG802" s="86"/>
      <c r="AH802" s="86"/>
      <c r="AI802" s="86"/>
      <c r="AJ802" s="86"/>
      <c r="AK802" s="86"/>
      <c r="AL802" s="86"/>
      <c r="AM802" s="86"/>
      <c r="AN802" s="86"/>
      <c r="AO802" s="86"/>
      <c r="AP802" s="86"/>
    </row>
    <row r="803" spans="1:42" ht="15.75" customHeight="1" x14ac:dyDescent="0.3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  <c r="AA803" s="86"/>
      <c r="AB803" s="86"/>
      <c r="AC803" s="86"/>
      <c r="AD803" s="86"/>
      <c r="AE803" s="86"/>
      <c r="AF803" s="86"/>
      <c r="AG803" s="86"/>
      <c r="AH803" s="86"/>
      <c r="AI803" s="86"/>
      <c r="AJ803" s="86"/>
      <c r="AK803" s="86"/>
      <c r="AL803" s="86"/>
      <c r="AM803" s="86"/>
      <c r="AN803" s="86"/>
      <c r="AO803" s="86"/>
      <c r="AP803" s="86"/>
    </row>
    <row r="804" spans="1:42" ht="15.75" customHeight="1" x14ac:dyDescent="0.3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  <c r="AA804" s="86"/>
      <c r="AB804" s="86"/>
      <c r="AC804" s="86"/>
      <c r="AD804" s="86"/>
      <c r="AE804" s="86"/>
      <c r="AF804" s="86"/>
      <c r="AG804" s="86"/>
      <c r="AH804" s="86"/>
      <c r="AI804" s="86"/>
      <c r="AJ804" s="86"/>
      <c r="AK804" s="86"/>
      <c r="AL804" s="86"/>
      <c r="AM804" s="86"/>
      <c r="AN804" s="86"/>
      <c r="AO804" s="86"/>
      <c r="AP804" s="86"/>
    </row>
    <row r="805" spans="1:42" ht="15.75" customHeight="1" x14ac:dyDescent="0.3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  <c r="AA805" s="86"/>
      <c r="AB805" s="86"/>
      <c r="AC805" s="86"/>
      <c r="AD805" s="86"/>
      <c r="AE805" s="86"/>
      <c r="AF805" s="86"/>
      <c r="AG805" s="86"/>
      <c r="AH805" s="86"/>
      <c r="AI805" s="86"/>
      <c r="AJ805" s="86"/>
      <c r="AK805" s="86"/>
      <c r="AL805" s="86"/>
      <c r="AM805" s="86"/>
      <c r="AN805" s="86"/>
      <c r="AO805" s="86"/>
      <c r="AP805" s="86"/>
    </row>
    <row r="806" spans="1:42" ht="15.75" customHeight="1" x14ac:dyDescent="0.3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  <c r="AA806" s="86"/>
      <c r="AB806" s="86"/>
      <c r="AC806" s="86"/>
      <c r="AD806" s="86"/>
      <c r="AE806" s="86"/>
      <c r="AF806" s="86"/>
      <c r="AG806" s="86"/>
      <c r="AH806" s="86"/>
      <c r="AI806" s="86"/>
      <c r="AJ806" s="86"/>
      <c r="AK806" s="86"/>
      <c r="AL806" s="86"/>
      <c r="AM806" s="86"/>
      <c r="AN806" s="86"/>
      <c r="AO806" s="86"/>
      <c r="AP806" s="86"/>
    </row>
    <row r="807" spans="1:42" ht="15.75" customHeight="1" x14ac:dyDescent="0.3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  <c r="AA807" s="86"/>
      <c r="AB807" s="86"/>
      <c r="AC807" s="86"/>
      <c r="AD807" s="86"/>
      <c r="AE807" s="86"/>
      <c r="AF807" s="86"/>
      <c r="AG807" s="86"/>
      <c r="AH807" s="86"/>
      <c r="AI807" s="86"/>
      <c r="AJ807" s="86"/>
      <c r="AK807" s="86"/>
      <c r="AL807" s="86"/>
      <c r="AM807" s="86"/>
      <c r="AN807" s="86"/>
      <c r="AO807" s="86"/>
      <c r="AP807" s="86"/>
    </row>
    <row r="808" spans="1:42" ht="15.75" customHeight="1" x14ac:dyDescent="0.3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  <c r="AA808" s="86"/>
      <c r="AB808" s="86"/>
      <c r="AC808" s="86"/>
      <c r="AD808" s="86"/>
      <c r="AE808" s="86"/>
      <c r="AF808" s="86"/>
      <c r="AG808" s="86"/>
      <c r="AH808" s="86"/>
      <c r="AI808" s="86"/>
      <c r="AJ808" s="86"/>
      <c r="AK808" s="86"/>
      <c r="AL808" s="86"/>
      <c r="AM808" s="86"/>
      <c r="AN808" s="86"/>
      <c r="AO808" s="86"/>
      <c r="AP808" s="86"/>
    </row>
    <row r="809" spans="1:42" ht="15.75" customHeight="1" x14ac:dyDescent="0.3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  <c r="AA809" s="86"/>
      <c r="AB809" s="86"/>
      <c r="AC809" s="86"/>
      <c r="AD809" s="86"/>
      <c r="AE809" s="86"/>
      <c r="AF809" s="86"/>
      <c r="AG809" s="86"/>
      <c r="AH809" s="86"/>
      <c r="AI809" s="86"/>
      <c r="AJ809" s="86"/>
      <c r="AK809" s="86"/>
      <c r="AL809" s="86"/>
      <c r="AM809" s="86"/>
      <c r="AN809" s="86"/>
      <c r="AO809" s="86"/>
      <c r="AP809" s="86"/>
    </row>
    <row r="810" spans="1:42" ht="15.75" customHeight="1" x14ac:dyDescent="0.3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  <c r="AA810" s="86"/>
      <c r="AB810" s="86"/>
      <c r="AC810" s="86"/>
      <c r="AD810" s="86"/>
      <c r="AE810" s="86"/>
      <c r="AF810" s="86"/>
      <c r="AG810" s="86"/>
      <c r="AH810" s="86"/>
      <c r="AI810" s="86"/>
      <c r="AJ810" s="86"/>
      <c r="AK810" s="86"/>
      <c r="AL810" s="86"/>
      <c r="AM810" s="86"/>
      <c r="AN810" s="86"/>
      <c r="AO810" s="86"/>
      <c r="AP810" s="86"/>
    </row>
    <row r="811" spans="1:42" ht="15.75" customHeight="1" x14ac:dyDescent="0.3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  <c r="AA811" s="86"/>
      <c r="AB811" s="86"/>
      <c r="AC811" s="86"/>
      <c r="AD811" s="86"/>
      <c r="AE811" s="86"/>
      <c r="AF811" s="86"/>
      <c r="AG811" s="86"/>
      <c r="AH811" s="86"/>
      <c r="AI811" s="86"/>
      <c r="AJ811" s="86"/>
      <c r="AK811" s="86"/>
      <c r="AL811" s="86"/>
      <c r="AM811" s="86"/>
      <c r="AN811" s="86"/>
      <c r="AO811" s="86"/>
      <c r="AP811" s="86"/>
    </row>
    <row r="812" spans="1:42" ht="15.75" customHeight="1" x14ac:dyDescent="0.3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  <c r="AA812" s="86"/>
      <c r="AB812" s="86"/>
      <c r="AC812" s="86"/>
      <c r="AD812" s="86"/>
      <c r="AE812" s="86"/>
      <c r="AF812" s="86"/>
      <c r="AG812" s="86"/>
      <c r="AH812" s="86"/>
      <c r="AI812" s="86"/>
      <c r="AJ812" s="86"/>
      <c r="AK812" s="86"/>
      <c r="AL812" s="86"/>
      <c r="AM812" s="86"/>
      <c r="AN812" s="86"/>
      <c r="AO812" s="86"/>
      <c r="AP812" s="86"/>
    </row>
    <row r="813" spans="1:42" ht="15.75" customHeight="1" x14ac:dyDescent="0.3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  <c r="AA813" s="86"/>
      <c r="AB813" s="86"/>
      <c r="AC813" s="86"/>
      <c r="AD813" s="86"/>
      <c r="AE813" s="86"/>
      <c r="AF813" s="86"/>
      <c r="AG813" s="86"/>
      <c r="AH813" s="86"/>
      <c r="AI813" s="86"/>
      <c r="AJ813" s="86"/>
      <c r="AK813" s="86"/>
      <c r="AL813" s="86"/>
      <c r="AM813" s="86"/>
      <c r="AN813" s="86"/>
      <c r="AO813" s="86"/>
      <c r="AP813" s="86"/>
    </row>
    <row r="814" spans="1:42" ht="15.75" customHeight="1" x14ac:dyDescent="0.3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  <c r="AA814" s="86"/>
      <c r="AB814" s="86"/>
      <c r="AC814" s="86"/>
      <c r="AD814" s="86"/>
      <c r="AE814" s="86"/>
      <c r="AF814" s="86"/>
      <c r="AG814" s="86"/>
      <c r="AH814" s="86"/>
      <c r="AI814" s="86"/>
      <c r="AJ814" s="86"/>
      <c r="AK814" s="86"/>
      <c r="AL814" s="86"/>
      <c r="AM814" s="86"/>
      <c r="AN814" s="86"/>
      <c r="AO814" s="86"/>
      <c r="AP814" s="86"/>
    </row>
    <row r="815" spans="1:42" ht="15.75" customHeight="1" x14ac:dyDescent="0.3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  <c r="AA815" s="86"/>
      <c r="AB815" s="86"/>
      <c r="AC815" s="86"/>
      <c r="AD815" s="86"/>
      <c r="AE815" s="86"/>
      <c r="AF815" s="86"/>
      <c r="AG815" s="86"/>
      <c r="AH815" s="86"/>
      <c r="AI815" s="86"/>
      <c r="AJ815" s="86"/>
      <c r="AK815" s="86"/>
      <c r="AL815" s="86"/>
      <c r="AM815" s="86"/>
      <c r="AN815" s="86"/>
      <c r="AO815" s="86"/>
      <c r="AP815" s="86"/>
    </row>
    <row r="816" spans="1:42" ht="15.75" customHeight="1" x14ac:dyDescent="0.3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  <c r="AA816" s="86"/>
      <c r="AB816" s="86"/>
      <c r="AC816" s="86"/>
      <c r="AD816" s="86"/>
      <c r="AE816" s="86"/>
      <c r="AF816" s="86"/>
      <c r="AG816" s="86"/>
      <c r="AH816" s="86"/>
      <c r="AI816" s="86"/>
      <c r="AJ816" s="86"/>
      <c r="AK816" s="86"/>
      <c r="AL816" s="86"/>
      <c r="AM816" s="86"/>
      <c r="AN816" s="86"/>
      <c r="AO816" s="86"/>
      <c r="AP816" s="86"/>
    </row>
    <row r="817" spans="1:42" ht="15.75" customHeight="1" x14ac:dyDescent="0.3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  <c r="AA817" s="86"/>
      <c r="AB817" s="86"/>
      <c r="AC817" s="86"/>
      <c r="AD817" s="86"/>
      <c r="AE817" s="86"/>
      <c r="AF817" s="86"/>
      <c r="AG817" s="86"/>
      <c r="AH817" s="86"/>
      <c r="AI817" s="86"/>
      <c r="AJ817" s="86"/>
      <c r="AK817" s="86"/>
      <c r="AL817" s="86"/>
      <c r="AM817" s="86"/>
      <c r="AN817" s="86"/>
      <c r="AO817" s="86"/>
      <c r="AP817" s="86"/>
    </row>
    <row r="818" spans="1:42" ht="15.75" customHeight="1" x14ac:dyDescent="0.3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  <c r="AA818" s="86"/>
      <c r="AB818" s="86"/>
      <c r="AC818" s="86"/>
      <c r="AD818" s="86"/>
      <c r="AE818" s="86"/>
      <c r="AF818" s="86"/>
      <c r="AG818" s="86"/>
      <c r="AH818" s="86"/>
      <c r="AI818" s="86"/>
      <c r="AJ818" s="86"/>
      <c r="AK818" s="86"/>
      <c r="AL818" s="86"/>
      <c r="AM818" s="86"/>
      <c r="AN818" s="86"/>
      <c r="AO818" s="86"/>
      <c r="AP818" s="86"/>
    </row>
    <row r="819" spans="1:42" ht="15.75" customHeight="1" x14ac:dyDescent="0.3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  <c r="AA819" s="86"/>
      <c r="AB819" s="86"/>
      <c r="AC819" s="86"/>
      <c r="AD819" s="86"/>
      <c r="AE819" s="86"/>
      <c r="AF819" s="86"/>
      <c r="AG819" s="86"/>
      <c r="AH819" s="86"/>
      <c r="AI819" s="86"/>
      <c r="AJ819" s="86"/>
      <c r="AK819" s="86"/>
      <c r="AL819" s="86"/>
      <c r="AM819" s="86"/>
      <c r="AN819" s="86"/>
      <c r="AO819" s="86"/>
      <c r="AP819" s="86"/>
    </row>
    <row r="820" spans="1:42" ht="15.75" customHeight="1" x14ac:dyDescent="0.3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  <c r="AA820" s="86"/>
      <c r="AB820" s="86"/>
      <c r="AC820" s="86"/>
      <c r="AD820" s="86"/>
      <c r="AE820" s="86"/>
      <c r="AF820" s="86"/>
      <c r="AG820" s="86"/>
      <c r="AH820" s="86"/>
      <c r="AI820" s="86"/>
      <c r="AJ820" s="86"/>
      <c r="AK820" s="86"/>
      <c r="AL820" s="86"/>
      <c r="AM820" s="86"/>
      <c r="AN820" s="86"/>
      <c r="AO820" s="86"/>
      <c r="AP820" s="86"/>
    </row>
    <row r="821" spans="1:42" ht="15.75" customHeight="1" x14ac:dyDescent="0.3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  <c r="AA821" s="86"/>
      <c r="AB821" s="86"/>
      <c r="AC821" s="86"/>
      <c r="AD821" s="86"/>
      <c r="AE821" s="86"/>
      <c r="AF821" s="86"/>
      <c r="AG821" s="86"/>
      <c r="AH821" s="86"/>
      <c r="AI821" s="86"/>
      <c r="AJ821" s="86"/>
      <c r="AK821" s="86"/>
      <c r="AL821" s="86"/>
      <c r="AM821" s="86"/>
      <c r="AN821" s="86"/>
      <c r="AO821" s="86"/>
      <c r="AP821" s="86"/>
    </row>
    <row r="822" spans="1:42" ht="15.75" customHeight="1" x14ac:dyDescent="0.3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  <c r="AA822" s="86"/>
      <c r="AB822" s="86"/>
      <c r="AC822" s="86"/>
      <c r="AD822" s="86"/>
      <c r="AE822" s="86"/>
      <c r="AF822" s="86"/>
      <c r="AG822" s="86"/>
      <c r="AH822" s="86"/>
      <c r="AI822" s="86"/>
      <c r="AJ822" s="86"/>
      <c r="AK822" s="86"/>
      <c r="AL822" s="86"/>
      <c r="AM822" s="86"/>
      <c r="AN822" s="86"/>
      <c r="AO822" s="86"/>
      <c r="AP822" s="86"/>
    </row>
    <row r="823" spans="1:42" ht="15.75" customHeight="1" x14ac:dyDescent="0.3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  <c r="AA823" s="86"/>
      <c r="AB823" s="86"/>
      <c r="AC823" s="86"/>
      <c r="AD823" s="86"/>
      <c r="AE823" s="86"/>
      <c r="AF823" s="86"/>
      <c r="AG823" s="86"/>
      <c r="AH823" s="86"/>
      <c r="AI823" s="86"/>
      <c r="AJ823" s="86"/>
      <c r="AK823" s="86"/>
      <c r="AL823" s="86"/>
      <c r="AM823" s="86"/>
      <c r="AN823" s="86"/>
      <c r="AO823" s="86"/>
      <c r="AP823" s="86"/>
    </row>
    <row r="824" spans="1:42" ht="15.75" customHeight="1" x14ac:dyDescent="0.3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  <c r="AA824" s="86"/>
      <c r="AB824" s="86"/>
      <c r="AC824" s="86"/>
      <c r="AD824" s="86"/>
      <c r="AE824" s="86"/>
      <c r="AF824" s="86"/>
      <c r="AG824" s="86"/>
      <c r="AH824" s="86"/>
      <c r="AI824" s="86"/>
      <c r="AJ824" s="86"/>
      <c r="AK824" s="86"/>
      <c r="AL824" s="86"/>
      <c r="AM824" s="86"/>
      <c r="AN824" s="86"/>
      <c r="AO824" s="86"/>
      <c r="AP824" s="86"/>
    </row>
    <row r="825" spans="1:42" ht="15.75" customHeight="1" x14ac:dyDescent="0.3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  <c r="AA825" s="86"/>
      <c r="AB825" s="86"/>
      <c r="AC825" s="86"/>
      <c r="AD825" s="86"/>
      <c r="AE825" s="86"/>
      <c r="AF825" s="86"/>
      <c r="AG825" s="86"/>
      <c r="AH825" s="86"/>
      <c r="AI825" s="86"/>
      <c r="AJ825" s="86"/>
      <c r="AK825" s="86"/>
      <c r="AL825" s="86"/>
      <c r="AM825" s="86"/>
      <c r="AN825" s="86"/>
      <c r="AO825" s="86"/>
      <c r="AP825" s="86"/>
    </row>
    <row r="826" spans="1:42" ht="15.75" customHeight="1" x14ac:dyDescent="0.3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  <c r="AA826" s="86"/>
      <c r="AB826" s="86"/>
      <c r="AC826" s="86"/>
      <c r="AD826" s="86"/>
      <c r="AE826" s="86"/>
      <c r="AF826" s="86"/>
      <c r="AG826" s="86"/>
      <c r="AH826" s="86"/>
      <c r="AI826" s="86"/>
      <c r="AJ826" s="86"/>
      <c r="AK826" s="86"/>
      <c r="AL826" s="86"/>
      <c r="AM826" s="86"/>
      <c r="AN826" s="86"/>
      <c r="AO826" s="86"/>
      <c r="AP826" s="86"/>
    </row>
    <row r="827" spans="1:42" ht="15.75" customHeight="1" x14ac:dyDescent="0.3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  <c r="AA827" s="86"/>
      <c r="AB827" s="86"/>
      <c r="AC827" s="86"/>
      <c r="AD827" s="86"/>
      <c r="AE827" s="86"/>
      <c r="AF827" s="86"/>
      <c r="AG827" s="86"/>
      <c r="AH827" s="86"/>
      <c r="AI827" s="86"/>
      <c r="AJ827" s="86"/>
      <c r="AK827" s="86"/>
      <c r="AL827" s="86"/>
      <c r="AM827" s="86"/>
      <c r="AN827" s="86"/>
      <c r="AO827" s="86"/>
      <c r="AP827" s="86"/>
    </row>
    <row r="828" spans="1:42" ht="15.75" customHeight="1" x14ac:dyDescent="0.3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  <c r="AA828" s="86"/>
      <c r="AB828" s="86"/>
      <c r="AC828" s="86"/>
      <c r="AD828" s="86"/>
      <c r="AE828" s="86"/>
      <c r="AF828" s="86"/>
      <c r="AG828" s="86"/>
      <c r="AH828" s="86"/>
      <c r="AI828" s="86"/>
      <c r="AJ828" s="86"/>
      <c r="AK828" s="86"/>
      <c r="AL828" s="86"/>
      <c r="AM828" s="86"/>
      <c r="AN828" s="86"/>
      <c r="AO828" s="86"/>
      <c r="AP828" s="86"/>
    </row>
    <row r="829" spans="1:42" ht="15.75" customHeight="1" x14ac:dyDescent="0.3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  <c r="AA829" s="86"/>
      <c r="AB829" s="86"/>
      <c r="AC829" s="86"/>
      <c r="AD829" s="86"/>
      <c r="AE829" s="86"/>
      <c r="AF829" s="86"/>
      <c r="AG829" s="86"/>
      <c r="AH829" s="86"/>
      <c r="AI829" s="86"/>
      <c r="AJ829" s="86"/>
      <c r="AK829" s="86"/>
      <c r="AL829" s="86"/>
      <c r="AM829" s="86"/>
      <c r="AN829" s="86"/>
      <c r="AO829" s="86"/>
      <c r="AP829" s="86"/>
    </row>
    <row r="830" spans="1:42" ht="15.75" customHeight="1" x14ac:dyDescent="0.3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  <c r="AA830" s="86"/>
      <c r="AB830" s="86"/>
      <c r="AC830" s="86"/>
      <c r="AD830" s="86"/>
      <c r="AE830" s="86"/>
      <c r="AF830" s="86"/>
      <c r="AG830" s="86"/>
      <c r="AH830" s="86"/>
      <c r="AI830" s="86"/>
      <c r="AJ830" s="86"/>
      <c r="AK830" s="86"/>
      <c r="AL830" s="86"/>
      <c r="AM830" s="86"/>
      <c r="AN830" s="86"/>
      <c r="AO830" s="86"/>
      <c r="AP830" s="86"/>
    </row>
    <row r="831" spans="1:42" ht="15.75" customHeight="1" x14ac:dyDescent="0.3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  <c r="AA831" s="86"/>
      <c r="AB831" s="86"/>
      <c r="AC831" s="86"/>
      <c r="AD831" s="86"/>
      <c r="AE831" s="86"/>
      <c r="AF831" s="86"/>
      <c r="AG831" s="86"/>
      <c r="AH831" s="86"/>
      <c r="AI831" s="86"/>
      <c r="AJ831" s="86"/>
      <c r="AK831" s="86"/>
      <c r="AL831" s="86"/>
      <c r="AM831" s="86"/>
      <c r="AN831" s="86"/>
      <c r="AO831" s="86"/>
      <c r="AP831" s="86"/>
    </row>
    <row r="832" spans="1:42" ht="15.75" customHeight="1" x14ac:dyDescent="0.3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  <c r="AI832" s="86"/>
      <c r="AJ832" s="86"/>
      <c r="AK832" s="86"/>
      <c r="AL832" s="86"/>
      <c r="AM832" s="86"/>
      <c r="AN832" s="86"/>
      <c r="AO832" s="86"/>
      <c r="AP832" s="86"/>
    </row>
    <row r="833" spans="1:42" ht="15.75" customHeight="1" x14ac:dyDescent="0.3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  <c r="AA833" s="86"/>
      <c r="AB833" s="86"/>
      <c r="AC833" s="86"/>
      <c r="AD833" s="86"/>
      <c r="AE833" s="86"/>
      <c r="AF833" s="86"/>
      <c r="AG833" s="86"/>
      <c r="AH833" s="86"/>
      <c r="AI833" s="86"/>
      <c r="AJ833" s="86"/>
      <c r="AK833" s="86"/>
      <c r="AL833" s="86"/>
      <c r="AM833" s="86"/>
      <c r="AN833" s="86"/>
      <c r="AO833" s="86"/>
      <c r="AP833" s="86"/>
    </row>
    <row r="834" spans="1:42" ht="15.75" customHeight="1" x14ac:dyDescent="0.3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  <c r="AA834" s="86"/>
      <c r="AB834" s="86"/>
      <c r="AC834" s="86"/>
      <c r="AD834" s="86"/>
      <c r="AE834" s="86"/>
      <c r="AF834" s="86"/>
      <c r="AG834" s="86"/>
      <c r="AH834" s="86"/>
      <c r="AI834" s="86"/>
      <c r="AJ834" s="86"/>
      <c r="AK834" s="86"/>
      <c r="AL834" s="86"/>
      <c r="AM834" s="86"/>
      <c r="AN834" s="86"/>
      <c r="AO834" s="86"/>
      <c r="AP834" s="86"/>
    </row>
    <row r="835" spans="1:42" ht="15.75" customHeight="1" x14ac:dyDescent="0.3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  <c r="AA835" s="86"/>
      <c r="AB835" s="86"/>
      <c r="AC835" s="86"/>
      <c r="AD835" s="86"/>
      <c r="AE835" s="86"/>
      <c r="AF835" s="86"/>
      <c r="AG835" s="86"/>
      <c r="AH835" s="86"/>
      <c r="AI835" s="86"/>
      <c r="AJ835" s="86"/>
      <c r="AK835" s="86"/>
      <c r="AL835" s="86"/>
      <c r="AM835" s="86"/>
      <c r="AN835" s="86"/>
      <c r="AO835" s="86"/>
      <c r="AP835" s="86"/>
    </row>
    <row r="836" spans="1:42" ht="15.75" customHeight="1" x14ac:dyDescent="0.3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  <c r="AA836" s="86"/>
      <c r="AB836" s="86"/>
      <c r="AC836" s="86"/>
      <c r="AD836" s="86"/>
      <c r="AE836" s="86"/>
      <c r="AF836" s="86"/>
      <c r="AG836" s="86"/>
      <c r="AH836" s="86"/>
      <c r="AI836" s="86"/>
      <c r="AJ836" s="86"/>
      <c r="AK836" s="86"/>
      <c r="AL836" s="86"/>
      <c r="AM836" s="86"/>
      <c r="AN836" s="86"/>
      <c r="AO836" s="86"/>
      <c r="AP836" s="86"/>
    </row>
    <row r="837" spans="1:42" ht="15.75" customHeight="1" x14ac:dyDescent="0.3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  <c r="AA837" s="86"/>
      <c r="AB837" s="86"/>
      <c r="AC837" s="86"/>
      <c r="AD837" s="86"/>
      <c r="AE837" s="86"/>
      <c r="AF837" s="86"/>
      <c r="AG837" s="86"/>
      <c r="AH837" s="86"/>
      <c r="AI837" s="86"/>
      <c r="AJ837" s="86"/>
      <c r="AK837" s="86"/>
      <c r="AL837" s="86"/>
      <c r="AM837" s="86"/>
      <c r="AN837" s="86"/>
      <c r="AO837" s="86"/>
      <c r="AP837" s="86"/>
    </row>
    <row r="838" spans="1:42" ht="15.75" customHeight="1" x14ac:dyDescent="0.3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  <c r="AA838" s="86"/>
      <c r="AB838" s="86"/>
      <c r="AC838" s="86"/>
      <c r="AD838" s="86"/>
      <c r="AE838" s="86"/>
      <c r="AF838" s="86"/>
      <c r="AG838" s="86"/>
      <c r="AH838" s="86"/>
      <c r="AI838" s="86"/>
      <c r="AJ838" s="86"/>
      <c r="AK838" s="86"/>
      <c r="AL838" s="86"/>
      <c r="AM838" s="86"/>
      <c r="AN838" s="86"/>
      <c r="AO838" s="86"/>
      <c r="AP838" s="86"/>
    </row>
    <row r="839" spans="1:42" ht="15.75" customHeight="1" x14ac:dyDescent="0.3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  <c r="AA839" s="86"/>
      <c r="AB839" s="86"/>
      <c r="AC839" s="86"/>
      <c r="AD839" s="86"/>
      <c r="AE839" s="86"/>
      <c r="AF839" s="86"/>
      <c r="AG839" s="86"/>
      <c r="AH839" s="86"/>
      <c r="AI839" s="86"/>
      <c r="AJ839" s="86"/>
      <c r="AK839" s="86"/>
      <c r="AL839" s="86"/>
      <c r="AM839" s="86"/>
      <c r="AN839" s="86"/>
      <c r="AO839" s="86"/>
      <c r="AP839" s="86"/>
    </row>
    <row r="840" spans="1:42" ht="15.75" customHeight="1" x14ac:dyDescent="0.3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  <c r="AA840" s="86"/>
      <c r="AB840" s="86"/>
      <c r="AC840" s="86"/>
      <c r="AD840" s="86"/>
      <c r="AE840" s="86"/>
      <c r="AF840" s="86"/>
      <c r="AG840" s="86"/>
      <c r="AH840" s="86"/>
      <c r="AI840" s="86"/>
      <c r="AJ840" s="86"/>
      <c r="AK840" s="86"/>
      <c r="AL840" s="86"/>
      <c r="AM840" s="86"/>
      <c r="AN840" s="86"/>
      <c r="AO840" s="86"/>
      <c r="AP840" s="86"/>
    </row>
    <row r="841" spans="1:42" ht="15.75" customHeight="1" x14ac:dyDescent="0.3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  <c r="AA841" s="86"/>
      <c r="AB841" s="86"/>
      <c r="AC841" s="86"/>
      <c r="AD841" s="86"/>
      <c r="AE841" s="86"/>
      <c r="AF841" s="86"/>
      <c r="AG841" s="86"/>
      <c r="AH841" s="86"/>
      <c r="AI841" s="86"/>
      <c r="AJ841" s="86"/>
      <c r="AK841" s="86"/>
      <c r="AL841" s="86"/>
      <c r="AM841" s="86"/>
      <c r="AN841" s="86"/>
      <c r="AO841" s="86"/>
      <c r="AP841" s="86"/>
    </row>
    <row r="842" spans="1:42" ht="15.75" customHeight="1" x14ac:dyDescent="0.3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  <c r="AA842" s="86"/>
      <c r="AB842" s="86"/>
      <c r="AC842" s="86"/>
      <c r="AD842" s="86"/>
      <c r="AE842" s="86"/>
      <c r="AF842" s="86"/>
      <c r="AG842" s="86"/>
      <c r="AH842" s="86"/>
      <c r="AI842" s="86"/>
      <c r="AJ842" s="86"/>
      <c r="AK842" s="86"/>
      <c r="AL842" s="86"/>
      <c r="AM842" s="86"/>
      <c r="AN842" s="86"/>
      <c r="AO842" s="86"/>
      <c r="AP842" s="86"/>
    </row>
    <row r="843" spans="1:42" ht="15.75" customHeight="1" x14ac:dyDescent="0.3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  <c r="AA843" s="86"/>
      <c r="AB843" s="86"/>
      <c r="AC843" s="86"/>
      <c r="AD843" s="86"/>
      <c r="AE843" s="86"/>
      <c r="AF843" s="86"/>
      <c r="AG843" s="86"/>
      <c r="AH843" s="86"/>
      <c r="AI843" s="86"/>
      <c r="AJ843" s="86"/>
      <c r="AK843" s="86"/>
      <c r="AL843" s="86"/>
      <c r="AM843" s="86"/>
      <c r="AN843" s="86"/>
      <c r="AO843" s="86"/>
      <c r="AP843" s="86"/>
    </row>
    <row r="844" spans="1:42" ht="15.75" customHeight="1" x14ac:dyDescent="0.3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  <c r="AA844" s="86"/>
      <c r="AB844" s="86"/>
      <c r="AC844" s="86"/>
      <c r="AD844" s="86"/>
      <c r="AE844" s="86"/>
      <c r="AF844" s="86"/>
      <c r="AG844" s="86"/>
      <c r="AH844" s="86"/>
      <c r="AI844" s="86"/>
      <c r="AJ844" s="86"/>
      <c r="AK844" s="86"/>
      <c r="AL844" s="86"/>
      <c r="AM844" s="86"/>
      <c r="AN844" s="86"/>
      <c r="AO844" s="86"/>
      <c r="AP844" s="86"/>
    </row>
    <row r="845" spans="1:42" ht="15.75" customHeight="1" x14ac:dyDescent="0.3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  <c r="AA845" s="86"/>
      <c r="AB845" s="86"/>
      <c r="AC845" s="86"/>
      <c r="AD845" s="86"/>
      <c r="AE845" s="86"/>
      <c r="AF845" s="86"/>
      <c r="AG845" s="86"/>
      <c r="AH845" s="86"/>
      <c r="AI845" s="86"/>
      <c r="AJ845" s="86"/>
      <c r="AK845" s="86"/>
      <c r="AL845" s="86"/>
      <c r="AM845" s="86"/>
      <c r="AN845" s="86"/>
      <c r="AO845" s="86"/>
      <c r="AP845" s="86"/>
    </row>
    <row r="846" spans="1:42" ht="15.75" customHeight="1" x14ac:dyDescent="0.3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  <c r="AA846" s="86"/>
      <c r="AB846" s="86"/>
      <c r="AC846" s="86"/>
      <c r="AD846" s="86"/>
      <c r="AE846" s="86"/>
      <c r="AF846" s="86"/>
      <c r="AG846" s="86"/>
      <c r="AH846" s="86"/>
      <c r="AI846" s="86"/>
      <c r="AJ846" s="86"/>
      <c r="AK846" s="86"/>
      <c r="AL846" s="86"/>
      <c r="AM846" s="86"/>
      <c r="AN846" s="86"/>
      <c r="AO846" s="86"/>
      <c r="AP846" s="86"/>
    </row>
    <row r="847" spans="1:42" ht="15.75" customHeight="1" x14ac:dyDescent="0.3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  <c r="AA847" s="86"/>
      <c r="AB847" s="86"/>
      <c r="AC847" s="86"/>
      <c r="AD847" s="86"/>
      <c r="AE847" s="86"/>
      <c r="AF847" s="86"/>
      <c r="AG847" s="86"/>
      <c r="AH847" s="86"/>
      <c r="AI847" s="86"/>
      <c r="AJ847" s="86"/>
      <c r="AK847" s="86"/>
      <c r="AL847" s="86"/>
      <c r="AM847" s="86"/>
      <c r="AN847" s="86"/>
      <c r="AO847" s="86"/>
      <c r="AP847" s="86"/>
    </row>
    <row r="848" spans="1:42" ht="15.75" customHeight="1" x14ac:dyDescent="0.3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  <c r="AA848" s="86"/>
      <c r="AB848" s="86"/>
      <c r="AC848" s="86"/>
      <c r="AD848" s="86"/>
      <c r="AE848" s="86"/>
      <c r="AF848" s="86"/>
      <c r="AG848" s="86"/>
      <c r="AH848" s="86"/>
      <c r="AI848" s="86"/>
      <c r="AJ848" s="86"/>
      <c r="AK848" s="86"/>
      <c r="AL848" s="86"/>
      <c r="AM848" s="86"/>
      <c r="AN848" s="86"/>
      <c r="AO848" s="86"/>
      <c r="AP848" s="86"/>
    </row>
    <row r="849" spans="1:42" ht="15.75" customHeight="1" x14ac:dyDescent="0.3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  <c r="AA849" s="86"/>
      <c r="AB849" s="86"/>
      <c r="AC849" s="86"/>
      <c r="AD849" s="86"/>
      <c r="AE849" s="86"/>
      <c r="AF849" s="86"/>
      <c r="AG849" s="86"/>
      <c r="AH849" s="86"/>
      <c r="AI849" s="86"/>
      <c r="AJ849" s="86"/>
      <c r="AK849" s="86"/>
      <c r="AL849" s="86"/>
      <c r="AM849" s="86"/>
      <c r="AN849" s="86"/>
      <c r="AO849" s="86"/>
      <c r="AP849" s="86"/>
    </row>
    <row r="850" spans="1:42" ht="15.75" customHeight="1" x14ac:dyDescent="0.3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  <c r="AA850" s="86"/>
      <c r="AB850" s="86"/>
      <c r="AC850" s="86"/>
      <c r="AD850" s="86"/>
      <c r="AE850" s="86"/>
      <c r="AF850" s="86"/>
      <c r="AG850" s="86"/>
      <c r="AH850" s="86"/>
      <c r="AI850" s="86"/>
      <c r="AJ850" s="86"/>
      <c r="AK850" s="86"/>
      <c r="AL850" s="86"/>
      <c r="AM850" s="86"/>
      <c r="AN850" s="86"/>
      <c r="AO850" s="86"/>
      <c r="AP850" s="86"/>
    </row>
    <row r="851" spans="1:42" ht="15.75" customHeight="1" x14ac:dyDescent="0.3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  <c r="AA851" s="86"/>
      <c r="AB851" s="86"/>
      <c r="AC851" s="86"/>
      <c r="AD851" s="86"/>
      <c r="AE851" s="86"/>
      <c r="AF851" s="86"/>
      <c r="AG851" s="86"/>
      <c r="AH851" s="86"/>
      <c r="AI851" s="86"/>
      <c r="AJ851" s="86"/>
      <c r="AK851" s="86"/>
      <c r="AL851" s="86"/>
      <c r="AM851" s="86"/>
      <c r="AN851" s="86"/>
      <c r="AO851" s="86"/>
      <c r="AP851" s="86"/>
    </row>
    <row r="852" spans="1:42" ht="15.75" customHeight="1" x14ac:dyDescent="0.3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  <c r="AA852" s="86"/>
      <c r="AB852" s="86"/>
      <c r="AC852" s="86"/>
      <c r="AD852" s="86"/>
      <c r="AE852" s="86"/>
      <c r="AF852" s="86"/>
      <c r="AG852" s="86"/>
      <c r="AH852" s="86"/>
      <c r="AI852" s="86"/>
      <c r="AJ852" s="86"/>
      <c r="AK852" s="86"/>
      <c r="AL852" s="86"/>
      <c r="AM852" s="86"/>
      <c r="AN852" s="86"/>
      <c r="AO852" s="86"/>
      <c r="AP852" s="86"/>
    </row>
    <row r="853" spans="1:42" ht="15.75" customHeight="1" x14ac:dyDescent="0.3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  <c r="AA853" s="86"/>
      <c r="AB853" s="86"/>
      <c r="AC853" s="86"/>
      <c r="AD853" s="86"/>
      <c r="AE853" s="86"/>
      <c r="AF853" s="86"/>
      <c r="AG853" s="86"/>
      <c r="AH853" s="86"/>
      <c r="AI853" s="86"/>
      <c r="AJ853" s="86"/>
      <c r="AK853" s="86"/>
      <c r="AL853" s="86"/>
      <c r="AM853" s="86"/>
      <c r="AN853" s="86"/>
      <c r="AO853" s="86"/>
      <c r="AP853" s="86"/>
    </row>
    <row r="854" spans="1:42" ht="15.75" customHeight="1" x14ac:dyDescent="0.3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  <c r="AA854" s="86"/>
      <c r="AB854" s="86"/>
      <c r="AC854" s="86"/>
      <c r="AD854" s="86"/>
      <c r="AE854" s="86"/>
      <c r="AF854" s="86"/>
      <c r="AG854" s="86"/>
      <c r="AH854" s="86"/>
      <c r="AI854" s="86"/>
      <c r="AJ854" s="86"/>
      <c r="AK854" s="86"/>
      <c r="AL854" s="86"/>
      <c r="AM854" s="86"/>
      <c r="AN854" s="86"/>
      <c r="AO854" s="86"/>
      <c r="AP854" s="86"/>
    </row>
    <row r="855" spans="1:42" ht="15.75" customHeight="1" x14ac:dyDescent="0.3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  <c r="AA855" s="86"/>
      <c r="AB855" s="86"/>
      <c r="AC855" s="86"/>
      <c r="AD855" s="86"/>
      <c r="AE855" s="86"/>
      <c r="AF855" s="86"/>
      <c r="AG855" s="86"/>
      <c r="AH855" s="86"/>
      <c r="AI855" s="86"/>
      <c r="AJ855" s="86"/>
      <c r="AK855" s="86"/>
      <c r="AL855" s="86"/>
      <c r="AM855" s="86"/>
      <c r="AN855" s="86"/>
      <c r="AO855" s="86"/>
      <c r="AP855" s="86"/>
    </row>
    <row r="856" spans="1:42" ht="15.75" customHeight="1" x14ac:dyDescent="0.3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  <c r="AA856" s="86"/>
      <c r="AB856" s="86"/>
      <c r="AC856" s="86"/>
      <c r="AD856" s="86"/>
      <c r="AE856" s="86"/>
      <c r="AF856" s="86"/>
      <c r="AG856" s="86"/>
      <c r="AH856" s="86"/>
      <c r="AI856" s="86"/>
      <c r="AJ856" s="86"/>
      <c r="AK856" s="86"/>
      <c r="AL856" s="86"/>
      <c r="AM856" s="86"/>
      <c r="AN856" s="86"/>
      <c r="AO856" s="86"/>
      <c r="AP856" s="86"/>
    </row>
    <row r="857" spans="1:42" ht="15.75" customHeight="1" x14ac:dyDescent="0.3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  <c r="AA857" s="86"/>
      <c r="AB857" s="86"/>
      <c r="AC857" s="86"/>
      <c r="AD857" s="86"/>
      <c r="AE857" s="86"/>
      <c r="AF857" s="86"/>
      <c r="AG857" s="86"/>
      <c r="AH857" s="86"/>
      <c r="AI857" s="86"/>
      <c r="AJ857" s="86"/>
      <c r="AK857" s="86"/>
      <c r="AL857" s="86"/>
      <c r="AM857" s="86"/>
      <c r="AN857" s="86"/>
      <c r="AO857" s="86"/>
      <c r="AP857" s="86"/>
    </row>
    <row r="858" spans="1:42" ht="15.75" customHeight="1" x14ac:dyDescent="0.3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  <c r="AA858" s="86"/>
      <c r="AB858" s="86"/>
      <c r="AC858" s="86"/>
      <c r="AD858" s="86"/>
      <c r="AE858" s="86"/>
      <c r="AF858" s="86"/>
      <c r="AG858" s="86"/>
      <c r="AH858" s="86"/>
      <c r="AI858" s="86"/>
      <c r="AJ858" s="86"/>
      <c r="AK858" s="86"/>
      <c r="AL858" s="86"/>
      <c r="AM858" s="86"/>
      <c r="AN858" s="86"/>
      <c r="AO858" s="86"/>
      <c r="AP858" s="86"/>
    </row>
    <row r="859" spans="1:42" ht="15.75" customHeight="1" x14ac:dyDescent="0.3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  <c r="AA859" s="86"/>
      <c r="AB859" s="86"/>
      <c r="AC859" s="86"/>
      <c r="AD859" s="86"/>
      <c r="AE859" s="86"/>
      <c r="AF859" s="86"/>
      <c r="AG859" s="86"/>
      <c r="AH859" s="86"/>
      <c r="AI859" s="86"/>
      <c r="AJ859" s="86"/>
      <c r="AK859" s="86"/>
      <c r="AL859" s="86"/>
      <c r="AM859" s="86"/>
      <c r="AN859" s="86"/>
      <c r="AO859" s="86"/>
      <c r="AP859" s="86"/>
    </row>
    <row r="860" spans="1:42" ht="15.75" customHeight="1" x14ac:dyDescent="0.3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  <c r="AA860" s="86"/>
      <c r="AB860" s="86"/>
      <c r="AC860" s="86"/>
      <c r="AD860" s="86"/>
      <c r="AE860" s="86"/>
      <c r="AF860" s="86"/>
      <c r="AG860" s="86"/>
      <c r="AH860" s="86"/>
      <c r="AI860" s="86"/>
      <c r="AJ860" s="86"/>
      <c r="AK860" s="86"/>
      <c r="AL860" s="86"/>
      <c r="AM860" s="86"/>
      <c r="AN860" s="86"/>
      <c r="AO860" s="86"/>
      <c r="AP860" s="86"/>
    </row>
    <row r="861" spans="1:42" ht="15.75" customHeight="1" x14ac:dyDescent="0.3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  <c r="AA861" s="86"/>
      <c r="AB861" s="86"/>
      <c r="AC861" s="86"/>
      <c r="AD861" s="86"/>
      <c r="AE861" s="86"/>
      <c r="AF861" s="86"/>
      <c r="AG861" s="86"/>
      <c r="AH861" s="86"/>
      <c r="AI861" s="86"/>
      <c r="AJ861" s="86"/>
      <c r="AK861" s="86"/>
      <c r="AL861" s="86"/>
      <c r="AM861" s="86"/>
      <c r="AN861" s="86"/>
      <c r="AO861" s="86"/>
      <c r="AP861" s="86"/>
    </row>
    <row r="862" spans="1:42" ht="15.75" customHeight="1" x14ac:dyDescent="0.3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  <c r="AG862" s="86"/>
      <c r="AH862" s="86"/>
      <c r="AI862" s="86"/>
      <c r="AJ862" s="86"/>
      <c r="AK862" s="86"/>
      <c r="AL862" s="86"/>
      <c r="AM862" s="86"/>
      <c r="AN862" s="86"/>
      <c r="AO862" s="86"/>
      <c r="AP862" s="86"/>
    </row>
    <row r="863" spans="1:42" ht="15.75" customHeight="1" x14ac:dyDescent="0.3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  <c r="AA863" s="86"/>
      <c r="AB863" s="86"/>
      <c r="AC863" s="86"/>
      <c r="AD863" s="86"/>
      <c r="AE863" s="86"/>
      <c r="AF863" s="86"/>
      <c r="AG863" s="86"/>
      <c r="AH863" s="86"/>
      <c r="AI863" s="86"/>
      <c r="AJ863" s="86"/>
      <c r="AK863" s="86"/>
      <c r="AL863" s="86"/>
      <c r="AM863" s="86"/>
      <c r="AN863" s="86"/>
      <c r="AO863" s="86"/>
      <c r="AP863" s="86"/>
    </row>
    <row r="864" spans="1:42" ht="15.75" customHeight="1" x14ac:dyDescent="0.3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  <c r="AA864" s="86"/>
      <c r="AB864" s="86"/>
      <c r="AC864" s="86"/>
      <c r="AD864" s="86"/>
      <c r="AE864" s="86"/>
      <c r="AF864" s="86"/>
      <c r="AG864" s="86"/>
      <c r="AH864" s="86"/>
      <c r="AI864" s="86"/>
      <c r="AJ864" s="86"/>
      <c r="AK864" s="86"/>
      <c r="AL864" s="86"/>
      <c r="AM864" s="86"/>
      <c r="AN864" s="86"/>
      <c r="AO864" s="86"/>
      <c r="AP864" s="86"/>
    </row>
    <row r="865" spans="1:42" ht="15.75" customHeight="1" x14ac:dyDescent="0.3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  <c r="AA865" s="86"/>
      <c r="AB865" s="86"/>
      <c r="AC865" s="86"/>
      <c r="AD865" s="86"/>
      <c r="AE865" s="86"/>
      <c r="AF865" s="86"/>
      <c r="AG865" s="86"/>
      <c r="AH865" s="86"/>
      <c r="AI865" s="86"/>
      <c r="AJ865" s="86"/>
      <c r="AK865" s="86"/>
      <c r="AL865" s="86"/>
      <c r="AM865" s="86"/>
      <c r="AN865" s="86"/>
      <c r="AO865" s="86"/>
      <c r="AP865" s="86"/>
    </row>
    <row r="866" spans="1:42" ht="15.75" customHeight="1" x14ac:dyDescent="0.3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  <c r="AA866" s="86"/>
      <c r="AB866" s="86"/>
      <c r="AC866" s="86"/>
      <c r="AD866" s="86"/>
      <c r="AE866" s="86"/>
      <c r="AF866" s="86"/>
      <c r="AG866" s="86"/>
      <c r="AH866" s="86"/>
      <c r="AI866" s="86"/>
      <c r="AJ866" s="86"/>
      <c r="AK866" s="86"/>
      <c r="AL866" s="86"/>
      <c r="AM866" s="86"/>
      <c r="AN866" s="86"/>
      <c r="AO866" s="86"/>
      <c r="AP866" s="86"/>
    </row>
    <row r="867" spans="1:42" ht="15.75" customHeight="1" x14ac:dyDescent="0.3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  <c r="AA867" s="86"/>
      <c r="AB867" s="86"/>
      <c r="AC867" s="86"/>
      <c r="AD867" s="86"/>
      <c r="AE867" s="86"/>
      <c r="AF867" s="86"/>
      <c r="AG867" s="86"/>
      <c r="AH867" s="86"/>
      <c r="AI867" s="86"/>
      <c r="AJ867" s="86"/>
      <c r="AK867" s="86"/>
      <c r="AL867" s="86"/>
      <c r="AM867" s="86"/>
      <c r="AN867" s="86"/>
      <c r="AO867" s="86"/>
      <c r="AP867" s="86"/>
    </row>
    <row r="868" spans="1:42" ht="15.75" customHeight="1" x14ac:dyDescent="0.3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  <c r="AA868" s="86"/>
      <c r="AB868" s="86"/>
      <c r="AC868" s="86"/>
      <c r="AD868" s="86"/>
      <c r="AE868" s="86"/>
      <c r="AF868" s="86"/>
      <c r="AG868" s="86"/>
      <c r="AH868" s="86"/>
      <c r="AI868" s="86"/>
      <c r="AJ868" s="86"/>
      <c r="AK868" s="86"/>
      <c r="AL868" s="86"/>
      <c r="AM868" s="86"/>
      <c r="AN868" s="86"/>
      <c r="AO868" s="86"/>
      <c r="AP868" s="86"/>
    </row>
    <row r="869" spans="1:42" ht="15.75" customHeight="1" x14ac:dyDescent="0.3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  <c r="AA869" s="86"/>
      <c r="AB869" s="86"/>
      <c r="AC869" s="86"/>
      <c r="AD869" s="86"/>
      <c r="AE869" s="86"/>
      <c r="AF869" s="86"/>
      <c r="AG869" s="86"/>
      <c r="AH869" s="86"/>
      <c r="AI869" s="86"/>
      <c r="AJ869" s="86"/>
      <c r="AK869" s="86"/>
      <c r="AL869" s="86"/>
      <c r="AM869" s="86"/>
      <c r="AN869" s="86"/>
      <c r="AO869" s="86"/>
      <c r="AP869" s="86"/>
    </row>
    <row r="870" spans="1:42" ht="15.75" customHeight="1" x14ac:dyDescent="0.3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  <c r="AA870" s="86"/>
      <c r="AB870" s="86"/>
      <c r="AC870" s="86"/>
      <c r="AD870" s="86"/>
      <c r="AE870" s="86"/>
      <c r="AF870" s="86"/>
      <c r="AG870" s="86"/>
      <c r="AH870" s="86"/>
      <c r="AI870" s="86"/>
      <c r="AJ870" s="86"/>
      <c r="AK870" s="86"/>
      <c r="AL870" s="86"/>
      <c r="AM870" s="86"/>
      <c r="AN870" s="86"/>
      <c r="AO870" s="86"/>
      <c r="AP870" s="86"/>
    </row>
    <row r="871" spans="1:42" ht="15.75" customHeight="1" x14ac:dyDescent="0.3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  <c r="AA871" s="86"/>
      <c r="AB871" s="86"/>
      <c r="AC871" s="86"/>
      <c r="AD871" s="86"/>
      <c r="AE871" s="86"/>
      <c r="AF871" s="86"/>
      <c r="AG871" s="86"/>
      <c r="AH871" s="86"/>
      <c r="AI871" s="86"/>
      <c r="AJ871" s="86"/>
      <c r="AK871" s="86"/>
      <c r="AL871" s="86"/>
      <c r="AM871" s="86"/>
      <c r="AN871" s="86"/>
      <c r="AO871" s="86"/>
      <c r="AP871" s="86"/>
    </row>
    <row r="872" spans="1:42" ht="15.75" customHeight="1" x14ac:dyDescent="0.3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  <c r="AA872" s="86"/>
      <c r="AB872" s="86"/>
      <c r="AC872" s="86"/>
      <c r="AD872" s="86"/>
      <c r="AE872" s="86"/>
      <c r="AF872" s="86"/>
      <c r="AG872" s="86"/>
      <c r="AH872" s="86"/>
      <c r="AI872" s="86"/>
      <c r="AJ872" s="86"/>
      <c r="AK872" s="86"/>
      <c r="AL872" s="86"/>
      <c r="AM872" s="86"/>
      <c r="AN872" s="86"/>
      <c r="AO872" s="86"/>
      <c r="AP872" s="86"/>
    </row>
    <row r="873" spans="1:42" ht="15.75" customHeight="1" x14ac:dyDescent="0.3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  <c r="AA873" s="86"/>
      <c r="AB873" s="86"/>
      <c r="AC873" s="86"/>
      <c r="AD873" s="86"/>
      <c r="AE873" s="86"/>
      <c r="AF873" s="86"/>
      <c r="AG873" s="86"/>
      <c r="AH873" s="86"/>
      <c r="AI873" s="86"/>
      <c r="AJ873" s="86"/>
      <c r="AK873" s="86"/>
      <c r="AL873" s="86"/>
      <c r="AM873" s="86"/>
      <c r="AN873" s="86"/>
      <c r="AO873" s="86"/>
      <c r="AP873" s="86"/>
    </row>
    <row r="874" spans="1:42" ht="15.75" customHeight="1" x14ac:dyDescent="0.3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  <c r="AA874" s="86"/>
      <c r="AB874" s="86"/>
      <c r="AC874" s="86"/>
      <c r="AD874" s="86"/>
      <c r="AE874" s="86"/>
      <c r="AF874" s="86"/>
      <c r="AG874" s="86"/>
      <c r="AH874" s="86"/>
      <c r="AI874" s="86"/>
      <c r="AJ874" s="86"/>
      <c r="AK874" s="86"/>
      <c r="AL874" s="86"/>
      <c r="AM874" s="86"/>
      <c r="AN874" s="86"/>
      <c r="AO874" s="86"/>
      <c r="AP874" s="86"/>
    </row>
    <row r="875" spans="1:42" ht="15.75" customHeight="1" x14ac:dyDescent="0.3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  <c r="AA875" s="86"/>
      <c r="AB875" s="86"/>
      <c r="AC875" s="86"/>
      <c r="AD875" s="86"/>
      <c r="AE875" s="86"/>
      <c r="AF875" s="86"/>
      <c r="AG875" s="86"/>
      <c r="AH875" s="86"/>
      <c r="AI875" s="86"/>
      <c r="AJ875" s="86"/>
      <c r="AK875" s="86"/>
      <c r="AL875" s="86"/>
      <c r="AM875" s="86"/>
      <c r="AN875" s="86"/>
      <c r="AO875" s="86"/>
      <c r="AP875" s="86"/>
    </row>
    <row r="876" spans="1:42" ht="15.75" customHeight="1" x14ac:dyDescent="0.3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  <c r="AA876" s="86"/>
      <c r="AB876" s="86"/>
      <c r="AC876" s="86"/>
      <c r="AD876" s="86"/>
      <c r="AE876" s="86"/>
      <c r="AF876" s="86"/>
      <c r="AG876" s="86"/>
      <c r="AH876" s="86"/>
      <c r="AI876" s="86"/>
      <c r="AJ876" s="86"/>
      <c r="AK876" s="86"/>
      <c r="AL876" s="86"/>
      <c r="AM876" s="86"/>
      <c r="AN876" s="86"/>
      <c r="AO876" s="86"/>
      <c r="AP876" s="86"/>
    </row>
    <row r="877" spans="1:42" ht="15.75" customHeight="1" x14ac:dyDescent="0.3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  <c r="AA877" s="86"/>
      <c r="AB877" s="86"/>
      <c r="AC877" s="86"/>
      <c r="AD877" s="86"/>
      <c r="AE877" s="86"/>
      <c r="AF877" s="86"/>
      <c r="AG877" s="86"/>
      <c r="AH877" s="86"/>
      <c r="AI877" s="86"/>
      <c r="AJ877" s="86"/>
      <c r="AK877" s="86"/>
      <c r="AL877" s="86"/>
      <c r="AM877" s="86"/>
      <c r="AN877" s="86"/>
      <c r="AO877" s="86"/>
      <c r="AP877" s="86"/>
    </row>
    <row r="878" spans="1:42" ht="15.75" customHeight="1" x14ac:dyDescent="0.3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  <c r="AA878" s="86"/>
      <c r="AB878" s="86"/>
      <c r="AC878" s="86"/>
      <c r="AD878" s="86"/>
      <c r="AE878" s="86"/>
      <c r="AF878" s="86"/>
      <c r="AG878" s="86"/>
      <c r="AH878" s="86"/>
      <c r="AI878" s="86"/>
      <c r="AJ878" s="86"/>
      <c r="AK878" s="86"/>
      <c r="AL878" s="86"/>
      <c r="AM878" s="86"/>
      <c r="AN878" s="86"/>
      <c r="AO878" s="86"/>
      <c r="AP878" s="86"/>
    </row>
    <row r="879" spans="1:42" ht="15.75" customHeight="1" x14ac:dyDescent="0.3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  <c r="AA879" s="86"/>
      <c r="AB879" s="86"/>
      <c r="AC879" s="86"/>
      <c r="AD879" s="86"/>
      <c r="AE879" s="86"/>
      <c r="AF879" s="86"/>
      <c r="AG879" s="86"/>
      <c r="AH879" s="86"/>
      <c r="AI879" s="86"/>
      <c r="AJ879" s="86"/>
      <c r="AK879" s="86"/>
      <c r="AL879" s="86"/>
      <c r="AM879" s="86"/>
      <c r="AN879" s="86"/>
      <c r="AO879" s="86"/>
      <c r="AP879" s="86"/>
    </row>
    <row r="880" spans="1:42" ht="15.75" customHeight="1" x14ac:dyDescent="0.3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  <c r="AA880" s="86"/>
      <c r="AB880" s="86"/>
      <c r="AC880" s="86"/>
      <c r="AD880" s="86"/>
      <c r="AE880" s="86"/>
      <c r="AF880" s="86"/>
      <c r="AG880" s="86"/>
      <c r="AH880" s="86"/>
      <c r="AI880" s="86"/>
      <c r="AJ880" s="86"/>
      <c r="AK880" s="86"/>
      <c r="AL880" s="86"/>
      <c r="AM880" s="86"/>
      <c r="AN880" s="86"/>
      <c r="AO880" s="86"/>
      <c r="AP880" s="86"/>
    </row>
    <row r="881" spans="1:42" ht="15.75" customHeight="1" x14ac:dyDescent="0.3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  <c r="AA881" s="86"/>
      <c r="AB881" s="86"/>
      <c r="AC881" s="86"/>
      <c r="AD881" s="86"/>
      <c r="AE881" s="86"/>
      <c r="AF881" s="86"/>
      <c r="AG881" s="86"/>
      <c r="AH881" s="86"/>
      <c r="AI881" s="86"/>
      <c r="AJ881" s="86"/>
      <c r="AK881" s="86"/>
      <c r="AL881" s="86"/>
      <c r="AM881" s="86"/>
      <c r="AN881" s="86"/>
      <c r="AO881" s="86"/>
      <c r="AP881" s="86"/>
    </row>
    <row r="882" spans="1:42" ht="15.75" customHeight="1" x14ac:dyDescent="0.3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  <c r="AA882" s="86"/>
      <c r="AB882" s="86"/>
      <c r="AC882" s="86"/>
      <c r="AD882" s="86"/>
      <c r="AE882" s="86"/>
      <c r="AF882" s="86"/>
      <c r="AG882" s="86"/>
      <c r="AH882" s="86"/>
      <c r="AI882" s="86"/>
      <c r="AJ882" s="86"/>
      <c r="AK882" s="86"/>
      <c r="AL882" s="86"/>
      <c r="AM882" s="86"/>
      <c r="AN882" s="86"/>
      <c r="AO882" s="86"/>
      <c r="AP882" s="86"/>
    </row>
    <row r="883" spans="1:42" ht="15.75" customHeight="1" x14ac:dyDescent="0.3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  <c r="AA883" s="86"/>
      <c r="AB883" s="86"/>
      <c r="AC883" s="86"/>
      <c r="AD883" s="86"/>
      <c r="AE883" s="86"/>
      <c r="AF883" s="86"/>
      <c r="AG883" s="86"/>
      <c r="AH883" s="86"/>
      <c r="AI883" s="86"/>
      <c r="AJ883" s="86"/>
      <c r="AK883" s="86"/>
      <c r="AL883" s="86"/>
      <c r="AM883" s="86"/>
      <c r="AN883" s="86"/>
      <c r="AO883" s="86"/>
      <c r="AP883" s="86"/>
    </row>
    <row r="884" spans="1:42" ht="15.75" customHeight="1" x14ac:dyDescent="0.3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  <c r="AA884" s="86"/>
      <c r="AB884" s="86"/>
      <c r="AC884" s="86"/>
      <c r="AD884" s="86"/>
      <c r="AE884" s="86"/>
      <c r="AF884" s="86"/>
      <c r="AG884" s="86"/>
      <c r="AH884" s="86"/>
      <c r="AI884" s="86"/>
      <c r="AJ884" s="86"/>
      <c r="AK884" s="86"/>
      <c r="AL884" s="86"/>
      <c r="AM884" s="86"/>
      <c r="AN884" s="86"/>
      <c r="AO884" s="86"/>
      <c r="AP884" s="86"/>
    </row>
    <row r="885" spans="1:42" ht="15.75" customHeight="1" x14ac:dyDescent="0.3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6"/>
      <c r="AD885" s="86"/>
      <c r="AE885" s="86"/>
      <c r="AF885" s="86"/>
      <c r="AG885" s="86"/>
      <c r="AH885" s="86"/>
      <c r="AI885" s="86"/>
      <c r="AJ885" s="86"/>
      <c r="AK885" s="86"/>
      <c r="AL885" s="86"/>
      <c r="AM885" s="86"/>
      <c r="AN885" s="86"/>
      <c r="AO885" s="86"/>
      <c r="AP885" s="86"/>
    </row>
    <row r="886" spans="1:42" ht="15.75" customHeight="1" x14ac:dyDescent="0.3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  <c r="AA886" s="86"/>
      <c r="AB886" s="86"/>
      <c r="AC886" s="86"/>
      <c r="AD886" s="86"/>
      <c r="AE886" s="86"/>
      <c r="AF886" s="86"/>
      <c r="AG886" s="86"/>
      <c r="AH886" s="86"/>
      <c r="AI886" s="86"/>
      <c r="AJ886" s="86"/>
      <c r="AK886" s="86"/>
      <c r="AL886" s="86"/>
      <c r="AM886" s="86"/>
      <c r="AN886" s="86"/>
      <c r="AO886" s="86"/>
      <c r="AP886" s="86"/>
    </row>
    <row r="887" spans="1:42" ht="15.75" customHeight="1" x14ac:dyDescent="0.3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  <c r="AA887" s="86"/>
      <c r="AB887" s="86"/>
      <c r="AC887" s="86"/>
      <c r="AD887" s="86"/>
      <c r="AE887" s="86"/>
      <c r="AF887" s="86"/>
      <c r="AG887" s="86"/>
      <c r="AH887" s="86"/>
      <c r="AI887" s="86"/>
      <c r="AJ887" s="86"/>
      <c r="AK887" s="86"/>
      <c r="AL887" s="86"/>
      <c r="AM887" s="86"/>
      <c r="AN887" s="86"/>
      <c r="AO887" s="86"/>
      <c r="AP887" s="86"/>
    </row>
    <row r="888" spans="1:42" ht="15.75" customHeight="1" x14ac:dyDescent="0.3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  <c r="AA888" s="86"/>
      <c r="AB888" s="86"/>
      <c r="AC888" s="86"/>
      <c r="AD888" s="86"/>
      <c r="AE888" s="86"/>
      <c r="AF888" s="86"/>
      <c r="AG888" s="86"/>
      <c r="AH888" s="86"/>
      <c r="AI888" s="86"/>
      <c r="AJ888" s="86"/>
      <c r="AK888" s="86"/>
      <c r="AL888" s="86"/>
      <c r="AM888" s="86"/>
      <c r="AN888" s="86"/>
      <c r="AO888" s="86"/>
      <c r="AP888" s="86"/>
    </row>
    <row r="889" spans="1:42" ht="15.75" customHeight="1" x14ac:dyDescent="0.3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  <c r="AA889" s="86"/>
      <c r="AB889" s="86"/>
      <c r="AC889" s="86"/>
      <c r="AD889" s="86"/>
      <c r="AE889" s="86"/>
      <c r="AF889" s="86"/>
      <c r="AG889" s="86"/>
      <c r="AH889" s="86"/>
      <c r="AI889" s="86"/>
      <c r="AJ889" s="86"/>
      <c r="AK889" s="86"/>
      <c r="AL889" s="86"/>
      <c r="AM889" s="86"/>
      <c r="AN889" s="86"/>
      <c r="AO889" s="86"/>
      <c r="AP889" s="86"/>
    </row>
    <row r="890" spans="1:42" ht="15.75" customHeight="1" x14ac:dyDescent="0.3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  <c r="AA890" s="86"/>
      <c r="AB890" s="86"/>
      <c r="AC890" s="86"/>
      <c r="AD890" s="86"/>
      <c r="AE890" s="86"/>
      <c r="AF890" s="86"/>
      <c r="AG890" s="86"/>
      <c r="AH890" s="86"/>
      <c r="AI890" s="86"/>
      <c r="AJ890" s="86"/>
      <c r="AK890" s="86"/>
      <c r="AL890" s="86"/>
      <c r="AM890" s="86"/>
      <c r="AN890" s="86"/>
      <c r="AO890" s="86"/>
      <c r="AP890" s="86"/>
    </row>
    <row r="891" spans="1:42" ht="15.75" customHeight="1" x14ac:dyDescent="0.3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  <c r="AA891" s="86"/>
      <c r="AB891" s="86"/>
      <c r="AC891" s="86"/>
      <c r="AD891" s="86"/>
      <c r="AE891" s="86"/>
      <c r="AF891" s="86"/>
      <c r="AG891" s="86"/>
      <c r="AH891" s="86"/>
      <c r="AI891" s="86"/>
      <c r="AJ891" s="86"/>
      <c r="AK891" s="86"/>
      <c r="AL891" s="86"/>
      <c r="AM891" s="86"/>
      <c r="AN891" s="86"/>
      <c r="AO891" s="86"/>
      <c r="AP891" s="86"/>
    </row>
    <row r="892" spans="1:42" ht="15.75" customHeight="1" x14ac:dyDescent="0.3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  <c r="AA892" s="86"/>
      <c r="AB892" s="86"/>
      <c r="AC892" s="86"/>
      <c r="AD892" s="86"/>
      <c r="AE892" s="86"/>
      <c r="AF892" s="86"/>
      <c r="AG892" s="86"/>
      <c r="AH892" s="86"/>
      <c r="AI892" s="86"/>
      <c r="AJ892" s="86"/>
      <c r="AK892" s="86"/>
      <c r="AL892" s="86"/>
      <c r="AM892" s="86"/>
      <c r="AN892" s="86"/>
      <c r="AO892" s="86"/>
      <c r="AP892" s="86"/>
    </row>
    <row r="893" spans="1:42" ht="15.75" customHeight="1" x14ac:dyDescent="0.3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  <c r="AA893" s="86"/>
      <c r="AB893" s="86"/>
      <c r="AC893" s="86"/>
      <c r="AD893" s="86"/>
      <c r="AE893" s="86"/>
      <c r="AF893" s="86"/>
      <c r="AG893" s="86"/>
      <c r="AH893" s="86"/>
      <c r="AI893" s="86"/>
      <c r="AJ893" s="86"/>
      <c r="AK893" s="86"/>
      <c r="AL893" s="86"/>
      <c r="AM893" s="86"/>
      <c r="AN893" s="86"/>
      <c r="AO893" s="86"/>
      <c r="AP893" s="86"/>
    </row>
    <row r="894" spans="1:42" ht="15.75" customHeight="1" x14ac:dyDescent="0.3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  <c r="AA894" s="86"/>
      <c r="AB894" s="86"/>
      <c r="AC894" s="86"/>
      <c r="AD894" s="86"/>
      <c r="AE894" s="86"/>
      <c r="AF894" s="86"/>
      <c r="AG894" s="86"/>
      <c r="AH894" s="86"/>
      <c r="AI894" s="86"/>
      <c r="AJ894" s="86"/>
      <c r="AK894" s="86"/>
      <c r="AL894" s="86"/>
      <c r="AM894" s="86"/>
      <c r="AN894" s="86"/>
      <c r="AO894" s="86"/>
      <c r="AP894" s="86"/>
    </row>
    <row r="895" spans="1:42" ht="15.75" customHeight="1" x14ac:dyDescent="0.3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  <c r="AA895" s="86"/>
      <c r="AB895" s="86"/>
      <c r="AC895" s="86"/>
      <c r="AD895" s="86"/>
      <c r="AE895" s="86"/>
      <c r="AF895" s="86"/>
      <c r="AG895" s="86"/>
      <c r="AH895" s="86"/>
      <c r="AI895" s="86"/>
      <c r="AJ895" s="86"/>
      <c r="AK895" s="86"/>
      <c r="AL895" s="86"/>
      <c r="AM895" s="86"/>
      <c r="AN895" s="86"/>
      <c r="AO895" s="86"/>
      <c r="AP895" s="86"/>
    </row>
    <row r="896" spans="1:42" ht="15.75" customHeight="1" x14ac:dyDescent="0.3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  <c r="AA896" s="86"/>
      <c r="AB896" s="86"/>
      <c r="AC896" s="86"/>
      <c r="AD896" s="86"/>
      <c r="AE896" s="86"/>
      <c r="AF896" s="86"/>
      <c r="AG896" s="86"/>
      <c r="AH896" s="86"/>
      <c r="AI896" s="86"/>
      <c r="AJ896" s="86"/>
      <c r="AK896" s="86"/>
      <c r="AL896" s="86"/>
      <c r="AM896" s="86"/>
      <c r="AN896" s="86"/>
      <c r="AO896" s="86"/>
      <c r="AP896" s="86"/>
    </row>
    <row r="897" spans="1:42" ht="15.75" customHeight="1" x14ac:dyDescent="0.3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  <c r="AA897" s="86"/>
      <c r="AB897" s="86"/>
      <c r="AC897" s="86"/>
      <c r="AD897" s="86"/>
      <c r="AE897" s="86"/>
      <c r="AF897" s="86"/>
      <c r="AG897" s="86"/>
      <c r="AH897" s="86"/>
      <c r="AI897" s="86"/>
      <c r="AJ897" s="86"/>
      <c r="AK897" s="86"/>
      <c r="AL897" s="86"/>
      <c r="AM897" s="86"/>
      <c r="AN897" s="86"/>
      <c r="AO897" s="86"/>
      <c r="AP897" s="86"/>
    </row>
    <row r="898" spans="1:42" ht="15.75" customHeight="1" x14ac:dyDescent="0.3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  <c r="AA898" s="86"/>
      <c r="AB898" s="86"/>
      <c r="AC898" s="86"/>
      <c r="AD898" s="86"/>
      <c r="AE898" s="86"/>
      <c r="AF898" s="86"/>
      <c r="AG898" s="86"/>
      <c r="AH898" s="86"/>
      <c r="AI898" s="86"/>
      <c r="AJ898" s="86"/>
      <c r="AK898" s="86"/>
      <c r="AL898" s="86"/>
      <c r="AM898" s="86"/>
      <c r="AN898" s="86"/>
      <c r="AO898" s="86"/>
      <c r="AP898" s="86"/>
    </row>
    <row r="899" spans="1:42" ht="15.75" customHeight="1" x14ac:dyDescent="0.3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  <c r="AA899" s="86"/>
      <c r="AB899" s="86"/>
      <c r="AC899" s="86"/>
      <c r="AD899" s="86"/>
      <c r="AE899" s="86"/>
      <c r="AF899" s="86"/>
      <c r="AG899" s="86"/>
      <c r="AH899" s="86"/>
      <c r="AI899" s="86"/>
      <c r="AJ899" s="86"/>
      <c r="AK899" s="86"/>
      <c r="AL899" s="86"/>
      <c r="AM899" s="86"/>
      <c r="AN899" s="86"/>
      <c r="AO899" s="86"/>
      <c r="AP899" s="86"/>
    </row>
    <row r="900" spans="1:42" ht="15.75" customHeight="1" x14ac:dyDescent="0.3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  <c r="AA900" s="86"/>
      <c r="AB900" s="86"/>
      <c r="AC900" s="86"/>
      <c r="AD900" s="86"/>
      <c r="AE900" s="86"/>
      <c r="AF900" s="86"/>
      <c r="AG900" s="86"/>
      <c r="AH900" s="86"/>
      <c r="AI900" s="86"/>
      <c r="AJ900" s="86"/>
      <c r="AK900" s="86"/>
      <c r="AL900" s="86"/>
      <c r="AM900" s="86"/>
      <c r="AN900" s="86"/>
      <c r="AO900" s="86"/>
      <c r="AP900" s="86"/>
    </row>
    <row r="901" spans="1:42" ht="15.75" customHeight="1" x14ac:dyDescent="0.3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  <c r="AA901" s="86"/>
      <c r="AB901" s="86"/>
      <c r="AC901" s="86"/>
      <c r="AD901" s="86"/>
      <c r="AE901" s="86"/>
      <c r="AF901" s="86"/>
      <c r="AG901" s="86"/>
      <c r="AH901" s="86"/>
      <c r="AI901" s="86"/>
      <c r="AJ901" s="86"/>
      <c r="AK901" s="86"/>
      <c r="AL901" s="86"/>
      <c r="AM901" s="86"/>
      <c r="AN901" s="86"/>
      <c r="AO901" s="86"/>
      <c r="AP901" s="86"/>
    </row>
    <row r="902" spans="1:42" ht="15.75" customHeight="1" x14ac:dyDescent="0.3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  <c r="AA902" s="86"/>
      <c r="AB902" s="86"/>
      <c r="AC902" s="86"/>
      <c r="AD902" s="86"/>
      <c r="AE902" s="86"/>
      <c r="AF902" s="86"/>
      <c r="AG902" s="86"/>
      <c r="AH902" s="86"/>
      <c r="AI902" s="86"/>
      <c r="AJ902" s="86"/>
      <c r="AK902" s="86"/>
      <c r="AL902" s="86"/>
      <c r="AM902" s="86"/>
      <c r="AN902" s="86"/>
      <c r="AO902" s="86"/>
      <c r="AP902" s="86"/>
    </row>
    <row r="903" spans="1:42" ht="15.75" customHeight="1" x14ac:dyDescent="0.3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  <c r="AA903" s="86"/>
      <c r="AB903" s="86"/>
      <c r="AC903" s="86"/>
      <c r="AD903" s="86"/>
      <c r="AE903" s="86"/>
      <c r="AF903" s="86"/>
      <c r="AG903" s="86"/>
      <c r="AH903" s="86"/>
      <c r="AI903" s="86"/>
      <c r="AJ903" s="86"/>
      <c r="AK903" s="86"/>
      <c r="AL903" s="86"/>
      <c r="AM903" s="86"/>
      <c r="AN903" s="86"/>
      <c r="AO903" s="86"/>
      <c r="AP903" s="86"/>
    </row>
    <row r="904" spans="1:42" ht="15.75" customHeight="1" x14ac:dyDescent="0.3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  <c r="AA904" s="86"/>
      <c r="AB904" s="86"/>
      <c r="AC904" s="86"/>
      <c r="AD904" s="86"/>
      <c r="AE904" s="86"/>
      <c r="AF904" s="86"/>
      <c r="AG904" s="86"/>
      <c r="AH904" s="86"/>
      <c r="AI904" s="86"/>
      <c r="AJ904" s="86"/>
      <c r="AK904" s="86"/>
      <c r="AL904" s="86"/>
      <c r="AM904" s="86"/>
      <c r="AN904" s="86"/>
      <c r="AO904" s="86"/>
      <c r="AP904" s="86"/>
    </row>
    <row r="905" spans="1:42" ht="15.75" customHeight="1" x14ac:dyDescent="0.3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  <c r="AA905" s="86"/>
      <c r="AB905" s="86"/>
      <c r="AC905" s="86"/>
      <c r="AD905" s="86"/>
      <c r="AE905" s="86"/>
      <c r="AF905" s="86"/>
      <c r="AG905" s="86"/>
      <c r="AH905" s="86"/>
      <c r="AI905" s="86"/>
      <c r="AJ905" s="86"/>
      <c r="AK905" s="86"/>
      <c r="AL905" s="86"/>
      <c r="AM905" s="86"/>
      <c r="AN905" s="86"/>
      <c r="AO905" s="86"/>
      <c r="AP905" s="86"/>
    </row>
    <row r="906" spans="1:42" ht="15.75" customHeight="1" x14ac:dyDescent="0.3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  <c r="AA906" s="86"/>
      <c r="AB906" s="86"/>
      <c r="AC906" s="86"/>
      <c r="AD906" s="86"/>
      <c r="AE906" s="86"/>
      <c r="AF906" s="86"/>
      <c r="AG906" s="86"/>
      <c r="AH906" s="86"/>
      <c r="AI906" s="86"/>
      <c r="AJ906" s="86"/>
      <c r="AK906" s="86"/>
      <c r="AL906" s="86"/>
      <c r="AM906" s="86"/>
      <c r="AN906" s="86"/>
      <c r="AO906" s="86"/>
      <c r="AP906" s="86"/>
    </row>
    <row r="907" spans="1:42" ht="15.75" customHeight="1" x14ac:dyDescent="0.3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  <c r="AA907" s="86"/>
      <c r="AB907" s="86"/>
      <c r="AC907" s="86"/>
      <c r="AD907" s="86"/>
      <c r="AE907" s="86"/>
      <c r="AF907" s="86"/>
      <c r="AG907" s="86"/>
      <c r="AH907" s="86"/>
      <c r="AI907" s="86"/>
      <c r="AJ907" s="86"/>
      <c r="AK907" s="86"/>
      <c r="AL907" s="86"/>
      <c r="AM907" s="86"/>
      <c r="AN907" s="86"/>
      <c r="AO907" s="86"/>
      <c r="AP907" s="86"/>
    </row>
    <row r="908" spans="1:42" ht="15.75" customHeight="1" x14ac:dyDescent="0.3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  <c r="AA908" s="86"/>
      <c r="AB908" s="86"/>
      <c r="AC908" s="86"/>
      <c r="AD908" s="86"/>
      <c r="AE908" s="86"/>
      <c r="AF908" s="86"/>
      <c r="AG908" s="86"/>
      <c r="AH908" s="86"/>
      <c r="AI908" s="86"/>
      <c r="AJ908" s="86"/>
      <c r="AK908" s="86"/>
      <c r="AL908" s="86"/>
      <c r="AM908" s="86"/>
      <c r="AN908" s="86"/>
      <c r="AO908" s="86"/>
      <c r="AP908" s="86"/>
    </row>
    <row r="909" spans="1:42" ht="15.75" customHeight="1" x14ac:dyDescent="0.3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  <c r="AA909" s="86"/>
      <c r="AB909" s="86"/>
      <c r="AC909" s="86"/>
      <c r="AD909" s="86"/>
      <c r="AE909" s="86"/>
      <c r="AF909" s="86"/>
      <c r="AG909" s="86"/>
      <c r="AH909" s="86"/>
      <c r="AI909" s="86"/>
      <c r="AJ909" s="86"/>
      <c r="AK909" s="86"/>
      <c r="AL909" s="86"/>
      <c r="AM909" s="86"/>
      <c r="AN909" s="86"/>
      <c r="AO909" s="86"/>
      <c r="AP909" s="86"/>
    </row>
    <row r="910" spans="1:42" ht="15.75" customHeight="1" x14ac:dyDescent="0.3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  <c r="AA910" s="86"/>
      <c r="AB910" s="86"/>
      <c r="AC910" s="86"/>
      <c r="AD910" s="86"/>
      <c r="AE910" s="86"/>
      <c r="AF910" s="86"/>
      <c r="AG910" s="86"/>
      <c r="AH910" s="86"/>
      <c r="AI910" s="86"/>
      <c r="AJ910" s="86"/>
      <c r="AK910" s="86"/>
      <c r="AL910" s="86"/>
      <c r="AM910" s="86"/>
      <c r="AN910" s="86"/>
      <c r="AO910" s="86"/>
      <c r="AP910" s="86"/>
    </row>
    <row r="911" spans="1:42" ht="15.75" customHeight="1" x14ac:dyDescent="0.3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  <c r="AA911" s="86"/>
      <c r="AB911" s="86"/>
      <c r="AC911" s="86"/>
      <c r="AD911" s="86"/>
      <c r="AE911" s="86"/>
      <c r="AF911" s="86"/>
      <c r="AG911" s="86"/>
      <c r="AH911" s="86"/>
      <c r="AI911" s="86"/>
      <c r="AJ911" s="86"/>
      <c r="AK911" s="86"/>
      <c r="AL911" s="86"/>
      <c r="AM911" s="86"/>
      <c r="AN911" s="86"/>
      <c r="AO911" s="86"/>
      <c r="AP911" s="86"/>
    </row>
    <row r="912" spans="1:42" ht="15.75" customHeight="1" x14ac:dyDescent="0.3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  <c r="AA912" s="86"/>
      <c r="AB912" s="86"/>
      <c r="AC912" s="86"/>
      <c r="AD912" s="86"/>
      <c r="AE912" s="86"/>
      <c r="AF912" s="86"/>
      <c r="AG912" s="86"/>
      <c r="AH912" s="86"/>
      <c r="AI912" s="86"/>
      <c r="AJ912" s="86"/>
      <c r="AK912" s="86"/>
      <c r="AL912" s="86"/>
      <c r="AM912" s="86"/>
      <c r="AN912" s="86"/>
      <c r="AO912" s="86"/>
      <c r="AP912" s="86"/>
    </row>
    <row r="913" spans="1:42" ht="15.75" customHeight="1" x14ac:dyDescent="0.3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  <c r="AA913" s="86"/>
      <c r="AB913" s="86"/>
      <c r="AC913" s="86"/>
      <c r="AD913" s="86"/>
      <c r="AE913" s="86"/>
      <c r="AF913" s="86"/>
      <c r="AG913" s="86"/>
      <c r="AH913" s="86"/>
      <c r="AI913" s="86"/>
      <c r="AJ913" s="86"/>
      <c r="AK913" s="86"/>
      <c r="AL913" s="86"/>
      <c r="AM913" s="86"/>
      <c r="AN913" s="86"/>
      <c r="AO913" s="86"/>
      <c r="AP913" s="86"/>
    </row>
    <row r="914" spans="1:42" ht="15.75" customHeight="1" x14ac:dyDescent="0.3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  <c r="AA914" s="86"/>
      <c r="AB914" s="86"/>
      <c r="AC914" s="86"/>
      <c r="AD914" s="86"/>
      <c r="AE914" s="86"/>
      <c r="AF914" s="86"/>
      <c r="AG914" s="86"/>
      <c r="AH914" s="86"/>
      <c r="AI914" s="86"/>
      <c r="AJ914" s="86"/>
      <c r="AK914" s="86"/>
      <c r="AL914" s="86"/>
      <c r="AM914" s="86"/>
      <c r="AN914" s="86"/>
      <c r="AO914" s="86"/>
      <c r="AP914" s="86"/>
    </row>
    <row r="915" spans="1:42" ht="15.75" customHeight="1" x14ac:dyDescent="0.3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  <c r="AA915" s="86"/>
      <c r="AB915" s="86"/>
      <c r="AC915" s="86"/>
      <c r="AD915" s="86"/>
      <c r="AE915" s="86"/>
      <c r="AF915" s="86"/>
      <c r="AG915" s="86"/>
      <c r="AH915" s="86"/>
      <c r="AI915" s="86"/>
      <c r="AJ915" s="86"/>
      <c r="AK915" s="86"/>
      <c r="AL915" s="86"/>
      <c r="AM915" s="86"/>
      <c r="AN915" s="86"/>
      <c r="AO915" s="86"/>
      <c r="AP915" s="86"/>
    </row>
    <row r="916" spans="1:42" ht="15.75" customHeight="1" x14ac:dyDescent="0.3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  <c r="AA916" s="86"/>
      <c r="AB916" s="86"/>
      <c r="AC916" s="86"/>
      <c r="AD916" s="86"/>
      <c r="AE916" s="86"/>
      <c r="AF916" s="86"/>
      <c r="AG916" s="86"/>
      <c r="AH916" s="86"/>
      <c r="AI916" s="86"/>
      <c r="AJ916" s="86"/>
      <c r="AK916" s="86"/>
      <c r="AL916" s="86"/>
      <c r="AM916" s="86"/>
      <c r="AN916" s="86"/>
      <c r="AO916" s="86"/>
      <c r="AP916" s="86"/>
    </row>
    <row r="917" spans="1:42" ht="15.75" customHeight="1" x14ac:dyDescent="0.3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  <c r="AA917" s="86"/>
      <c r="AB917" s="86"/>
      <c r="AC917" s="86"/>
      <c r="AD917" s="86"/>
      <c r="AE917" s="86"/>
      <c r="AF917" s="86"/>
      <c r="AG917" s="86"/>
      <c r="AH917" s="86"/>
      <c r="AI917" s="86"/>
      <c r="AJ917" s="86"/>
      <c r="AK917" s="86"/>
      <c r="AL917" s="86"/>
      <c r="AM917" s="86"/>
      <c r="AN917" s="86"/>
      <c r="AO917" s="86"/>
      <c r="AP917" s="86"/>
    </row>
    <row r="918" spans="1:42" ht="15.75" customHeight="1" x14ac:dyDescent="0.3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  <c r="AA918" s="86"/>
      <c r="AB918" s="86"/>
      <c r="AC918" s="86"/>
      <c r="AD918" s="86"/>
      <c r="AE918" s="86"/>
      <c r="AF918" s="86"/>
      <c r="AG918" s="86"/>
      <c r="AH918" s="86"/>
      <c r="AI918" s="86"/>
      <c r="AJ918" s="86"/>
      <c r="AK918" s="86"/>
      <c r="AL918" s="86"/>
      <c r="AM918" s="86"/>
      <c r="AN918" s="86"/>
      <c r="AO918" s="86"/>
      <c r="AP918" s="86"/>
    </row>
    <row r="919" spans="1:42" ht="15.75" customHeight="1" x14ac:dyDescent="0.3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  <c r="AA919" s="86"/>
      <c r="AB919" s="86"/>
      <c r="AC919" s="86"/>
      <c r="AD919" s="86"/>
      <c r="AE919" s="86"/>
      <c r="AF919" s="86"/>
      <c r="AG919" s="86"/>
      <c r="AH919" s="86"/>
      <c r="AI919" s="86"/>
      <c r="AJ919" s="86"/>
      <c r="AK919" s="86"/>
      <c r="AL919" s="86"/>
      <c r="AM919" s="86"/>
      <c r="AN919" s="86"/>
      <c r="AO919" s="86"/>
      <c r="AP919" s="86"/>
    </row>
    <row r="920" spans="1:42" ht="15.75" customHeight="1" x14ac:dyDescent="0.3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  <c r="AA920" s="86"/>
      <c r="AB920" s="86"/>
      <c r="AC920" s="86"/>
      <c r="AD920" s="86"/>
      <c r="AE920" s="86"/>
      <c r="AF920" s="86"/>
      <c r="AG920" s="86"/>
      <c r="AH920" s="86"/>
      <c r="AI920" s="86"/>
      <c r="AJ920" s="86"/>
      <c r="AK920" s="86"/>
      <c r="AL920" s="86"/>
      <c r="AM920" s="86"/>
      <c r="AN920" s="86"/>
      <c r="AO920" s="86"/>
      <c r="AP920" s="86"/>
    </row>
    <row r="921" spans="1:42" ht="15.75" customHeight="1" x14ac:dyDescent="0.3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  <c r="AA921" s="86"/>
      <c r="AB921" s="86"/>
      <c r="AC921" s="86"/>
      <c r="AD921" s="86"/>
      <c r="AE921" s="86"/>
      <c r="AF921" s="86"/>
      <c r="AG921" s="86"/>
      <c r="AH921" s="86"/>
      <c r="AI921" s="86"/>
      <c r="AJ921" s="86"/>
      <c r="AK921" s="86"/>
      <c r="AL921" s="86"/>
      <c r="AM921" s="86"/>
      <c r="AN921" s="86"/>
      <c r="AO921" s="86"/>
      <c r="AP921" s="86"/>
    </row>
    <row r="922" spans="1:42" ht="15.75" customHeight="1" x14ac:dyDescent="0.3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  <c r="AA922" s="86"/>
      <c r="AB922" s="86"/>
      <c r="AC922" s="86"/>
      <c r="AD922" s="86"/>
      <c r="AE922" s="86"/>
      <c r="AF922" s="86"/>
      <c r="AG922" s="86"/>
      <c r="AH922" s="86"/>
      <c r="AI922" s="86"/>
      <c r="AJ922" s="86"/>
      <c r="AK922" s="86"/>
      <c r="AL922" s="86"/>
      <c r="AM922" s="86"/>
      <c r="AN922" s="86"/>
      <c r="AO922" s="86"/>
      <c r="AP922" s="86"/>
    </row>
    <row r="923" spans="1:42" ht="15.75" customHeight="1" x14ac:dyDescent="0.3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  <c r="AI923" s="86"/>
      <c r="AJ923" s="86"/>
      <c r="AK923" s="86"/>
      <c r="AL923" s="86"/>
      <c r="AM923" s="86"/>
      <c r="AN923" s="86"/>
      <c r="AO923" s="86"/>
      <c r="AP923" s="86"/>
    </row>
    <row r="924" spans="1:42" ht="15.75" customHeight="1" x14ac:dyDescent="0.3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  <c r="AA924" s="86"/>
      <c r="AB924" s="86"/>
      <c r="AC924" s="86"/>
      <c r="AD924" s="86"/>
      <c r="AE924" s="86"/>
      <c r="AF924" s="86"/>
      <c r="AG924" s="86"/>
      <c r="AH924" s="86"/>
      <c r="AI924" s="86"/>
      <c r="AJ924" s="86"/>
      <c r="AK924" s="86"/>
      <c r="AL924" s="86"/>
      <c r="AM924" s="86"/>
      <c r="AN924" s="86"/>
      <c r="AO924" s="86"/>
      <c r="AP924" s="86"/>
    </row>
    <row r="925" spans="1:42" ht="15.75" customHeight="1" x14ac:dyDescent="0.3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  <c r="AA925" s="86"/>
      <c r="AB925" s="86"/>
      <c r="AC925" s="86"/>
      <c r="AD925" s="86"/>
      <c r="AE925" s="86"/>
      <c r="AF925" s="86"/>
      <c r="AG925" s="86"/>
      <c r="AH925" s="86"/>
      <c r="AI925" s="86"/>
      <c r="AJ925" s="86"/>
      <c r="AK925" s="86"/>
      <c r="AL925" s="86"/>
      <c r="AM925" s="86"/>
      <c r="AN925" s="86"/>
      <c r="AO925" s="86"/>
      <c r="AP925" s="86"/>
    </row>
    <row r="926" spans="1:42" ht="15.75" customHeight="1" x14ac:dyDescent="0.3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  <c r="AA926" s="86"/>
      <c r="AB926" s="86"/>
      <c r="AC926" s="86"/>
      <c r="AD926" s="86"/>
      <c r="AE926" s="86"/>
      <c r="AF926" s="86"/>
      <c r="AG926" s="86"/>
      <c r="AH926" s="86"/>
      <c r="AI926" s="86"/>
      <c r="AJ926" s="86"/>
      <c r="AK926" s="86"/>
      <c r="AL926" s="86"/>
      <c r="AM926" s="86"/>
      <c r="AN926" s="86"/>
      <c r="AO926" s="86"/>
      <c r="AP926" s="86"/>
    </row>
    <row r="927" spans="1:42" ht="15.75" customHeight="1" x14ac:dyDescent="0.3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  <c r="AA927" s="86"/>
      <c r="AB927" s="86"/>
      <c r="AC927" s="86"/>
      <c r="AD927" s="86"/>
      <c r="AE927" s="86"/>
      <c r="AF927" s="86"/>
      <c r="AG927" s="86"/>
      <c r="AH927" s="86"/>
      <c r="AI927" s="86"/>
      <c r="AJ927" s="86"/>
      <c r="AK927" s="86"/>
      <c r="AL927" s="86"/>
      <c r="AM927" s="86"/>
      <c r="AN927" s="86"/>
      <c r="AO927" s="86"/>
      <c r="AP927" s="86"/>
    </row>
    <row r="928" spans="1:42" ht="15.75" customHeight="1" x14ac:dyDescent="0.3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  <c r="AA928" s="86"/>
      <c r="AB928" s="86"/>
      <c r="AC928" s="86"/>
      <c r="AD928" s="86"/>
      <c r="AE928" s="86"/>
      <c r="AF928" s="86"/>
      <c r="AG928" s="86"/>
      <c r="AH928" s="86"/>
      <c r="AI928" s="86"/>
      <c r="AJ928" s="86"/>
      <c r="AK928" s="86"/>
      <c r="AL928" s="86"/>
      <c r="AM928" s="86"/>
      <c r="AN928" s="86"/>
      <c r="AO928" s="86"/>
      <c r="AP928" s="86"/>
    </row>
    <row r="929" spans="1:42" ht="15.75" customHeight="1" x14ac:dyDescent="0.3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  <c r="AA929" s="86"/>
      <c r="AB929" s="86"/>
      <c r="AC929" s="86"/>
      <c r="AD929" s="86"/>
      <c r="AE929" s="86"/>
      <c r="AF929" s="86"/>
      <c r="AG929" s="86"/>
      <c r="AH929" s="86"/>
      <c r="AI929" s="86"/>
      <c r="AJ929" s="86"/>
      <c r="AK929" s="86"/>
      <c r="AL929" s="86"/>
      <c r="AM929" s="86"/>
      <c r="AN929" s="86"/>
      <c r="AO929" s="86"/>
      <c r="AP929" s="86"/>
    </row>
    <row r="930" spans="1:42" ht="15.75" customHeight="1" x14ac:dyDescent="0.3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  <c r="AA930" s="86"/>
      <c r="AB930" s="86"/>
      <c r="AC930" s="86"/>
      <c r="AD930" s="86"/>
      <c r="AE930" s="86"/>
      <c r="AF930" s="86"/>
      <c r="AG930" s="86"/>
      <c r="AH930" s="86"/>
      <c r="AI930" s="86"/>
      <c r="AJ930" s="86"/>
      <c r="AK930" s="86"/>
      <c r="AL930" s="86"/>
      <c r="AM930" s="86"/>
      <c r="AN930" s="86"/>
      <c r="AO930" s="86"/>
      <c r="AP930" s="86"/>
    </row>
    <row r="931" spans="1:42" ht="15.75" customHeight="1" x14ac:dyDescent="0.3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  <c r="AA931" s="86"/>
      <c r="AB931" s="86"/>
      <c r="AC931" s="86"/>
      <c r="AD931" s="86"/>
      <c r="AE931" s="86"/>
      <c r="AF931" s="86"/>
      <c r="AG931" s="86"/>
      <c r="AH931" s="86"/>
      <c r="AI931" s="86"/>
      <c r="AJ931" s="86"/>
      <c r="AK931" s="86"/>
      <c r="AL931" s="86"/>
      <c r="AM931" s="86"/>
      <c r="AN931" s="86"/>
      <c r="AO931" s="86"/>
      <c r="AP931" s="86"/>
    </row>
    <row r="932" spans="1:42" ht="15.75" customHeight="1" x14ac:dyDescent="0.3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  <c r="AA932" s="86"/>
      <c r="AB932" s="86"/>
      <c r="AC932" s="86"/>
      <c r="AD932" s="86"/>
      <c r="AE932" s="86"/>
      <c r="AF932" s="86"/>
      <c r="AG932" s="86"/>
      <c r="AH932" s="86"/>
      <c r="AI932" s="86"/>
      <c r="AJ932" s="86"/>
      <c r="AK932" s="86"/>
      <c r="AL932" s="86"/>
      <c r="AM932" s="86"/>
      <c r="AN932" s="86"/>
      <c r="AO932" s="86"/>
      <c r="AP932" s="86"/>
    </row>
    <row r="933" spans="1:42" ht="15.75" customHeight="1" x14ac:dyDescent="0.3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  <c r="AA933" s="86"/>
      <c r="AB933" s="86"/>
      <c r="AC933" s="86"/>
      <c r="AD933" s="86"/>
      <c r="AE933" s="86"/>
      <c r="AF933" s="86"/>
      <c r="AG933" s="86"/>
      <c r="AH933" s="86"/>
      <c r="AI933" s="86"/>
      <c r="AJ933" s="86"/>
      <c r="AK933" s="86"/>
      <c r="AL933" s="86"/>
      <c r="AM933" s="86"/>
      <c r="AN933" s="86"/>
      <c r="AO933" s="86"/>
      <c r="AP933" s="86"/>
    </row>
    <row r="934" spans="1:42" ht="15.75" customHeight="1" x14ac:dyDescent="0.3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  <c r="AA934" s="86"/>
      <c r="AB934" s="86"/>
      <c r="AC934" s="86"/>
      <c r="AD934" s="86"/>
      <c r="AE934" s="86"/>
      <c r="AF934" s="86"/>
      <c r="AG934" s="86"/>
      <c r="AH934" s="86"/>
      <c r="AI934" s="86"/>
      <c r="AJ934" s="86"/>
      <c r="AK934" s="86"/>
      <c r="AL934" s="86"/>
      <c r="AM934" s="86"/>
      <c r="AN934" s="86"/>
      <c r="AO934" s="86"/>
      <c r="AP934" s="86"/>
    </row>
    <row r="935" spans="1:42" ht="15.75" customHeight="1" x14ac:dyDescent="0.3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  <c r="AA935" s="86"/>
      <c r="AB935" s="86"/>
      <c r="AC935" s="86"/>
      <c r="AD935" s="86"/>
      <c r="AE935" s="86"/>
      <c r="AF935" s="86"/>
      <c r="AG935" s="86"/>
      <c r="AH935" s="86"/>
      <c r="AI935" s="86"/>
      <c r="AJ935" s="86"/>
      <c r="AK935" s="86"/>
      <c r="AL935" s="86"/>
      <c r="AM935" s="86"/>
      <c r="AN935" s="86"/>
      <c r="AO935" s="86"/>
      <c r="AP935" s="86"/>
    </row>
    <row r="936" spans="1:42" ht="15.75" customHeight="1" x14ac:dyDescent="0.3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  <c r="AA936" s="86"/>
      <c r="AB936" s="86"/>
      <c r="AC936" s="86"/>
      <c r="AD936" s="86"/>
      <c r="AE936" s="86"/>
      <c r="AF936" s="86"/>
      <c r="AG936" s="86"/>
      <c r="AH936" s="86"/>
      <c r="AI936" s="86"/>
      <c r="AJ936" s="86"/>
      <c r="AK936" s="86"/>
      <c r="AL936" s="86"/>
      <c r="AM936" s="86"/>
      <c r="AN936" s="86"/>
      <c r="AO936" s="86"/>
      <c r="AP936" s="86"/>
    </row>
    <row r="937" spans="1:42" ht="15.75" customHeight="1" x14ac:dyDescent="0.3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  <c r="AA937" s="86"/>
      <c r="AB937" s="86"/>
      <c r="AC937" s="86"/>
      <c r="AD937" s="86"/>
      <c r="AE937" s="86"/>
      <c r="AF937" s="86"/>
      <c r="AG937" s="86"/>
      <c r="AH937" s="86"/>
      <c r="AI937" s="86"/>
      <c r="AJ937" s="86"/>
      <c r="AK937" s="86"/>
      <c r="AL937" s="86"/>
      <c r="AM937" s="86"/>
      <c r="AN937" s="86"/>
      <c r="AO937" s="86"/>
      <c r="AP937" s="86"/>
    </row>
    <row r="938" spans="1:42" ht="15.75" customHeight="1" x14ac:dyDescent="0.3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  <c r="AA938" s="86"/>
      <c r="AB938" s="86"/>
      <c r="AC938" s="86"/>
      <c r="AD938" s="86"/>
      <c r="AE938" s="86"/>
      <c r="AF938" s="86"/>
      <c r="AG938" s="86"/>
      <c r="AH938" s="86"/>
      <c r="AI938" s="86"/>
      <c r="AJ938" s="86"/>
      <c r="AK938" s="86"/>
      <c r="AL938" s="86"/>
      <c r="AM938" s="86"/>
      <c r="AN938" s="86"/>
      <c r="AO938" s="86"/>
      <c r="AP938" s="86"/>
    </row>
    <row r="939" spans="1:42" ht="15.75" customHeight="1" x14ac:dyDescent="0.3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  <c r="AA939" s="86"/>
      <c r="AB939" s="86"/>
      <c r="AC939" s="86"/>
      <c r="AD939" s="86"/>
      <c r="AE939" s="86"/>
      <c r="AF939" s="86"/>
      <c r="AG939" s="86"/>
      <c r="AH939" s="86"/>
      <c r="AI939" s="86"/>
      <c r="AJ939" s="86"/>
      <c r="AK939" s="86"/>
      <c r="AL939" s="86"/>
      <c r="AM939" s="86"/>
      <c r="AN939" s="86"/>
      <c r="AO939" s="86"/>
      <c r="AP939" s="86"/>
    </row>
    <row r="940" spans="1:42" ht="15.75" customHeight="1" x14ac:dyDescent="0.3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  <c r="AA940" s="86"/>
      <c r="AB940" s="86"/>
      <c r="AC940" s="86"/>
      <c r="AD940" s="86"/>
      <c r="AE940" s="86"/>
      <c r="AF940" s="86"/>
      <c r="AG940" s="86"/>
      <c r="AH940" s="86"/>
      <c r="AI940" s="86"/>
      <c r="AJ940" s="86"/>
      <c r="AK940" s="86"/>
      <c r="AL940" s="86"/>
      <c r="AM940" s="86"/>
      <c r="AN940" s="86"/>
      <c r="AO940" s="86"/>
      <c r="AP940" s="86"/>
    </row>
    <row r="941" spans="1:42" ht="15.75" customHeight="1" x14ac:dyDescent="0.3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  <c r="AA941" s="86"/>
      <c r="AB941" s="86"/>
      <c r="AC941" s="86"/>
      <c r="AD941" s="86"/>
      <c r="AE941" s="86"/>
      <c r="AF941" s="86"/>
      <c r="AG941" s="86"/>
      <c r="AH941" s="86"/>
      <c r="AI941" s="86"/>
      <c r="AJ941" s="86"/>
      <c r="AK941" s="86"/>
      <c r="AL941" s="86"/>
      <c r="AM941" s="86"/>
      <c r="AN941" s="86"/>
      <c r="AO941" s="86"/>
      <c r="AP941" s="86"/>
    </row>
    <row r="942" spans="1:42" ht="15.75" customHeight="1" x14ac:dyDescent="0.3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  <c r="AA942" s="86"/>
      <c r="AB942" s="86"/>
      <c r="AC942" s="86"/>
      <c r="AD942" s="86"/>
      <c r="AE942" s="86"/>
      <c r="AF942" s="86"/>
      <c r="AG942" s="86"/>
      <c r="AH942" s="86"/>
      <c r="AI942" s="86"/>
      <c r="AJ942" s="86"/>
      <c r="AK942" s="86"/>
      <c r="AL942" s="86"/>
      <c r="AM942" s="86"/>
      <c r="AN942" s="86"/>
      <c r="AO942" s="86"/>
      <c r="AP942" s="86"/>
    </row>
    <row r="943" spans="1:42" ht="15.75" customHeight="1" x14ac:dyDescent="0.3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  <c r="AA943" s="86"/>
      <c r="AB943" s="86"/>
      <c r="AC943" s="86"/>
      <c r="AD943" s="86"/>
      <c r="AE943" s="86"/>
      <c r="AF943" s="86"/>
      <c r="AG943" s="86"/>
      <c r="AH943" s="86"/>
      <c r="AI943" s="86"/>
      <c r="AJ943" s="86"/>
      <c r="AK943" s="86"/>
      <c r="AL943" s="86"/>
      <c r="AM943" s="86"/>
      <c r="AN943" s="86"/>
      <c r="AO943" s="86"/>
      <c r="AP943" s="86"/>
    </row>
    <row r="944" spans="1:42" ht="15.75" customHeight="1" x14ac:dyDescent="0.3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  <c r="AA944" s="86"/>
      <c r="AB944" s="86"/>
      <c r="AC944" s="86"/>
      <c r="AD944" s="86"/>
      <c r="AE944" s="86"/>
      <c r="AF944" s="86"/>
      <c r="AG944" s="86"/>
      <c r="AH944" s="86"/>
      <c r="AI944" s="86"/>
      <c r="AJ944" s="86"/>
      <c r="AK944" s="86"/>
      <c r="AL944" s="86"/>
      <c r="AM944" s="86"/>
      <c r="AN944" s="86"/>
      <c r="AO944" s="86"/>
      <c r="AP944" s="86"/>
    </row>
    <row r="945" spans="1:42" ht="15.75" customHeight="1" x14ac:dyDescent="0.3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  <c r="AA945" s="86"/>
      <c r="AB945" s="86"/>
      <c r="AC945" s="86"/>
      <c r="AD945" s="86"/>
      <c r="AE945" s="86"/>
      <c r="AF945" s="86"/>
      <c r="AG945" s="86"/>
      <c r="AH945" s="86"/>
      <c r="AI945" s="86"/>
      <c r="AJ945" s="86"/>
      <c r="AK945" s="86"/>
      <c r="AL945" s="86"/>
      <c r="AM945" s="86"/>
      <c r="AN945" s="86"/>
      <c r="AO945" s="86"/>
      <c r="AP945" s="86"/>
    </row>
    <row r="946" spans="1:42" ht="15.75" customHeight="1" x14ac:dyDescent="0.3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  <c r="AA946" s="86"/>
      <c r="AB946" s="86"/>
      <c r="AC946" s="86"/>
      <c r="AD946" s="86"/>
      <c r="AE946" s="86"/>
      <c r="AF946" s="86"/>
      <c r="AG946" s="86"/>
      <c r="AH946" s="86"/>
      <c r="AI946" s="86"/>
      <c r="AJ946" s="86"/>
      <c r="AK946" s="86"/>
      <c r="AL946" s="86"/>
      <c r="AM946" s="86"/>
      <c r="AN946" s="86"/>
      <c r="AO946" s="86"/>
      <c r="AP946" s="86"/>
    </row>
    <row r="947" spans="1:42" ht="15.75" customHeight="1" x14ac:dyDescent="0.3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  <c r="AA947" s="86"/>
      <c r="AB947" s="86"/>
      <c r="AC947" s="86"/>
      <c r="AD947" s="86"/>
      <c r="AE947" s="86"/>
      <c r="AF947" s="86"/>
      <c r="AG947" s="86"/>
      <c r="AH947" s="86"/>
      <c r="AI947" s="86"/>
      <c r="AJ947" s="86"/>
      <c r="AK947" s="86"/>
      <c r="AL947" s="86"/>
      <c r="AM947" s="86"/>
      <c r="AN947" s="86"/>
      <c r="AO947" s="86"/>
      <c r="AP947" s="86"/>
    </row>
    <row r="948" spans="1:42" ht="15.75" customHeight="1" x14ac:dyDescent="0.3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  <c r="AA948" s="86"/>
      <c r="AB948" s="86"/>
      <c r="AC948" s="86"/>
      <c r="AD948" s="86"/>
      <c r="AE948" s="86"/>
      <c r="AF948" s="86"/>
      <c r="AG948" s="86"/>
      <c r="AH948" s="86"/>
      <c r="AI948" s="86"/>
      <c r="AJ948" s="86"/>
      <c r="AK948" s="86"/>
      <c r="AL948" s="86"/>
      <c r="AM948" s="86"/>
      <c r="AN948" s="86"/>
      <c r="AO948" s="86"/>
      <c r="AP948" s="86"/>
    </row>
    <row r="949" spans="1:42" ht="15.75" customHeight="1" x14ac:dyDescent="0.3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  <c r="AA949" s="86"/>
      <c r="AB949" s="86"/>
      <c r="AC949" s="86"/>
      <c r="AD949" s="86"/>
      <c r="AE949" s="86"/>
      <c r="AF949" s="86"/>
      <c r="AG949" s="86"/>
      <c r="AH949" s="86"/>
      <c r="AI949" s="86"/>
      <c r="AJ949" s="86"/>
      <c r="AK949" s="86"/>
      <c r="AL949" s="86"/>
      <c r="AM949" s="86"/>
      <c r="AN949" s="86"/>
      <c r="AO949" s="86"/>
      <c r="AP949" s="86"/>
    </row>
    <row r="950" spans="1:42" ht="15.75" customHeight="1" x14ac:dyDescent="0.3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  <c r="AA950" s="86"/>
      <c r="AB950" s="86"/>
      <c r="AC950" s="86"/>
      <c r="AD950" s="86"/>
      <c r="AE950" s="86"/>
      <c r="AF950" s="86"/>
      <c r="AG950" s="86"/>
      <c r="AH950" s="86"/>
      <c r="AI950" s="86"/>
      <c r="AJ950" s="86"/>
      <c r="AK950" s="86"/>
      <c r="AL950" s="86"/>
      <c r="AM950" s="86"/>
      <c r="AN950" s="86"/>
      <c r="AO950" s="86"/>
      <c r="AP950" s="86"/>
    </row>
    <row r="951" spans="1:42" ht="15.75" customHeight="1" x14ac:dyDescent="0.3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  <c r="AA951" s="86"/>
      <c r="AB951" s="86"/>
      <c r="AC951" s="86"/>
      <c r="AD951" s="86"/>
      <c r="AE951" s="86"/>
      <c r="AF951" s="86"/>
      <c r="AG951" s="86"/>
      <c r="AH951" s="86"/>
      <c r="AI951" s="86"/>
      <c r="AJ951" s="86"/>
      <c r="AK951" s="86"/>
      <c r="AL951" s="86"/>
      <c r="AM951" s="86"/>
      <c r="AN951" s="86"/>
      <c r="AO951" s="86"/>
      <c r="AP951" s="86"/>
    </row>
    <row r="952" spans="1:42" ht="15.75" customHeight="1" x14ac:dyDescent="0.3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  <c r="AA952" s="86"/>
      <c r="AB952" s="86"/>
      <c r="AC952" s="86"/>
      <c r="AD952" s="86"/>
      <c r="AE952" s="86"/>
      <c r="AF952" s="86"/>
      <c r="AG952" s="86"/>
      <c r="AH952" s="86"/>
      <c r="AI952" s="86"/>
      <c r="AJ952" s="86"/>
      <c r="AK952" s="86"/>
      <c r="AL952" s="86"/>
      <c r="AM952" s="86"/>
      <c r="AN952" s="86"/>
      <c r="AO952" s="86"/>
      <c r="AP952" s="86"/>
    </row>
    <row r="953" spans="1:42" ht="15.75" customHeight="1" x14ac:dyDescent="0.3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  <c r="AA953" s="86"/>
      <c r="AB953" s="86"/>
      <c r="AC953" s="86"/>
      <c r="AD953" s="86"/>
      <c r="AE953" s="86"/>
      <c r="AF953" s="86"/>
      <c r="AG953" s="86"/>
      <c r="AH953" s="86"/>
      <c r="AI953" s="86"/>
      <c r="AJ953" s="86"/>
      <c r="AK953" s="86"/>
      <c r="AL953" s="86"/>
      <c r="AM953" s="86"/>
      <c r="AN953" s="86"/>
      <c r="AO953" s="86"/>
      <c r="AP953" s="86"/>
    </row>
    <row r="954" spans="1:42" ht="15.75" customHeight="1" x14ac:dyDescent="0.3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  <c r="AA954" s="86"/>
      <c r="AB954" s="86"/>
      <c r="AC954" s="86"/>
      <c r="AD954" s="86"/>
      <c r="AE954" s="86"/>
      <c r="AF954" s="86"/>
      <c r="AG954" s="86"/>
      <c r="AH954" s="86"/>
      <c r="AI954" s="86"/>
      <c r="AJ954" s="86"/>
      <c r="AK954" s="86"/>
      <c r="AL954" s="86"/>
      <c r="AM954" s="86"/>
      <c r="AN954" s="86"/>
      <c r="AO954" s="86"/>
      <c r="AP954" s="86"/>
    </row>
    <row r="955" spans="1:42" ht="15.75" customHeight="1" x14ac:dyDescent="0.3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  <c r="AA955" s="86"/>
      <c r="AB955" s="86"/>
      <c r="AC955" s="86"/>
      <c r="AD955" s="86"/>
      <c r="AE955" s="86"/>
      <c r="AF955" s="86"/>
      <c r="AG955" s="86"/>
      <c r="AH955" s="86"/>
      <c r="AI955" s="86"/>
      <c r="AJ955" s="86"/>
      <c r="AK955" s="86"/>
      <c r="AL955" s="86"/>
      <c r="AM955" s="86"/>
      <c r="AN955" s="86"/>
      <c r="AO955" s="86"/>
      <c r="AP955" s="86"/>
    </row>
    <row r="956" spans="1:42" ht="15.75" customHeight="1" x14ac:dyDescent="0.3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  <c r="AA956" s="86"/>
      <c r="AB956" s="86"/>
      <c r="AC956" s="86"/>
      <c r="AD956" s="86"/>
      <c r="AE956" s="86"/>
      <c r="AF956" s="86"/>
      <c r="AG956" s="86"/>
      <c r="AH956" s="86"/>
      <c r="AI956" s="86"/>
      <c r="AJ956" s="86"/>
      <c r="AK956" s="86"/>
      <c r="AL956" s="86"/>
      <c r="AM956" s="86"/>
      <c r="AN956" s="86"/>
      <c r="AO956" s="86"/>
      <c r="AP956" s="86"/>
    </row>
    <row r="957" spans="1:42" ht="15.75" customHeight="1" x14ac:dyDescent="0.3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  <c r="AA957" s="86"/>
      <c r="AB957" s="86"/>
      <c r="AC957" s="86"/>
      <c r="AD957" s="86"/>
      <c r="AE957" s="86"/>
      <c r="AF957" s="86"/>
      <c r="AG957" s="86"/>
      <c r="AH957" s="86"/>
      <c r="AI957" s="86"/>
      <c r="AJ957" s="86"/>
      <c r="AK957" s="86"/>
      <c r="AL957" s="86"/>
      <c r="AM957" s="86"/>
      <c r="AN957" s="86"/>
      <c r="AO957" s="86"/>
      <c r="AP957" s="86"/>
    </row>
    <row r="958" spans="1:42" ht="15.75" customHeight="1" x14ac:dyDescent="0.3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  <c r="AA958" s="86"/>
      <c r="AB958" s="86"/>
      <c r="AC958" s="86"/>
      <c r="AD958" s="86"/>
      <c r="AE958" s="86"/>
      <c r="AF958" s="86"/>
      <c r="AG958" s="86"/>
      <c r="AH958" s="86"/>
      <c r="AI958" s="86"/>
      <c r="AJ958" s="86"/>
      <c r="AK958" s="86"/>
      <c r="AL958" s="86"/>
      <c r="AM958" s="86"/>
      <c r="AN958" s="86"/>
      <c r="AO958" s="86"/>
      <c r="AP958" s="86"/>
    </row>
    <row r="959" spans="1:42" ht="15.75" customHeight="1" x14ac:dyDescent="0.3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  <c r="AA959" s="86"/>
      <c r="AB959" s="86"/>
      <c r="AC959" s="86"/>
      <c r="AD959" s="86"/>
      <c r="AE959" s="86"/>
      <c r="AF959" s="86"/>
      <c r="AG959" s="86"/>
      <c r="AH959" s="86"/>
      <c r="AI959" s="86"/>
      <c r="AJ959" s="86"/>
      <c r="AK959" s="86"/>
      <c r="AL959" s="86"/>
      <c r="AM959" s="86"/>
      <c r="AN959" s="86"/>
      <c r="AO959" s="86"/>
      <c r="AP959" s="86"/>
    </row>
    <row r="960" spans="1:42" ht="15.75" customHeight="1" x14ac:dyDescent="0.3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  <c r="AA960" s="86"/>
      <c r="AB960" s="86"/>
      <c r="AC960" s="86"/>
      <c r="AD960" s="86"/>
      <c r="AE960" s="86"/>
      <c r="AF960" s="86"/>
      <c r="AG960" s="86"/>
      <c r="AH960" s="86"/>
      <c r="AI960" s="86"/>
      <c r="AJ960" s="86"/>
      <c r="AK960" s="86"/>
      <c r="AL960" s="86"/>
      <c r="AM960" s="86"/>
      <c r="AN960" s="86"/>
      <c r="AO960" s="86"/>
      <c r="AP960" s="86"/>
    </row>
    <row r="961" spans="1:42" ht="15.75" customHeight="1" x14ac:dyDescent="0.3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  <c r="AA961" s="86"/>
      <c r="AB961" s="86"/>
      <c r="AC961" s="86"/>
      <c r="AD961" s="86"/>
      <c r="AE961" s="86"/>
      <c r="AF961" s="86"/>
      <c r="AG961" s="86"/>
      <c r="AH961" s="86"/>
      <c r="AI961" s="86"/>
      <c r="AJ961" s="86"/>
      <c r="AK961" s="86"/>
      <c r="AL961" s="86"/>
      <c r="AM961" s="86"/>
      <c r="AN961" s="86"/>
      <c r="AO961" s="86"/>
      <c r="AP961" s="86"/>
    </row>
    <row r="962" spans="1:42" ht="15.75" customHeight="1" x14ac:dyDescent="0.3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  <c r="AA962" s="86"/>
      <c r="AB962" s="86"/>
      <c r="AC962" s="86"/>
      <c r="AD962" s="86"/>
      <c r="AE962" s="86"/>
      <c r="AF962" s="86"/>
      <c r="AG962" s="86"/>
      <c r="AH962" s="86"/>
      <c r="AI962" s="86"/>
      <c r="AJ962" s="86"/>
      <c r="AK962" s="86"/>
      <c r="AL962" s="86"/>
      <c r="AM962" s="86"/>
      <c r="AN962" s="86"/>
      <c r="AO962" s="86"/>
      <c r="AP962" s="86"/>
    </row>
    <row r="963" spans="1:42" ht="15.75" customHeight="1" x14ac:dyDescent="0.3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  <c r="AA963" s="86"/>
      <c r="AB963" s="86"/>
      <c r="AC963" s="86"/>
      <c r="AD963" s="86"/>
      <c r="AE963" s="86"/>
      <c r="AF963" s="86"/>
      <c r="AG963" s="86"/>
      <c r="AH963" s="86"/>
      <c r="AI963" s="86"/>
      <c r="AJ963" s="86"/>
      <c r="AK963" s="86"/>
      <c r="AL963" s="86"/>
      <c r="AM963" s="86"/>
      <c r="AN963" s="86"/>
      <c r="AO963" s="86"/>
      <c r="AP963" s="86"/>
    </row>
    <row r="964" spans="1:42" ht="15.75" customHeight="1" x14ac:dyDescent="0.3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  <c r="AA964" s="86"/>
      <c r="AB964" s="86"/>
      <c r="AC964" s="86"/>
      <c r="AD964" s="86"/>
      <c r="AE964" s="86"/>
      <c r="AF964" s="86"/>
      <c r="AG964" s="86"/>
      <c r="AH964" s="86"/>
      <c r="AI964" s="86"/>
      <c r="AJ964" s="86"/>
      <c r="AK964" s="86"/>
      <c r="AL964" s="86"/>
      <c r="AM964" s="86"/>
      <c r="AN964" s="86"/>
      <c r="AO964" s="86"/>
      <c r="AP964" s="86"/>
    </row>
    <row r="965" spans="1:42" ht="15.75" customHeight="1" x14ac:dyDescent="0.3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  <c r="AA965" s="86"/>
      <c r="AB965" s="86"/>
      <c r="AC965" s="86"/>
      <c r="AD965" s="86"/>
      <c r="AE965" s="86"/>
      <c r="AF965" s="86"/>
      <c r="AG965" s="86"/>
      <c r="AH965" s="86"/>
      <c r="AI965" s="86"/>
      <c r="AJ965" s="86"/>
      <c r="AK965" s="86"/>
      <c r="AL965" s="86"/>
      <c r="AM965" s="86"/>
      <c r="AN965" s="86"/>
      <c r="AO965" s="86"/>
      <c r="AP965" s="86"/>
    </row>
    <row r="966" spans="1:42" ht="15.75" customHeight="1" x14ac:dyDescent="0.3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  <c r="AA966" s="86"/>
      <c r="AB966" s="86"/>
      <c r="AC966" s="86"/>
      <c r="AD966" s="86"/>
      <c r="AE966" s="86"/>
      <c r="AF966" s="86"/>
      <c r="AG966" s="86"/>
      <c r="AH966" s="86"/>
      <c r="AI966" s="86"/>
      <c r="AJ966" s="86"/>
      <c r="AK966" s="86"/>
      <c r="AL966" s="86"/>
      <c r="AM966" s="86"/>
      <c r="AN966" s="86"/>
      <c r="AO966" s="86"/>
      <c r="AP966" s="86"/>
    </row>
    <row r="967" spans="1:42" ht="15.75" customHeight="1" x14ac:dyDescent="0.3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  <c r="AA967" s="86"/>
      <c r="AB967" s="86"/>
      <c r="AC967" s="86"/>
      <c r="AD967" s="86"/>
      <c r="AE967" s="86"/>
      <c r="AF967" s="86"/>
      <c r="AG967" s="86"/>
      <c r="AH967" s="86"/>
      <c r="AI967" s="86"/>
      <c r="AJ967" s="86"/>
      <c r="AK967" s="86"/>
      <c r="AL967" s="86"/>
      <c r="AM967" s="86"/>
      <c r="AN967" s="86"/>
      <c r="AO967" s="86"/>
      <c r="AP967" s="86"/>
    </row>
    <row r="968" spans="1:42" ht="15.75" customHeight="1" x14ac:dyDescent="0.3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  <c r="AA968" s="86"/>
      <c r="AB968" s="86"/>
      <c r="AC968" s="86"/>
      <c r="AD968" s="86"/>
      <c r="AE968" s="86"/>
      <c r="AF968" s="86"/>
      <c r="AG968" s="86"/>
      <c r="AH968" s="86"/>
      <c r="AI968" s="86"/>
      <c r="AJ968" s="86"/>
      <c r="AK968" s="86"/>
      <c r="AL968" s="86"/>
      <c r="AM968" s="86"/>
      <c r="AN968" s="86"/>
      <c r="AO968" s="86"/>
      <c r="AP968" s="86"/>
    </row>
    <row r="969" spans="1:42" ht="15.75" customHeight="1" x14ac:dyDescent="0.3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  <c r="AA969" s="86"/>
      <c r="AB969" s="86"/>
      <c r="AC969" s="86"/>
      <c r="AD969" s="86"/>
      <c r="AE969" s="86"/>
      <c r="AF969" s="86"/>
      <c r="AG969" s="86"/>
      <c r="AH969" s="86"/>
      <c r="AI969" s="86"/>
      <c r="AJ969" s="86"/>
      <c r="AK969" s="86"/>
      <c r="AL969" s="86"/>
      <c r="AM969" s="86"/>
      <c r="AN969" s="86"/>
      <c r="AO969" s="86"/>
      <c r="AP969" s="86"/>
    </row>
    <row r="970" spans="1:42" ht="15.75" customHeight="1" x14ac:dyDescent="0.3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  <c r="AA970" s="86"/>
      <c r="AB970" s="86"/>
      <c r="AC970" s="86"/>
      <c r="AD970" s="86"/>
      <c r="AE970" s="86"/>
      <c r="AF970" s="86"/>
      <c r="AG970" s="86"/>
      <c r="AH970" s="86"/>
      <c r="AI970" s="86"/>
      <c r="AJ970" s="86"/>
      <c r="AK970" s="86"/>
      <c r="AL970" s="86"/>
      <c r="AM970" s="86"/>
      <c r="AN970" s="86"/>
      <c r="AO970" s="86"/>
      <c r="AP970" s="86"/>
    </row>
    <row r="971" spans="1:42" ht="15.75" customHeight="1" x14ac:dyDescent="0.3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  <c r="AA971" s="86"/>
      <c r="AB971" s="86"/>
      <c r="AC971" s="86"/>
      <c r="AD971" s="86"/>
      <c r="AE971" s="86"/>
      <c r="AF971" s="86"/>
      <c r="AG971" s="86"/>
      <c r="AH971" s="86"/>
      <c r="AI971" s="86"/>
      <c r="AJ971" s="86"/>
      <c r="AK971" s="86"/>
      <c r="AL971" s="86"/>
      <c r="AM971" s="86"/>
      <c r="AN971" s="86"/>
      <c r="AO971" s="86"/>
      <c r="AP971" s="86"/>
    </row>
    <row r="972" spans="1:42" ht="15.75" customHeight="1" x14ac:dyDescent="0.3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  <c r="AA972" s="86"/>
      <c r="AB972" s="86"/>
      <c r="AC972" s="86"/>
      <c r="AD972" s="86"/>
      <c r="AE972" s="86"/>
      <c r="AF972" s="86"/>
      <c r="AG972" s="86"/>
      <c r="AH972" s="86"/>
      <c r="AI972" s="86"/>
      <c r="AJ972" s="86"/>
      <c r="AK972" s="86"/>
      <c r="AL972" s="86"/>
      <c r="AM972" s="86"/>
      <c r="AN972" s="86"/>
      <c r="AO972" s="86"/>
      <c r="AP972" s="86"/>
    </row>
    <row r="973" spans="1:42" ht="15.75" customHeight="1" x14ac:dyDescent="0.3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  <c r="AA973" s="86"/>
      <c r="AB973" s="86"/>
      <c r="AC973" s="86"/>
      <c r="AD973" s="86"/>
      <c r="AE973" s="86"/>
      <c r="AF973" s="86"/>
      <c r="AG973" s="86"/>
      <c r="AH973" s="86"/>
      <c r="AI973" s="86"/>
      <c r="AJ973" s="86"/>
      <c r="AK973" s="86"/>
      <c r="AL973" s="86"/>
      <c r="AM973" s="86"/>
      <c r="AN973" s="86"/>
      <c r="AO973" s="86"/>
      <c r="AP973" s="86"/>
    </row>
    <row r="974" spans="1:42" ht="15.75" customHeight="1" x14ac:dyDescent="0.3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  <c r="AA974" s="86"/>
      <c r="AB974" s="86"/>
      <c r="AC974" s="86"/>
      <c r="AD974" s="86"/>
      <c r="AE974" s="86"/>
      <c r="AF974" s="86"/>
      <c r="AG974" s="86"/>
      <c r="AH974" s="86"/>
      <c r="AI974" s="86"/>
      <c r="AJ974" s="86"/>
      <c r="AK974" s="86"/>
      <c r="AL974" s="86"/>
      <c r="AM974" s="86"/>
      <c r="AN974" s="86"/>
      <c r="AO974" s="86"/>
      <c r="AP974" s="86"/>
    </row>
    <row r="975" spans="1:42" ht="15.75" customHeight="1" x14ac:dyDescent="0.3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  <c r="AA975" s="86"/>
      <c r="AB975" s="86"/>
      <c r="AC975" s="86"/>
      <c r="AD975" s="86"/>
      <c r="AE975" s="86"/>
      <c r="AF975" s="86"/>
      <c r="AG975" s="86"/>
      <c r="AH975" s="86"/>
      <c r="AI975" s="86"/>
      <c r="AJ975" s="86"/>
      <c r="AK975" s="86"/>
      <c r="AL975" s="86"/>
      <c r="AM975" s="86"/>
      <c r="AN975" s="86"/>
      <c r="AO975" s="86"/>
      <c r="AP975" s="86"/>
    </row>
    <row r="976" spans="1:42" ht="15.75" customHeight="1" x14ac:dyDescent="0.3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  <c r="AA976" s="86"/>
      <c r="AB976" s="86"/>
      <c r="AC976" s="86"/>
      <c r="AD976" s="86"/>
      <c r="AE976" s="86"/>
      <c r="AF976" s="86"/>
      <c r="AG976" s="86"/>
      <c r="AH976" s="86"/>
      <c r="AI976" s="86"/>
      <c r="AJ976" s="86"/>
      <c r="AK976" s="86"/>
      <c r="AL976" s="86"/>
      <c r="AM976" s="86"/>
      <c r="AN976" s="86"/>
      <c r="AO976" s="86"/>
      <c r="AP976" s="86"/>
    </row>
    <row r="977" spans="1:42" ht="15.75" customHeight="1" x14ac:dyDescent="0.3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  <c r="AA977" s="86"/>
      <c r="AB977" s="86"/>
      <c r="AC977" s="86"/>
      <c r="AD977" s="86"/>
      <c r="AE977" s="86"/>
      <c r="AF977" s="86"/>
      <c r="AG977" s="86"/>
      <c r="AH977" s="86"/>
      <c r="AI977" s="86"/>
      <c r="AJ977" s="86"/>
      <c r="AK977" s="86"/>
      <c r="AL977" s="86"/>
      <c r="AM977" s="86"/>
      <c r="AN977" s="86"/>
      <c r="AO977" s="86"/>
      <c r="AP977" s="86"/>
    </row>
    <row r="978" spans="1:42" ht="15.75" customHeight="1" x14ac:dyDescent="0.3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  <c r="AA978" s="86"/>
      <c r="AB978" s="86"/>
      <c r="AC978" s="86"/>
      <c r="AD978" s="86"/>
      <c r="AE978" s="86"/>
      <c r="AF978" s="86"/>
      <c r="AG978" s="86"/>
      <c r="AH978" s="86"/>
      <c r="AI978" s="86"/>
      <c r="AJ978" s="86"/>
      <c r="AK978" s="86"/>
      <c r="AL978" s="86"/>
      <c r="AM978" s="86"/>
      <c r="AN978" s="86"/>
      <c r="AO978" s="86"/>
      <c r="AP978" s="86"/>
    </row>
    <row r="979" spans="1:42" ht="15.75" customHeight="1" x14ac:dyDescent="0.3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  <c r="AA979" s="86"/>
      <c r="AB979" s="86"/>
      <c r="AC979" s="86"/>
      <c r="AD979" s="86"/>
      <c r="AE979" s="86"/>
      <c r="AF979" s="86"/>
      <c r="AG979" s="86"/>
      <c r="AH979" s="86"/>
      <c r="AI979" s="86"/>
      <c r="AJ979" s="86"/>
      <c r="AK979" s="86"/>
      <c r="AL979" s="86"/>
      <c r="AM979" s="86"/>
      <c r="AN979" s="86"/>
      <c r="AO979" s="86"/>
      <c r="AP979" s="86"/>
    </row>
    <row r="980" spans="1:42" ht="15.75" customHeight="1" x14ac:dyDescent="0.3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  <c r="AA980" s="86"/>
      <c r="AB980" s="86"/>
      <c r="AC980" s="86"/>
      <c r="AD980" s="86"/>
      <c r="AE980" s="86"/>
      <c r="AF980" s="86"/>
      <c r="AG980" s="86"/>
      <c r="AH980" s="86"/>
      <c r="AI980" s="86"/>
      <c r="AJ980" s="86"/>
      <c r="AK980" s="86"/>
      <c r="AL980" s="86"/>
      <c r="AM980" s="86"/>
      <c r="AN980" s="86"/>
      <c r="AO980" s="86"/>
      <c r="AP980" s="86"/>
    </row>
    <row r="981" spans="1:42" ht="15.75" customHeight="1" x14ac:dyDescent="0.3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  <c r="AA981" s="86"/>
      <c r="AB981" s="86"/>
      <c r="AC981" s="86"/>
      <c r="AD981" s="86"/>
      <c r="AE981" s="86"/>
      <c r="AF981" s="86"/>
      <c r="AG981" s="86"/>
      <c r="AH981" s="86"/>
      <c r="AI981" s="86"/>
      <c r="AJ981" s="86"/>
      <c r="AK981" s="86"/>
      <c r="AL981" s="86"/>
      <c r="AM981" s="86"/>
      <c r="AN981" s="86"/>
      <c r="AO981" s="86"/>
      <c r="AP981" s="86"/>
    </row>
    <row r="982" spans="1:42" ht="15.75" customHeight="1" x14ac:dyDescent="0.3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  <c r="AA982" s="86"/>
      <c r="AB982" s="86"/>
      <c r="AC982" s="86"/>
      <c r="AD982" s="86"/>
      <c r="AE982" s="86"/>
      <c r="AF982" s="86"/>
      <c r="AG982" s="86"/>
      <c r="AH982" s="86"/>
      <c r="AI982" s="86"/>
      <c r="AJ982" s="86"/>
      <c r="AK982" s="86"/>
      <c r="AL982" s="86"/>
      <c r="AM982" s="86"/>
      <c r="AN982" s="86"/>
      <c r="AO982" s="86"/>
      <c r="AP982" s="86"/>
    </row>
    <row r="983" spans="1:42" ht="15.75" customHeight="1" x14ac:dyDescent="0.3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  <c r="AA983" s="86"/>
      <c r="AB983" s="86"/>
      <c r="AC983" s="86"/>
      <c r="AD983" s="86"/>
      <c r="AE983" s="86"/>
      <c r="AF983" s="86"/>
      <c r="AG983" s="86"/>
      <c r="AH983" s="86"/>
      <c r="AI983" s="86"/>
      <c r="AJ983" s="86"/>
      <c r="AK983" s="86"/>
      <c r="AL983" s="86"/>
      <c r="AM983" s="86"/>
      <c r="AN983" s="86"/>
      <c r="AO983" s="86"/>
      <c r="AP983" s="86"/>
    </row>
    <row r="984" spans="1:42" ht="15.75" customHeight="1" x14ac:dyDescent="0.3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  <c r="AA984" s="86"/>
      <c r="AB984" s="86"/>
      <c r="AC984" s="86"/>
      <c r="AD984" s="86"/>
      <c r="AE984" s="86"/>
      <c r="AF984" s="86"/>
      <c r="AG984" s="86"/>
      <c r="AH984" s="86"/>
      <c r="AI984" s="86"/>
      <c r="AJ984" s="86"/>
      <c r="AK984" s="86"/>
      <c r="AL984" s="86"/>
      <c r="AM984" s="86"/>
      <c r="AN984" s="86"/>
      <c r="AO984" s="86"/>
      <c r="AP984" s="86"/>
    </row>
    <row r="985" spans="1:42" ht="15.75" customHeight="1" x14ac:dyDescent="0.3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  <c r="AA985" s="86"/>
      <c r="AB985" s="86"/>
      <c r="AC985" s="86"/>
      <c r="AD985" s="86"/>
      <c r="AE985" s="86"/>
      <c r="AF985" s="86"/>
      <c r="AG985" s="86"/>
      <c r="AH985" s="86"/>
      <c r="AI985" s="86"/>
      <c r="AJ985" s="86"/>
      <c r="AK985" s="86"/>
      <c r="AL985" s="86"/>
      <c r="AM985" s="86"/>
      <c r="AN985" s="86"/>
      <c r="AO985" s="86"/>
      <c r="AP985" s="86"/>
    </row>
    <row r="986" spans="1:42" ht="15.75" customHeight="1" x14ac:dyDescent="0.3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  <c r="AA986" s="86"/>
      <c r="AB986" s="86"/>
      <c r="AC986" s="86"/>
      <c r="AD986" s="86"/>
      <c r="AE986" s="86"/>
      <c r="AF986" s="86"/>
      <c r="AG986" s="86"/>
      <c r="AH986" s="86"/>
      <c r="AI986" s="86"/>
      <c r="AJ986" s="86"/>
      <c r="AK986" s="86"/>
      <c r="AL986" s="86"/>
      <c r="AM986" s="86"/>
      <c r="AN986" s="86"/>
      <c r="AO986" s="86"/>
      <c r="AP986" s="86"/>
    </row>
    <row r="987" spans="1:42" ht="15.75" customHeight="1" x14ac:dyDescent="0.3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  <c r="AA987" s="86"/>
      <c r="AB987" s="86"/>
      <c r="AC987" s="86"/>
      <c r="AD987" s="86"/>
      <c r="AE987" s="86"/>
      <c r="AF987" s="86"/>
      <c r="AG987" s="86"/>
      <c r="AH987" s="86"/>
      <c r="AI987" s="86"/>
      <c r="AJ987" s="86"/>
      <c r="AK987" s="86"/>
      <c r="AL987" s="86"/>
      <c r="AM987" s="86"/>
      <c r="AN987" s="86"/>
      <c r="AO987" s="86"/>
      <c r="AP987" s="86"/>
    </row>
    <row r="988" spans="1:42" ht="15.75" customHeight="1" x14ac:dyDescent="0.3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  <c r="AA988" s="86"/>
      <c r="AB988" s="86"/>
      <c r="AC988" s="86"/>
      <c r="AD988" s="86"/>
      <c r="AE988" s="86"/>
      <c r="AF988" s="86"/>
      <c r="AG988" s="86"/>
      <c r="AH988" s="86"/>
      <c r="AI988" s="86"/>
      <c r="AJ988" s="86"/>
      <c r="AK988" s="86"/>
      <c r="AL988" s="86"/>
      <c r="AM988" s="86"/>
      <c r="AN988" s="86"/>
      <c r="AO988" s="86"/>
      <c r="AP988" s="86"/>
    </row>
    <row r="989" spans="1:42" ht="15.75" customHeight="1" x14ac:dyDescent="0.3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  <c r="AA989" s="86"/>
      <c r="AB989" s="86"/>
      <c r="AC989" s="86"/>
      <c r="AD989" s="86"/>
      <c r="AE989" s="86"/>
      <c r="AF989" s="86"/>
      <c r="AG989" s="86"/>
      <c r="AH989" s="86"/>
      <c r="AI989" s="86"/>
      <c r="AJ989" s="86"/>
      <c r="AK989" s="86"/>
      <c r="AL989" s="86"/>
      <c r="AM989" s="86"/>
      <c r="AN989" s="86"/>
      <c r="AO989" s="86"/>
      <c r="AP989" s="86"/>
    </row>
    <row r="990" spans="1:42" ht="15.75" customHeight="1" x14ac:dyDescent="0.3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  <c r="AA990" s="86"/>
      <c r="AB990" s="86"/>
      <c r="AC990" s="86"/>
      <c r="AD990" s="86"/>
      <c r="AE990" s="86"/>
      <c r="AF990" s="86"/>
      <c r="AG990" s="86"/>
      <c r="AH990" s="86"/>
      <c r="AI990" s="86"/>
      <c r="AJ990" s="86"/>
      <c r="AK990" s="86"/>
      <c r="AL990" s="86"/>
      <c r="AM990" s="86"/>
      <c r="AN990" s="86"/>
      <c r="AO990" s="86"/>
      <c r="AP990" s="86"/>
    </row>
    <row r="991" spans="1:42" ht="15.75" customHeight="1" x14ac:dyDescent="0.3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  <c r="AA991" s="86"/>
      <c r="AB991" s="86"/>
      <c r="AC991" s="86"/>
      <c r="AD991" s="86"/>
      <c r="AE991" s="86"/>
      <c r="AF991" s="86"/>
      <c r="AG991" s="86"/>
      <c r="AH991" s="86"/>
      <c r="AI991" s="86"/>
      <c r="AJ991" s="86"/>
      <c r="AK991" s="86"/>
      <c r="AL991" s="86"/>
      <c r="AM991" s="86"/>
      <c r="AN991" s="86"/>
      <c r="AO991" s="86"/>
      <c r="AP991" s="86"/>
    </row>
    <row r="992" spans="1:42" ht="15.75" customHeight="1" x14ac:dyDescent="0.3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  <c r="AA992" s="86"/>
      <c r="AB992" s="86"/>
      <c r="AC992" s="86"/>
      <c r="AD992" s="86"/>
      <c r="AE992" s="86"/>
      <c r="AF992" s="86"/>
      <c r="AG992" s="86"/>
      <c r="AH992" s="86"/>
      <c r="AI992" s="86"/>
      <c r="AJ992" s="86"/>
      <c r="AK992" s="86"/>
      <c r="AL992" s="86"/>
      <c r="AM992" s="86"/>
      <c r="AN992" s="86"/>
      <c r="AO992" s="86"/>
      <c r="AP992" s="86"/>
    </row>
    <row r="993" spans="1:42" ht="15.75" customHeight="1" x14ac:dyDescent="0.3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  <c r="AA993" s="86"/>
      <c r="AB993" s="86"/>
      <c r="AC993" s="86"/>
      <c r="AD993" s="86"/>
      <c r="AE993" s="86"/>
      <c r="AF993" s="86"/>
      <c r="AG993" s="86"/>
      <c r="AH993" s="86"/>
      <c r="AI993" s="86"/>
      <c r="AJ993" s="86"/>
      <c r="AK993" s="86"/>
      <c r="AL993" s="86"/>
      <c r="AM993" s="86"/>
      <c r="AN993" s="86"/>
      <c r="AO993" s="86"/>
      <c r="AP993" s="86"/>
    </row>
    <row r="994" spans="1:42" ht="15.75" customHeight="1" x14ac:dyDescent="0.3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  <c r="AA994" s="86"/>
      <c r="AB994" s="86"/>
      <c r="AC994" s="86"/>
      <c r="AD994" s="86"/>
      <c r="AE994" s="86"/>
      <c r="AF994" s="86"/>
      <c r="AG994" s="86"/>
      <c r="AH994" s="86"/>
      <c r="AI994" s="86"/>
      <c r="AJ994" s="86"/>
      <c r="AK994" s="86"/>
      <c r="AL994" s="86"/>
      <c r="AM994" s="86"/>
      <c r="AN994" s="86"/>
      <c r="AO994" s="86"/>
      <c r="AP994" s="86"/>
    </row>
    <row r="995" spans="1:42" ht="15.75" customHeight="1" x14ac:dyDescent="0.3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  <c r="AA995" s="86"/>
      <c r="AB995" s="86"/>
      <c r="AC995" s="86"/>
      <c r="AD995" s="86"/>
      <c r="AE995" s="86"/>
      <c r="AF995" s="86"/>
      <c r="AG995" s="86"/>
      <c r="AH995" s="86"/>
      <c r="AI995" s="86"/>
      <c r="AJ995" s="86"/>
      <c r="AK995" s="86"/>
      <c r="AL995" s="86"/>
      <c r="AM995" s="86"/>
      <c r="AN995" s="86"/>
      <c r="AO995" s="86"/>
      <c r="AP995" s="86"/>
    </row>
    <row r="996" spans="1:42" ht="15.75" customHeight="1" x14ac:dyDescent="0.3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  <c r="AA996" s="86"/>
      <c r="AB996" s="86"/>
      <c r="AC996" s="86"/>
      <c r="AD996" s="86"/>
      <c r="AE996" s="86"/>
      <c r="AF996" s="86"/>
      <c r="AG996" s="86"/>
      <c r="AH996" s="86"/>
      <c r="AI996" s="86"/>
      <c r="AJ996" s="86"/>
      <c r="AK996" s="86"/>
      <c r="AL996" s="86"/>
      <c r="AM996" s="86"/>
      <c r="AN996" s="86"/>
      <c r="AO996" s="86"/>
      <c r="AP996" s="86"/>
    </row>
    <row r="997" spans="1:42" ht="15.75" customHeight="1" x14ac:dyDescent="0.3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  <c r="AA997" s="86"/>
      <c r="AB997" s="86"/>
      <c r="AC997" s="86"/>
      <c r="AD997" s="86"/>
      <c r="AE997" s="86"/>
      <c r="AF997" s="86"/>
      <c r="AG997" s="86"/>
      <c r="AH997" s="86"/>
      <c r="AI997" s="86"/>
      <c r="AJ997" s="86"/>
      <c r="AK997" s="86"/>
      <c r="AL997" s="86"/>
      <c r="AM997" s="86"/>
      <c r="AN997" s="86"/>
      <c r="AO997" s="86"/>
      <c r="AP997" s="86"/>
    </row>
    <row r="998" spans="1:42" ht="15.75" customHeight="1" x14ac:dyDescent="0.3"/>
    <row r="999" spans="1:42" ht="15.75" customHeight="1" x14ac:dyDescent="0.3"/>
    <row r="1000" spans="1:42" ht="15.75" customHeight="1" x14ac:dyDescent="0.3"/>
  </sheetData>
  <autoFilter ref="J34:K46" xr:uid="{00000000-0009-0000-0000-000000000000}">
    <sortState xmlns:xlrd2="http://schemas.microsoft.com/office/spreadsheetml/2017/richdata2" ref="J34:K46">
      <sortCondition descending="1" ref="K34:K46"/>
    </sortState>
  </autoFilter>
  <mergeCells count="1">
    <mergeCell ref="B2:M4"/>
  </mergeCells>
  <conditionalFormatting sqref="C35:C5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5:C8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7:C118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9:C1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9:D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5:G4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5:G8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7:G11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9:H15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5:K4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07:K118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39:L15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GODREJ_PROPERTIES</vt:lpstr>
      <vt:lpstr>Residential,Commercial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2024-12-18T10:05:09Z</dcterms:created>
  <dcterms:modified xsi:type="dcterms:W3CDTF">2024-12-18T10:05:45Z</dcterms:modified>
</cp:coreProperties>
</file>