
<file path=[Content_Types].xml><?xml version="1.0" encoding="utf-8"?>
<Types xmlns="http://schemas.openxmlformats.org/package/2006/content-types"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profi\Desktop\Documents\Annual Result\Q3_FY24\"/>
    </mc:Choice>
  </mc:AlternateContent>
  <xr:revisionPtr revIDLastSave="0" documentId="8_{D7758130-A0F6-4383-85AC-212E3BF175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sidential,Commercial Projects" sheetId="1" r:id="rId1"/>
    <sheet name="Sheet2" sheetId="2" r:id="rId2"/>
    <sheet name="Sheet1" sheetId="3" r:id="rId3"/>
    <sheet name="Sheet3" sheetId="4" r:id="rId4"/>
    <sheet name="Realty" sheetId="5" r:id="rId5"/>
    <sheet name="dataStudy" sheetId="6" r:id="rId6"/>
    <sheet name="IBREALEST" sheetId="7" r:id="rId7"/>
    <sheet name="OBEROIRLTY" sheetId="8" r:id="rId8"/>
    <sheet name="KOLTEPATIL" sheetId="9" r:id="rId9"/>
    <sheet name="ASHIANA" sheetId="10" r:id="rId10"/>
    <sheet name="AHLUCONT" sheetId="11" r:id="rId11"/>
    <sheet name="PRESTIGE" sheetId="12" r:id="rId12"/>
    <sheet name="BRIGADE" sheetId="13" r:id="rId13"/>
    <sheet name="CAPACITE" sheetId="14" r:id="rId14"/>
    <sheet name="SUNTECK" sheetId="15" r:id="rId15"/>
    <sheet name="DLF" sheetId="16" r:id="rId16"/>
    <sheet name="GEECEE" sheetId="17" r:id="rId17"/>
    <sheet name="HDIL" sheetId="18" r:id="rId18"/>
    <sheet name="PURVA" sheetId="19" r:id="rId19"/>
    <sheet name="PHOENIXLTD" sheetId="20" r:id="rId20"/>
    <sheet name="SOBHA" sheetId="21" r:id="rId21"/>
    <sheet name="UNITECH" sheetId="22" r:id="rId22"/>
    <sheet name="GODREJ_PROPERTIES" sheetId="23" r:id="rId23"/>
  </sheets>
  <definedNames>
    <definedName name="_xlnm._FilterDatabase" localSheetId="4" hidden="1">Realty!$A$2:$Z$46</definedName>
    <definedName name="_xlnm._FilterDatabase" localSheetId="0" hidden="1">'Residential,Commercial Projects'!$J$34:$K$46</definedName>
    <definedName name="_xlnm._FilterDatabase" localSheetId="2" hidden="1">Sheet1!$C$3:$E$160</definedName>
  </definedNames>
  <calcPr calcId="191029"/>
  <fileRecoveryPr repairLoad="1"/>
  <extLst>
    <ext uri="GoogleSheetsCustomDataVersion2">
      <go:sheetsCustomData xmlns:go="http://customooxmlschemas.google.com/" r:id="rId28" roundtripDataChecksum="7al/FZ6H4CTcMf7Ku5ahZWPydrLwbPrNpb4jL4R7xG8="/>
    </ext>
  </extLst>
</workbook>
</file>

<file path=xl/calcChain.xml><?xml version="1.0" encoding="utf-8"?>
<calcChain xmlns="http://schemas.openxmlformats.org/spreadsheetml/2006/main">
  <c r="N46" i="23" l="1"/>
  <c r="M46" i="23"/>
  <c r="G46" i="23"/>
  <c r="N45" i="23"/>
  <c r="M45" i="23"/>
  <c r="G45" i="23"/>
  <c r="M44" i="23"/>
  <c r="N44" i="23" s="1"/>
  <c r="G44" i="23"/>
  <c r="M43" i="23"/>
  <c r="N43" i="23" s="1"/>
  <c r="K43" i="23"/>
  <c r="J43" i="23"/>
  <c r="G43" i="23"/>
  <c r="M42" i="23"/>
  <c r="N42" i="23" s="1"/>
  <c r="K42" i="23"/>
  <c r="J42" i="23"/>
  <c r="G42" i="23"/>
  <c r="S41" i="23"/>
  <c r="R41" i="23"/>
  <c r="T39" i="23" s="1"/>
  <c r="N41" i="23"/>
  <c r="M41" i="23"/>
  <c r="K41" i="23"/>
  <c r="J41" i="23"/>
  <c r="G41" i="23"/>
  <c r="M40" i="23"/>
  <c r="N40" i="23" s="1"/>
  <c r="K40" i="23"/>
  <c r="J40" i="23"/>
  <c r="G40" i="23"/>
  <c r="U39" i="23"/>
  <c r="N39" i="23"/>
  <c r="M39" i="23"/>
  <c r="K39" i="23"/>
  <c r="J39" i="23"/>
  <c r="G39" i="23"/>
  <c r="U38" i="23"/>
  <c r="T38" i="23"/>
  <c r="N38" i="23"/>
  <c r="M38" i="23"/>
  <c r="K38" i="23"/>
  <c r="J38" i="23"/>
  <c r="G38" i="23"/>
  <c r="U37" i="23"/>
  <c r="T37" i="23"/>
  <c r="N37" i="23"/>
  <c r="M37" i="23"/>
  <c r="K37" i="23"/>
  <c r="J37" i="23"/>
  <c r="G37" i="23"/>
  <c r="U36" i="23"/>
  <c r="T36" i="23"/>
  <c r="N36" i="23"/>
  <c r="M36" i="23"/>
  <c r="K36" i="23"/>
  <c r="J36" i="23"/>
  <c r="G36" i="23"/>
  <c r="U35" i="23"/>
  <c r="T35" i="23"/>
  <c r="M35" i="23"/>
  <c r="N35" i="23" s="1"/>
  <c r="K35" i="23"/>
  <c r="J35" i="23"/>
  <c r="G35" i="23"/>
  <c r="U34" i="23"/>
  <c r="T34" i="23"/>
  <c r="M34" i="23"/>
  <c r="N34" i="23" s="1"/>
  <c r="K34" i="23"/>
  <c r="J34" i="23"/>
  <c r="G34" i="23"/>
  <c r="N33" i="23"/>
  <c r="M33" i="23"/>
  <c r="K33" i="23"/>
  <c r="J33" i="23"/>
  <c r="G33" i="23"/>
  <c r="N32" i="23"/>
  <c r="M32" i="23"/>
  <c r="K32" i="23"/>
  <c r="J32" i="23"/>
  <c r="G32" i="23"/>
  <c r="N31" i="23"/>
  <c r="M31" i="23"/>
  <c r="K31" i="23"/>
  <c r="J31" i="23"/>
  <c r="Z30" i="23"/>
  <c r="Y30" i="23"/>
  <c r="X30" i="23"/>
  <c r="S30" i="23"/>
  <c r="R30" i="23"/>
  <c r="T30" i="23" s="1"/>
  <c r="M30" i="23"/>
  <c r="N30" i="23" s="1"/>
  <c r="K30" i="23"/>
  <c r="J30" i="23"/>
  <c r="Y29" i="23"/>
  <c r="X29" i="23"/>
  <c r="Z29" i="23" s="1"/>
  <c r="T29" i="23"/>
  <c r="S29" i="23"/>
  <c r="R29" i="23"/>
  <c r="Z28" i="23"/>
  <c r="T28" i="23"/>
  <c r="Z27" i="23"/>
  <c r="T27" i="23"/>
  <c r="G27" i="23"/>
  <c r="E27" i="23"/>
  <c r="D27" i="23"/>
  <c r="Z26" i="23"/>
  <c r="T26" i="23"/>
  <c r="L26" i="23"/>
  <c r="L28" i="23" s="1"/>
  <c r="K26" i="23"/>
  <c r="J26" i="23"/>
  <c r="I26" i="23"/>
  <c r="H26" i="23"/>
  <c r="G26" i="23"/>
  <c r="F26" i="23"/>
  <c r="E26" i="23"/>
  <c r="D26" i="23"/>
  <c r="Z25" i="23"/>
  <c r="T25" i="23"/>
  <c r="L25" i="23"/>
  <c r="K25" i="23"/>
  <c r="J25" i="23"/>
  <c r="I25" i="23"/>
  <c r="H25" i="23"/>
  <c r="G25" i="23"/>
  <c r="G19" i="23" s="1"/>
  <c r="F25" i="23"/>
  <c r="E25" i="23"/>
  <c r="D25" i="23"/>
  <c r="Z24" i="23"/>
  <c r="T24" i="23"/>
  <c r="K24" i="23"/>
  <c r="J24" i="23"/>
  <c r="L24" i="23" s="1"/>
  <c r="I24" i="23"/>
  <c r="H24" i="23"/>
  <c r="G24" i="23"/>
  <c r="F24" i="23"/>
  <c r="E24" i="23"/>
  <c r="D24" i="23"/>
  <c r="D15" i="23"/>
  <c r="D14" i="23" s="1"/>
  <c r="N14" i="23"/>
  <c r="N10" i="23"/>
  <c r="K10" i="23"/>
  <c r="J10" i="23"/>
  <c r="I10" i="23"/>
  <c r="H10" i="23"/>
  <c r="G10" i="23"/>
  <c r="F10" i="23"/>
  <c r="E10" i="23"/>
  <c r="D10" i="23"/>
  <c r="C10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B10" i="23" s="1"/>
  <c r="D3" i="23"/>
  <c r="C3" i="23"/>
  <c r="O10" i="23" s="1"/>
  <c r="AL14" i="21"/>
  <c r="U16" i="21" s="1"/>
  <c r="X11" i="5" s="1"/>
  <c r="BC16" i="20"/>
  <c r="BC15" i="20"/>
  <c r="BC14" i="20"/>
  <c r="BC13" i="20"/>
  <c r="BC12" i="20"/>
  <c r="BC11" i="20"/>
  <c r="BC10" i="20"/>
  <c r="BC9" i="20"/>
  <c r="BC8" i="20"/>
  <c r="BC7" i="20"/>
  <c r="BC6" i="20"/>
  <c r="BC5" i="20"/>
  <c r="BC4" i="20"/>
  <c r="BC18" i="20" s="1"/>
  <c r="X6" i="5" s="1"/>
  <c r="BC3" i="20"/>
  <c r="AL13" i="19"/>
  <c r="U15" i="19" s="1"/>
  <c r="X15" i="5" s="1"/>
  <c r="S16" i="18"/>
  <c r="AH5" i="18"/>
  <c r="AJ14" i="17"/>
  <c r="AM17" i="16"/>
  <c r="S17" i="16" s="1"/>
  <c r="X3" i="5" s="1"/>
  <c r="C86" i="15"/>
  <c r="B86" i="15"/>
  <c r="D86" i="15" s="1"/>
  <c r="D85" i="15"/>
  <c r="D84" i="15"/>
  <c r="D83" i="15"/>
  <c r="D82" i="15"/>
  <c r="AU13" i="15"/>
  <c r="AU12" i="15"/>
  <c r="AU11" i="15"/>
  <c r="AU10" i="15"/>
  <c r="AU9" i="15"/>
  <c r="AU8" i="15"/>
  <c r="AU7" i="15"/>
  <c r="AU6" i="15"/>
  <c r="AU15" i="15" s="1"/>
  <c r="X9" i="5" s="1"/>
  <c r="D72" i="14"/>
  <c r="AJ14" i="13"/>
  <c r="S16" i="13" s="1"/>
  <c r="X10" i="5" s="1"/>
  <c r="R13" i="12"/>
  <c r="AG10" i="12"/>
  <c r="AT10" i="11"/>
  <c r="V16" i="11" s="1"/>
  <c r="X14" i="5" s="1"/>
  <c r="AT16" i="10"/>
  <c r="AT15" i="10"/>
  <c r="AT14" i="10"/>
  <c r="AT13" i="10"/>
  <c r="AT12" i="10"/>
  <c r="AT11" i="10"/>
  <c r="AT10" i="10"/>
  <c r="AT9" i="10"/>
  <c r="AT8" i="10"/>
  <c r="AT17" i="10" s="1"/>
  <c r="Z31" i="10" s="1"/>
  <c r="X20" i="5" s="1"/>
  <c r="X48" i="5" s="1"/>
  <c r="F71" i="9"/>
  <c r="G69" i="9"/>
  <c r="F69" i="9"/>
  <c r="D69" i="9" s="1"/>
  <c r="C69" i="9"/>
  <c r="B69" i="9"/>
  <c r="A69" i="9" s="1"/>
  <c r="G68" i="9"/>
  <c r="F68" i="9"/>
  <c r="D68" i="9" s="1"/>
  <c r="C68" i="9"/>
  <c r="B68" i="9"/>
  <c r="A68" i="9"/>
  <c r="D66" i="9"/>
  <c r="A66" i="9"/>
  <c r="D42" i="9"/>
  <c r="A42" i="9"/>
  <c r="D35" i="9"/>
  <c r="A35" i="9"/>
  <c r="D33" i="9"/>
  <c r="A33" i="9"/>
  <c r="D32" i="9"/>
  <c r="A32" i="9"/>
  <c r="AM15" i="9"/>
  <c r="W18" i="9" s="1"/>
  <c r="X13" i="5" s="1"/>
  <c r="F47" i="8"/>
  <c r="G45" i="8"/>
  <c r="F45" i="8"/>
  <c r="D45" i="8"/>
  <c r="C45" i="8"/>
  <c r="A45" i="8" s="1"/>
  <c r="B45" i="8"/>
  <c r="G44" i="8"/>
  <c r="F44" i="8"/>
  <c r="C44" i="8"/>
  <c r="B44" i="8"/>
  <c r="A44" i="8"/>
  <c r="D43" i="8"/>
  <c r="A43" i="8"/>
  <c r="D19" i="8"/>
  <c r="A19" i="8"/>
  <c r="W18" i="8"/>
  <c r="V18" i="8"/>
  <c r="X18" i="8" s="1"/>
  <c r="X17" i="8"/>
  <c r="X16" i="8"/>
  <c r="X15" i="8"/>
  <c r="X14" i="8"/>
  <c r="V12" i="8"/>
  <c r="AJ11" i="8"/>
  <c r="D9" i="8"/>
  <c r="A9" i="8"/>
  <c r="D8" i="8"/>
  <c r="A8" i="8"/>
  <c r="D7" i="8"/>
  <c r="A7" i="8"/>
  <c r="D46" i="7"/>
  <c r="C46" i="7"/>
  <c r="A46" i="7" s="1"/>
  <c r="A45" i="7"/>
  <c r="D43" i="7"/>
  <c r="C43" i="7"/>
  <c r="A43" i="7" s="1"/>
  <c r="A42" i="7"/>
  <c r="A17" i="7"/>
  <c r="A10" i="7"/>
  <c r="AO8" i="7"/>
  <c r="X15" i="7" s="1"/>
  <c r="X12" i="5" s="1"/>
  <c r="A8" i="7"/>
  <c r="A7" i="7"/>
  <c r="G48" i="5"/>
  <c r="F48" i="5"/>
  <c r="C46" i="5"/>
  <c r="A46" i="5"/>
  <c r="C45" i="5"/>
  <c r="A45" i="5"/>
  <c r="C44" i="5"/>
  <c r="A44" i="5"/>
  <c r="U43" i="5"/>
  <c r="T43" i="5"/>
  <c r="S43" i="5"/>
  <c r="O43" i="5"/>
  <c r="N43" i="5"/>
  <c r="C43" i="5"/>
  <c r="A43" i="5"/>
  <c r="C42" i="5"/>
  <c r="A42" i="5"/>
  <c r="C41" i="5"/>
  <c r="A41" i="5"/>
  <c r="C40" i="5"/>
  <c r="A40" i="5"/>
  <c r="C39" i="5"/>
  <c r="A39" i="5"/>
  <c r="C38" i="5"/>
  <c r="A38" i="5"/>
  <c r="C37" i="5"/>
  <c r="A37" i="5"/>
  <c r="X36" i="5"/>
  <c r="U36" i="5"/>
  <c r="T36" i="5"/>
  <c r="S36" i="5"/>
  <c r="O36" i="5"/>
  <c r="N36" i="5"/>
  <c r="M36" i="5"/>
  <c r="L36" i="5"/>
  <c r="K36" i="5"/>
  <c r="J36" i="5"/>
  <c r="C36" i="5"/>
  <c r="A36" i="5"/>
  <c r="C35" i="5"/>
  <c r="A35" i="5"/>
  <c r="U34" i="5"/>
  <c r="T34" i="5"/>
  <c r="S34" i="5"/>
  <c r="O34" i="5"/>
  <c r="N34" i="5"/>
  <c r="C34" i="5"/>
  <c r="A34" i="5"/>
  <c r="C33" i="5"/>
  <c r="A33" i="5"/>
  <c r="X32" i="5"/>
  <c r="U32" i="5"/>
  <c r="T32" i="5"/>
  <c r="S32" i="5"/>
  <c r="O32" i="5"/>
  <c r="N32" i="5"/>
  <c r="M32" i="5"/>
  <c r="L32" i="5"/>
  <c r="K32" i="5"/>
  <c r="J32" i="5"/>
  <c r="C32" i="5"/>
  <c r="A32" i="5"/>
  <c r="U31" i="5"/>
  <c r="T31" i="5"/>
  <c r="S31" i="5"/>
  <c r="N31" i="5"/>
  <c r="C31" i="5"/>
  <c r="A31" i="5"/>
  <c r="C30" i="5"/>
  <c r="Z42" i="5" s="1"/>
  <c r="A30" i="5"/>
  <c r="C29" i="5"/>
  <c r="A29" i="5"/>
  <c r="U28" i="5"/>
  <c r="T28" i="5"/>
  <c r="S28" i="5"/>
  <c r="Q28" i="5"/>
  <c r="N28" i="5"/>
  <c r="C28" i="5"/>
  <c r="R28" i="5" s="1"/>
  <c r="A28" i="5"/>
  <c r="C27" i="5"/>
  <c r="A27" i="5"/>
  <c r="C26" i="5"/>
  <c r="A26" i="5"/>
  <c r="C25" i="5"/>
  <c r="A25" i="5"/>
  <c r="C24" i="5"/>
  <c r="A24" i="5"/>
  <c r="C23" i="5"/>
  <c r="A23" i="5"/>
  <c r="Y22" i="5"/>
  <c r="U22" i="5"/>
  <c r="T22" i="5"/>
  <c r="S22" i="5"/>
  <c r="O22" i="5"/>
  <c r="Q22" i="5" s="1"/>
  <c r="N22" i="5"/>
  <c r="C22" i="5"/>
  <c r="A22" i="5"/>
  <c r="U21" i="5"/>
  <c r="T21" i="5"/>
  <c r="S21" i="5"/>
  <c r="Q21" i="5"/>
  <c r="Z44" i="5" s="1"/>
  <c r="N21" i="5"/>
  <c r="C21" i="5"/>
  <c r="R21" i="5" s="1"/>
  <c r="A21" i="5"/>
  <c r="Y20" i="5"/>
  <c r="U20" i="5"/>
  <c r="T20" i="5"/>
  <c r="S20" i="5"/>
  <c r="O20" i="5"/>
  <c r="Q20" i="5" s="1"/>
  <c r="N20" i="5"/>
  <c r="M20" i="5"/>
  <c r="M48" i="5" s="1"/>
  <c r="L20" i="5"/>
  <c r="L48" i="5" s="1"/>
  <c r="K20" i="5"/>
  <c r="K48" i="5" s="1"/>
  <c r="J20" i="5"/>
  <c r="J48" i="5" s="1"/>
  <c r="C20" i="5"/>
  <c r="A20" i="5"/>
  <c r="Q19" i="5"/>
  <c r="C19" i="5"/>
  <c r="A19" i="5"/>
  <c r="Y18" i="5"/>
  <c r="U18" i="5"/>
  <c r="U48" i="5" s="1"/>
  <c r="S18" i="5"/>
  <c r="S48" i="5" s="1"/>
  <c r="Q18" i="5"/>
  <c r="O18" i="5"/>
  <c r="O48" i="5" s="1"/>
  <c r="N18" i="5"/>
  <c r="N48" i="5" s="1"/>
  <c r="C18" i="5"/>
  <c r="R18" i="5" s="1"/>
  <c r="A18" i="5"/>
  <c r="Y17" i="5"/>
  <c r="U17" i="5"/>
  <c r="T17" i="5"/>
  <c r="S17" i="5"/>
  <c r="Q17" i="5"/>
  <c r="O17" i="5"/>
  <c r="N17" i="5"/>
  <c r="M17" i="5"/>
  <c r="K17" i="5"/>
  <c r="C17" i="5"/>
  <c r="Z17" i="5" s="1"/>
  <c r="A17" i="5"/>
  <c r="Y16" i="5"/>
  <c r="U16" i="5"/>
  <c r="T16" i="5"/>
  <c r="S16" i="5"/>
  <c r="O16" i="5"/>
  <c r="Q16" i="5" s="1"/>
  <c r="N16" i="5"/>
  <c r="M16" i="5"/>
  <c r="K16" i="5"/>
  <c r="C16" i="5"/>
  <c r="W20" i="5" s="1"/>
  <c r="A16" i="5"/>
  <c r="Y15" i="5"/>
  <c r="U15" i="5"/>
  <c r="T15" i="5"/>
  <c r="S15" i="5"/>
  <c r="Q15" i="5"/>
  <c r="O15" i="5"/>
  <c r="N15" i="5"/>
  <c r="M15" i="5"/>
  <c r="L15" i="5"/>
  <c r="K15" i="5"/>
  <c r="J15" i="5"/>
  <c r="C15" i="5"/>
  <c r="W15" i="5" s="1"/>
  <c r="A15" i="5"/>
  <c r="Y14" i="5"/>
  <c r="U14" i="5"/>
  <c r="T14" i="5"/>
  <c r="S14" i="5"/>
  <c r="Q14" i="5"/>
  <c r="P14" i="5"/>
  <c r="Q43" i="5" s="1"/>
  <c r="R43" i="5" s="1"/>
  <c r="O14" i="5"/>
  <c r="N14" i="5"/>
  <c r="M14" i="5"/>
  <c r="L14" i="5"/>
  <c r="K14" i="5"/>
  <c r="J14" i="5"/>
  <c r="C14" i="5"/>
  <c r="R14" i="5" s="1"/>
  <c r="A14" i="5"/>
  <c r="Y13" i="5"/>
  <c r="U13" i="5"/>
  <c r="T13" i="5"/>
  <c r="S13" i="5"/>
  <c r="Q13" i="5"/>
  <c r="P13" i="5"/>
  <c r="O13" i="5"/>
  <c r="N13" i="5"/>
  <c r="M13" i="5"/>
  <c r="L13" i="5"/>
  <c r="K13" i="5"/>
  <c r="J13" i="5"/>
  <c r="G13" i="5"/>
  <c r="T18" i="5" s="1"/>
  <c r="T48" i="5" s="1"/>
  <c r="F13" i="5"/>
  <c r="C13" i="5"/>
  <c r="W18" i="5" s="1"/>
  <c r="A13" i="5"/>
  <c r="U12" i="5"/>
  <c r="T12" i="5"/>
  <c r="S12" i="5"/>
  <c r="O12" i="5"/>
  <c r="Q12" i="5" s="1"/>
  <c r="N12" i="5"/>
  <c r="M12" i="5"/>
  <c r="L12" i="5"/>
  <c r="K12" i="5"/>
  <c r="J12" i="5"/>
  <c r="G12" i="5"/>
  <c r="F12" i="5"/>
  <c r="C12" i="5"/>
  <c r="W12" i="5" s="1"/>
  <c r="A12" i="5"/>
  <c r="Y11" i="5"/>
  <c r="U11" i="5"/>
  <c r="T11" i="5"/>
  <c r="S11" i="5"/>
  <c r="Q11" i="5"/>
  <c r="O11" i="5"/>
  <c r="N11" i="5"/>
  <c r="M11" i="5"/>
  <c r="L11" i="5"/>
  <c r="K11" i="5"/>
  <c r="J11" i="5"/>
  <c r="C11" i="5"/>
  <c r="W28" i="5" s="1"/>
  <c r="A11" i="5"/>
  <c r="Y10" i="5"/>
  <c r="U10" i="5"/>
  <c r="T10" i="5"/>
  <c r="S10" i="5"/>
  <c r="O10" i="5"/>
  <c r="Q10" i="5" s="1"/>
  <c r="N10" i="5"/>
  <c r="M10" i="5"/>
  <c r="L10" i="5"/>
  <c r="K10" i="5"/>
  <c r="J10" i="5"/>
  <c r="C10" i="5"/>
  <c r="W16" i="5" s="1"/>
  <c r="A10" i="5"/>
  <c r="U9" i="5"/>
  <c r="T9" i="5"/>
  <c r="S9" i="5"/>
  <c r="O9" i="5"/>
  <c r="Q9" i="5" s="1"/>
  <c r="N9" i="5"/>
  <c r="M9" i="5"/>
  <c r="K9" i="5"/>
  <c r="C9" i="5"/>
  <c r="V9" i="5" s="1"/>
  <c r="A9" i="5"/>
  <c r="Y8" i="5"/>
  <c r="U8" i="5"/>
  <c r="T8" i="5"/>
  <c r="S8" i="5"/>
  <c r="O8" i="5"/>
  <c r="Q31" i="5" s="1"/>
  <c r="N8" i="5"/>
  <c r="M8" i="5"/>
  <c r="K8" i="5"/>
  <c r="C8" i="5"/>
  <c r="A8" i="5"/>
  <c r="Y7" i="5"/>
  <c r="X7" i="5"/>
  <c r="U7" i="5"/>
  <c r="T7" i="5"/>
  <c r="S7" i="5"/>
  <c r="O7" i="5"/>
  <c r="Q7" i="5" s="1"/>
  <c r="N7" i="5"/>
  <c r="M7" i="5"/>
  <c r="K7" i="5"/>
  <c r="C7" i="5"/>
  <c r="W34" i="5" s="1"/>
  <c r="A7" i="5"/>
  <c r="Y6" i="5"/>
  <c r="U6" i="5"/>
  <c r="T6" i="5"/>
  <c r="S6" i="5"/>
  <c r="O6" i="5"/>
  <c r="Q6" i="5" s="1"/>
  <c r="N6" i="5"/>
  <c r="M6" i="5"/>
  <c r="L6" i="5"/>
  <c r="K6" i="5"/>
  <c r="J6" i="5"/>
  <c r="C6" i="5"/>
  <c r="V6" i="5" s="1"/>
  <c r="A6" i="5"/>
  <c r="Y5" i="5"/>
  <c r="X5" i="5"/>
  <c r="U5" i="5"/>
  <c r="T5" i="5"/>
  <c r="S5" i="5"/>
  <c r="P5" i="5"/>
  <c r="Y9" i="5" s="1"/>
  <c r="O5" i="5"/>
  <c r="N5" i="5"/>
  <c r="N1" i="5" s="1"/>
  <c r="M5" i="5"/>
  <c r="K5" i="5"/>
  <c r="G5" i="5"/>
  <c r="G1" i="5" s="1"/>
  <c r="E1" i="5" s="1"/>
  <c r="F5" i="5"/>
  <c r="C5" i="5"/>
  <c r="W9" i="5" s="1"/>
  <c r="A5" i="5"/>
  <c r="U4" i="5"/>
  <c r="T4" i="5"/>
  <c r="S4" i="5"/>
  <c r="O4" i="5"/>
  <c r="Q4" i="5" s="1"/>
  <c r="N4" i="5"/>
  <c r="M4" i="5"/>
  <c r="K4" i="5"/>
  <c r="C4" i="5"/>
  <c r="W4" i="5" s="1"/>
  <c r="A4" i="5"/>
  <c r="Y3" i="5"/>
  <c r="Y1" i="5" s="1"/>
  <c r="U3" i="5"/>
  <c r="T3" i="5"/>
  <c r="S3" i="5"/>
  <c r="S1" i="5" s="1"/>
  <c r="O3" i="5"/>
  <c r="Q3" i="5" s="1"/>
  <c r="N3" i="5"/>
  <c r="M3" i="5"/>
  <c r="L3" i="5"/>
  <c r="K3" i="5"/>
  <c r="J3" i="5"/>
  <c r="C3" i="5"/>
  <c r="W3" i="5" s="1"/>
  <c r="A3" i="5"/>
  <c r="U1" i="5"/>
  <c r="T1" i="5"/>
  <c r="O1" i="5"/>
  <c r="M1" i="5"/>
  <c r="L1" i="5"/>
  <c r="K1" i="5"/>
  <c r="J1" i="5"/>
  <c r="F1" i="5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2" i="3"/>
  <c r="E11" i="3"/>
  <c r="E10" i="3"/>
  <c r="E9" i="3"/>
  <c r="E8" i="3"/>
  <c r="E7" i="3"/>
  <c r="E6" i="3"/>
  <c r="E5" i="3"/>
  <c r="E4" i="3"/>
  <c r="AB309" i="1"/>
  <c r="Y309" i="1"/>
  <c r="X309" i="1"/>
  <c r="W309" i="1"/>
  <c r="V309" i="1"/>
  <c r="AA309" i="1" s="1"/>
  <c r="U309" i="1"/>
  <c r="S309" i="1"/>
  <c r="R309" i="1"/>
  <c r="AE309" i="1" s="1"/>
  <c r="Q309" i="1"/>
  <c r="N309" i="1"/>
  <c r="M309" i="1"/>
  <c r="L309" i="1"/>
  <c r="AG309" i="1" s="1"/>
  <c r="K309" i="1"/>
  <c r="J309" i="1"/>
  <c r="AH309" i="1" s="1"/>
  <c r="I309" i="1"/>
  <c r="H309" i="1"/>
  <c r="G309" i="1"/>
  <c r="AI309" i="1" s="1"/>
  <c r="F309" i="1"/>
  <c r="E309" i="1"/>
  <c r="AF309" i="1" s="1"/>
  <c r="D306" i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D278" i="1"/>
  <c r="C278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9" i="1"/>
  <c r="C269" i="1"/>
  <c r="D268" i="1"/>
  <c r="C268" i="1"/>
  <c r="D267" i="1"/>
  <c r="C267" i="1"/>
  <c r="D266" i="1"/>
  <c r="C266" i="1"/>
  <c r="D265" i="1"/>
  <c r="C265" i="1"/>
  <c r="D264" i="1"/>
  <c r="C264" i="1"/>
  <c r="D263" i="1"/>
  <c r="C263" i="1"/>
  <c r="D262" i="1"/>
  <c r="C262" i="1"/>
  <c r="D261" i="1"/>
  <c r="C261" i="1"/>
  <c r="D260" i="1"/>
  <c r="C260" i="1"/>
  <c r="D259" i="1"/>
  <c r="C259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T187" i="1"/>
  <c r="T309" i="1" s="1"/>
  <c r="Z309" i="1" s="1"/>
  <c r="D187" i="1"/>
  <c r="C187" i="1"/>
  <c r="D186" i="1"/>
  <c r="C186" i="1"/>
  <c r="D185" i="1"/>
  <c r="C185" i="1"/>
  <c r="D184" i="1"/>
  <c r="C184" i="1"/>
  <c r="AO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O183" i="1"/>
  <c r="AN183" i="1" s="1"/>
  <c r="D183" i="1"/>
  <c r="C183" i="1"/>
  <c r="AO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O182" i="1"/>
  <c r="D182" i="1"/>
  <c r="C182" i="1"/>
  <c r="AP182" i="1" s="1"/>
  <c r="AO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O181" i="1"/>
  <c r="D181" i="1"/>
  <c r="C181" i="1"/>
  <c r="AO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D180" i="1"/>
  <c r="C180" i="1"/>
  <c r="AM180" i="1" s="1"/>
  <c r="AO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O179" i="1"/>
  <c r="D179" i="1"/>
  <c r="C179" i="1"/>
  <c r="AO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O178" i="1"/>
  <c r="D178" i="1"/>
  <c r="C178" i="1"/>
  <c r="AO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O177" i="1"/>
  <c r="D177" i="1"/>
  <c r="C177" i="1"/>
  <c r="AP177" i="1" s="1"/>
  <c r="AO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O176" i="1"/>
  <c r="D176" i="1"/>
  <c r="C176" i="1"/>
  <c r="AO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O175" i="1"/>
  <c r="D175" i="1"/>
  <c r="C175" i="1"/>
  <c r="AO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O174" i="1"/>
  <c r="AN174" i="1" s="1"/>
  <c r="D174" i="1"/>
  <c r="C174" i="1"/>
  <c r="AO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O173" i="1"/>
  <c r="D173" i="1"/>
  <c r="C173" i="1"/>
  <c r="AM173" i="1" s="1"/>
  <c r="AO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O172" i="1"/>
  <c r="D172" i="1"/>
  <c r="C172" i="1"/>
  <c r="K56" i="1"/>
  <c r="G56" i="1"/>
  <c r="C56" i="1"/>
  <c r="W5" i="5" l="1"/>
  <c r="W11" i="5"/>
  <c r="AN182" i="1"/>
  <c r="W36" i="5"/>
  <c r="AN178" i="1"/>
  <c r="W8" i="5"/>
  <c r="Z11" i="5"/>
  <c r="AP173" i="1"/>
  <c r="AN179" i="1"/>
  <c r="AN173" i="1"/>
  <c r="AN181" i="1"/>
  <c r="Z16" i="5"/>
  <c r="R31" i="5"/>
  <c r="AN175" i="1"/>
  <c r="AN176" i="1"/>
  <c r="V3" i="5"/>
  <c r="V1" i="5" s="1"/>
  <c r="V10" i="5"/>
  <c r="O309" i="1"/>
  <c r="AN309" i="1" s="1"/>
  <c r="AM178" i="1"/>
  <c r="AJ309" i="1"/>
  <c r="A1" i="5"/>
  <c r="W10" i="5"/>
  <c r="Z14" i="5"/>
  <c r="AN177" i="1"/>
  <c r="AM179" i="1"/>
  <c r="AP179" i="1"/>
  <c r="AN180" i="1"/>
  <c r="AO309" i="1"/>
  <c r="AK309" i="1"/>
  <c r="W1" i="5"/>
  <c r="W6" i="5"/>
  <c r="Z13" i="5"/>
  <c r="E2" i="3"/>
  <c r="F2" i="3" s="1"/>
  <c r="AM174" i="1"/>
  <c r="AM181" i="1"/>
  <c r="AP181" i="1"/>
  <c r="Z10" i="5"/>
  <c r="AP174" i="1"/>
  <c r="W7" i="5"/>
  <c r="V14" i="5"/>
  <c r="R17" i="5"/>
  <c r="AM175" i="1"/>
  <c r="AM183" i="1"/>
  <c r="Z6" i="5"/>
  <c r="V13" i="5"/>
  <c r="AP172" i="1"/>
  <c r="AM172" i="1"/>
  <c r="AM176" i="1"/>
  <c r="AP176" i="1"/>
  <c r="V11" i="5"/>
  <c r="Z22" i="5"/>
  <c r="W22" i="5"/>
  <c r="Z21" i="5"/>
  <c r="Z3" i="5"/>
  <c r="Z36" i="5"/>
  <c r="Z9" i="5"/>
  <c r="R9" i="5"/>
  <c r="Z34" i="5"/>
  <c r="R7" i="5"/>
  <c r="Z7" i="5"/>
  <c r="R22" i="5"/>
  <c r="D13" i="23"/>
  <c r="E13" i="23" s="1"/>
  <c r="E14" i="23"/>
  <c r="Z4" i="5"/>
  <c r="R4" i="5"/>
  <c r="Z12" i="5"/>
  <c r="R12" i="5"/>
  <c r="R34" i="5"/>
  <c r="P180" i="1"/>
  <c r="R32" i="5"/>
  <c r="R20" i="5"/>
  <c r="R48" i="5" s="1"/>
  <c r="AP183" i="1"/>
  <c r="D309" i="1"/>
  <c r="P173" i="1" s="1"/>
  <c r="V20" i="5"/>
  <c r="V32" i="5"/>
  <c r="D4" i="23"/>
  <c r="D5" i="23" s="1"/>
  <c r="E15" i="23"/>
  <c r="AC309" i="1"/>
  <c r="Q5" i="5"/>
  <c r="Z5" i="5" s="1"/>
  <c r="Q8" i="5"/>
  <c r="R8" i="5" s="1"/>
  <c r="W13" i="5"/>
  <c r="R15" i="5"/>
  <c r="Z15" i="5"/>
  <c r="R16" i="5"/>
  <c r="W31" i="5"/>
  <c r="W32" i="5"/>
  <c r="Q34" i="5"/>
  <c r="C5" i="23"/>
  <c r="AM177" i="1"/>
  <c r="AM182" i="1"/>
  <c r="AP175" i="1"/>
  <c r="AP180" i="1"/>
  <c r="AD309" i="1"/>
  <c r="AL309" i="1"/>
  <c r="R3" i="5"/>
  <c r="R5" i="5"/>
  <c r="R10" i="5"/>
  <c r="Q36" i="5"/>
  <c r="R36" i="5" s="1"/>
  <c r="L10" i="23"/>
  <c r="AN172" i="1"/>
  <c r="AP178" i="1"/>
  <c r="R6" i="5"/>
  <c r="Q32" i="5"/>
  <c r="M10" i="23"/>
  <c r="T41" i="23"/>
  <c r="R11" i="5"/>
  <c r="V12" i="5"/>
  <c r="R13" i="5"/>
  <c r="W14" i="5"/>
  <c r="W21" i="5"/>
  <c r="U41" i="23"/>
  <c r="V15" i="5"/>
  <c r="P182" i="1" l="1"/>
  <c r="P177" i="1"/>
  <c r="W48" i="5"/>
  <c r="AP309" i="1"/>
  <c r="AM309" i="1"/>
  <c r="R1" i="5"/>
  <c r="E20" i="23"/>
  <c r="F15" i="23"/>
  <c r="P178" i="1"/>
  <c r="Z1" i="5"/>
  <c r="P174" i="1"/>
  <c r="V48" i="5"/>
  <c r="Z31" i="5"/>
  <c r="Z8" i="5"/>
  <c r="P183" i="1"/>
  <c r="P181" i="1"/>
  <c r="P176" i="1"/>
  <c r="P179" i="1"/>
  <c r="P175" i="1"/>
  <c r="P172" i="1"/>
  <c r="P309" i="1" s="1"/>
  <c r="F20" i="23" l="1"/>
  <c r="F14" i="23"/>
  <c r="G15" i="23"/>
  <c r="G14" i="23" l="1"/>
  <c r="F13" i="23"/>
  <c r="G13" i="23" s="1"/>
</calcChain>
</file>

<file path=xl/sharedStrings.xml><?xml version="1.0" encoding="utf-8"?>
<sst xmlns="http://schemas.openxmlformats.org/spreadsheetml/2006/main" count="4862" uniqueCount="720">
  <si>
    <t>Residential, Commercial Projects</t>
  </si>
  <si>
    <t>Consolidation leading to higher share of branded players</t>
  </si>
  <si>
    <t>Changing Affordability Index</t>
  </si>
  <si>
    <t>PAN INDIA Y-o-Y SUPPLY &amp; ABSORPTION (No. of Units)</t>
  </si>
  <si>
    <t>INDUSTRY</t>
  </si>
  <si>
    <t>Security Name</t>
  </si>
  <si>
    <t>MARKETCAP</t>
  </si>
  <si>
    <t>SALES_23</t>
  </si>
  <si>
    <t>PROFIT_23</t>
  </si>
  <si>
    <t>DLF</t>
  </si>
  <si>
    <t>LODHA</t>
  </si>
  <si>
    <t>PRESTIGE</t>
  </si>
  <si>
    <t>OBEROIRLTY</t>
  </si>
  <si>
    <t>GODREJPROP</t>
  </si>
  <si>
    <t>PHOENIXLTD</t>
  </si>
  <si>
    <t>BRIGADE</t>
  </si>
  <si>
    <t>SOBHA</t>
  </si>
  <si>
    <t>SWANENERGY</t>
  </si>
  <si>
    <t>ANANTRAJ</t>
  </si>
  <si>
    <t>SIGNATURE</t>
  </si>
  <si>
    <t>DBREALTY</t>
  </si>
  <si>
    <t>NATIONSTD</t>
  </si>
  <si>
    <t>MAHLIFE</t>
  </si>
  <si>
    <t>RUSTOMJEE</t>
  </si>
  <si>
    <t>GANESHHOUC</t>
  </si>
  <si>
    <t>IBREALEST</t>
  </si>
  <si>
    <t>SUNTECK</t>
  </si>
  <si>
    <t>HEMIPROP</t>
  </si>
  <si>
    <t>OTHER_116</t>
  </si>
  <si>
    <t>GROWTH</t>
  </si>
  <si>
    <t>SALES_5Y_GR</t>
  </si>
  <si>
    <t>CY_SALES GR</t>
  </si>
  <si>
    <t>SOLVENCY</t>
  </si>
  <si>
    <t>DEBT2EQUITY</t>
  </si>
  <si>
    <t>ICR</t>
  </si>
  <si>
    <t>DEBTRATIO</t>
  </si>
  <si>
    <t>LIQUIDITY</t>
  </si>
  <si>
    <t>MARGIN %</t>
  </si>
  <si>
    <t>CY_MARGIN</t>
  </si>
  <si>
    <t>TR.DAYS</t>
  </si>
  <si>
    <t>CUR. RATIO</t>
  </si>
  <si>
    <t>Security Code</t>
  </si>
  <si>
    <t>CMP</t>
  </si>
  <si>
    <t>market cap</t>
  </si>
  <si>
    <t>CUR ASSET</t>
  </si>
  <si>
    <t>CUR LIABILITY</t>
  </si>
  <si>
    <t>TOT. ASSET</t>
  </si>
  <si>
    <t>TOT. LIABILITY</t>
  </si>
  <si>
    <t>EQUITY</t>
  </si>
  <si>
    <t>TOT. EQUITY</t>
  </si>
  <si>
    <t>BORROWING</t>
  </si>
  <si>
    <t xml:space="preserve">TRADE REC. </t>
  </si>
  <si>
    <t>FV</t>
  </si>
  <si>
    <t>NPA in % (For banks only)</t>
  </si>
  <si>
    <t>TRAIL_EPS</t>
  </si>
  <si>
    <t>Companies weightage</t>
  </si>
  <si>
    <t>SALES_18</t>
  </si>
  <si>
    <t>9M_FY24_SALES</t>
  </si>
  <si>
    <t>9M_FY23_SALES</t>
  </si>
  <si>
    <t>9M_FY24_PROFIT</t>
  </si>
  <si>
    <t>9M_FY23_PROFIT</t>
  </si>
  <si>
    <t>FINANCE</t>
  </si>
  <si>
    <t>EXPENSE</t>
  </si>
  <si>
    <t>CY_PRPFIT_GR</t>
  </si>
  <si>
    <t>ROE</t>
  </si>
  <si>
    <t>ROPE</t>
  </si>
  <si>
    <t>ROA</t>
  </si>
  <si>
    <t>TRAIL_PE</t>
  </si>
  <si>
    <t>YIELD</t>
  </si>
  <si>
    <t>BOOKVALUE</t>
  </si>
  <si>
    <t>PBV</t>
  </si>
  <si>
    <t>*Gain on Divestment of subsidiaries</t>
  </si>
  <si>
    <t>*Unwinding of Financial Assets</t>
  </si>
  <si>
    <t>TOTAL</t>
  </si>
  <si>
    <t>This amount is not included in Sales</t>
  </si>
  <si>
    <t>PURVA</t>
  </si>
  <si>
    <t>TARC</t>
  </si>
  <si>
    <t>MAXESTATES</t>
  </si>
  <si>
    <t>KOLTEPATIL</t>
  </si>
  <si>
    <t>ASHIANA</t>
  </si>
  <si>
    <t>ARVSMART</t>
  </si>
  <si>
    <t>AJMERA</t>
  </si>
  <si>
    <t>UNITECH</t>
  </si>
  <si>
    <t>MARATHON</t>
  </si>
  <si>
    <t>ALEMBICLTD</t>
  </si>
  <si>
    <t>SHRIRAMPPS</t>
  </si>
  <si>
    <t>OMAXE</t>
  </si>
  <si>
    <t>PENINLAND</t>
  </si>
  <si>
    <t>SBGLP</t>
  </si>
  <si>
    <t>ELPROINTL</t>
  </si>
  <si>
    <t>ASL</t>
  </si>
  <si>
    <t>SURAJEST</t>
  </si>
  <si>
    <t>AGIIL</t>
  </si>
  <si>
    <t>HAMPTON</t>
  </si>
  <si>
    <t>PVP</t>
  </si>
  <si>
    <t>HUBTOWN</t>
  </si>
  <si>
    <t>BLAL</t>
  </si>
  <si>
    <t>ELDEHSG</t>
  </si>
  <si>
    <t>HAZOOR</t>
  </si>
  <si>
    <t>GEECEE</t>
  </si>
  <si>
    <t>PARSVNATH</t>
  </si>
  <si>
    <t>PROZONER</t>
  </si>
  <si>
    <t>NILA</t>
  </si>
  <si>
    <t>MODIS</t>
  </si>
  <si>
    <t>CINELINE</t>
  </si>
  <si>
    <t>VIPUL</t>
  </si>
  <si>
    <t>EMAMIREAL</t>
  </si>
  <si>
    <t>SISL</t>
  </si>
  <si>
    <t>SAMOR</t>
  </si>
  <si>
    <t>ALPINEHOU</t>
  </si>
  <si>
    <t>VGIL</t>
  </si>
  <si>
    <t>RVHL</t>
  </si>
  <si>
    <t>RDBRIL</t>
  </si>
  <si>
    <t>GENCON</t>
  </si>
  <si>
    <t>NILASPACES</t>
  </si>
  <si>
    <t>SUPREME</t>
  </si>
  <si>
    <t>SVGLOBAL</t>
  </si>
  <si>
    <t>KBCGLOBAL</t>
  </si>
  <si>
    <t>KESAR</t>
  </si>
  <si>
    <t>COROENGG</t>
  </si>
  <si>
    <t>PRAENG</t>
  </si>
  <si>
    <t>RATNABHUMI</t>
  </si>
  <si>
    <t>MANAS</t>
  </si>
  <si>
    <t>RADHEDE</t>
  </si>
  <si>
    <t>BRRL</t>
  </si>
  <si>
    <t>SHERVANI</t>
  </si>
  <si>
    <t>THAKDEV</t>
  </si>
  <si>
    <t>AMJLAND</t>
  </si>
  <si>
    <t>MRO-TEK</t>
  </si>
  <si>
    <t>HBESD</t>
  </si>
  <si>
    <t>LPDC</t>
  </si>
  <si>
    <t>ATALREAL</t>
  </si>
  <si>
    <t>ANSALBU</t>
  </si>
  <si>
    <t>VIRYA</t>
  </si>
  <si>
    <t>PRERINFRA</t>
  </si>
  <si>
    <t>SHRISTI</t>
  </si>
  <si>
    <t>RAJABAH</t>
  </si>
  <si>
    <t>SHRIKRISH</t>
  </si>
  <si>
    <t>ARIHANT</t>
  </si>
  <si>
    <t>TRESCON</t>
  </si>
  <si>
    <t>MAXHEIGHTS</t>
  </si>
  <si>
    <t>ANSALHSG</t>
  </si>
  <si>
    <t>BSELALGO</t>
  </si>
  <si>
    <t>KRISHNA</t>
  </si>
  <si>
    <t>SAMINDUS</t>
  </si>
  <si>
    <t>SKIFL</t>
  </si>
  <si>
    <t>GOLDENTOBC</t>
  </si>
  <si>
    <t>VIVIDM</t>
  </si>
  <si>
    <t>RAINBOWF</t>
  </si>
  <si>
    <t>PODDAR</t>
  </si>
  <si>
    <t>MANJEERA</t>
  </si>
  <si>
    <t>SKYLMILAR</t>
  </si>
  <si>
    <t>PRIMEPRO</t>
  </si>
  <si>
    <t>JAMSHRI</t>
  </si>
  <si>
    <t>SATCH</t>
  </si>
  <si>
    <t>TIRSARJ</t>
  </si>
  <si>
    <t>MODIPON</t>
  </si>
  <si>
    <t>VICTMILL</t>
  </si>
  <si>
    <t>TECHIN</t>
  </si>
  <si>
    <t>LUHARUKA</t>
  </si>
  <si>
    <t>SIMPLXREA</t>
  </si>
  <si>
    <t>COUNCODOS</t>
  </si>
  <si>
    <t>NIMBSPROJ</t>
  </si>
  <si>
    <t>ADHBHUTIN</t>
  </si>
  <si>
    <t>NARPROP</t>
  </si>
  <si>
    <t>GARNET</t>
  </si>
  <si>
    <t>BHANDERI</t>
  </si>
  <si>
    <t>STLSTRINF</t>
  </si>
  <si>
    <t>MPDL</t>
  </si>
  <si>
    <t>CROISSANCE</t>
  </si>
  <si>
    <t>IITLPROJ</t>
  </si>
  <si>
    <t>RODIUM</t>
  </si>
  <si>
    <t>MARBU</t>
  </si>
  <si>
    <t>PRIMEURB</t>
  </si>
  <si>
    <t>SSPDL</t>
  </si>
  <si>
    <t>RAGHUTOB</t>
  </si>
  <si>
    <t>KAMANWALA</t>
  </si>
  <si>
    <t>CITADEL</t>
  </si>
  <si>
    <t>ETT</t>
  </si>
  <si>
    <t>SVS</t>
  </si>
  <si>
    <t>KRETTOSYS</t>
  </si>
  <si>
    <t>SATRAPROP</t>
  </si>
  <si>
    <t>ATHCON</t>
  </si>
  <si>
    <t>UTLINDS</t>
  </si>
  <si>
    <t>NEOINFRA</t>
  </si>
  <si>
    <t>MNIL</t>
  </si>
  <si>
    <t>PATIDAR</t>
  </si>
  <si>
    <t>VASINFRA</t>
  </si>
  <si>
    <t>JETINFRA</t>
  </si>
  <si>
    <t>MAHESH</t>
  </si>
  <si>
    <t>RAJINFRA</t>
  </si>
  <si>
    <t>Values</t>
  </si>
  <si>
    <t>Row Labels</t>
  </si>
  <si>
    <t>Average of Rev gr 2010</t>
  </si>
  <si>
    <t>Average of Profit 2010</t>
  </si>
  <si>
    <t>Average of Cy Rev Gr</t>
  </si>
  <si>
    <t>Average of Cy Profit Gr</t>
  </si>
  <si>
    <t>Company</t>
  </si>
  <si>
    <t>SALES</t>
  </si>
  <si>
    <t>PROFIT</t>
  </si>
  <si>
    <t>DEBT PAYING CAPACITY</t>
  </si>
  <si>
    <t>PROFIT MARGIN</t>
  </si>
  <si>
    <t>R-O-E</t>
  </si>
  <si>
    <t>CAGR SALES 2010</t>
  </si>
  <si>
    <t>CAGR PROFIT 2010</t>
  </si>
  <si>
    <t>Cy Rev Gr</t>
  </si>
  <si>
    <t>Cy Profit Gr</t>
  </si>
  <si>
    <t>AHLUCONT</t>
  </si>
  <si>
    <t>CAPACITE</t>
  </si>
  <si>
    <t>ANSALAPI</t>
  </si>
  <si>
    <t>BHAGYAPROP</t>
  </si>
  <si>
    <t>BLKASHYAP</t>
  </si>
  <si>
    <t>PROFIT2LOSS</t>
  </si>
  <si>
    <t>BSELINFRA</t>
  </si>
  <si>
    <t>CCCL</t>
  </si>
  <si>
    <t>EMAMIINFRA</t>
  </si>
  <si>
    <t>PENPEBS</t>
  </si>
  <si>
    <t>VASCONEQ</t>
  </si>
  <si>
    <t>HDIL</t>
  </si>
  <si>
    <t>KARDA</t>
  </si>
  <si>
    <t>Grand Total</t>
  </si>
  <si>
    <t>MVL</t>
  </si>
  <si>
    <t>NITESHEST</t>
  </si>
  <si>
    <t>PROZONINTU</t>
  </si>
  <si>
    <t>TCIDEVELOP</t>
  </si>
  <si>
    <t>TEXINFRA</t>
  </si>
  <si>
    <t>UNISHIRE</t>
  </si>
  <si>
    <t>VIJSHAN</t>
  </si>
  <si>
    <t>WELLESLEY</t>
  </si>
  <si>
    <t>ZANDUREALT</t>
  </si>
  <si>
    <t>mcap</t>
  </si>
  <si>
    <t>Other_126</t>
  </si>
  <si>
    <t>LANCORHOL</t>
  </si>
  <si>
    <t>Average of Revenue</t>
  </si>
  <si>
    <t>Average of Profit</t>
  </si>
  <si>
    <t>Sales</t>
  </si>
  <si>
    <t>Profit</t>
  </si>
  <si>
    <t>CY Revenue Growth</t>
  </si>
  <si>
    <t>CY Profit Growth</t>
  </si>
  <si>
    <t>Realty</t>
  </si>
  <si>
    <t>LTP</t>
  </si>
  <si>
    <t>% Chg</t>
  </si>
  <si>
    <t>Date</t>
  </si>
  <si>
    <t>Revenue</t>
  </si>
  <si>
    <t>Equity</t>
  </si>
  <si>
    <t>Rev Gr 2001</t>
  </si>
  <si>
    <t>Rev gr 2010</t>
  </si>
  <si>
    <t>Profit Gr 2001</t>
  </si>
  <si>
    <t>Profit 2010</t>
  </si>
  <si>
    <t>EPS</t>
  </si>
  <si>
    <t>F-EPS</t>
  </si>
  <si>
    <t>F-PE</t>
  </si>
  <si>
    <t>Margin</t>
  </si>
  <si>
    <t>Interest Coverage</t>
  </si>
  <si>
    <t>Cagr 2001</t>
  </si>
  <si>
    <t>Cagr 2010</t>
  </si>
  <si>
    <t>dividend/Investment</t>
  </si>
  <si>
    <t>div %</t>
  </si>
  <si>
    <t>ROI</t>
  </si>
  <si>
    <t>18 May 2018 |  4:00 PM</t>
  </si>
  <si>
    <t>09 May 2018 |  4:00 PM</t>
  </si>
  <si>
    <t>Industry</t>
  </si>
  <si>
    <t>Profit Gr 2010</t>
  </si>
  <si>
    <t>Margin %</t>
  </si>
  <si>
    <t>dividend/Rs 100 Investment</t>
  </si>
  <si>
    <t>Total</t>
  </si>
  <si>
    <t>Year</t>
  </si>
  <si>
    <t>Open Price</t>
  </si>
  <si>
    <t>High Price</t>
  </si>
  <si>
    <t>Low Price</t>
  </si>
  <si>
    <t>Close Price</t>
  </si>
  <si>
    <t>No.of Shares</t>
  </si>
  <si>
    <t>No. of Trades</t>
  </si>
  <si>
    <t>Total Turnover (Rs.)</t>
  </si>
  <si>
    <t>Deliverable Quantity</t>
  </si>
  <si>
    <t>% Deli. Qty to Traded Qty</t>
  </si>
  <si>
    <t>Spread High-Low</t>
  </si>
  <si>
    <t>Spread Close-Open</t>
  </si>
  <si>
    <t>DematFlagExist</t>
  </si>
  <si>
    <t>Ex Date</t>
  </si>
  <si>
    <t>Purpose</t>
  </si>
  <si>
    <t>Record Date</t>
  </si>
  <si>
    <t>BC Start Date</t>
  </si>
  <si>
    <t>BC End Date</t>
  </si>
  <si>
    <t>ND Start Date</t>
  </si>
  <si>
    <t>ND End Date</t>
  </si>
  <si>
    <t>Actual Payment Date</t>
  </si>
  <si>
    <t>Date Begin</t>
  </si>
  <si>
    <t>Period Ending</t>
  </si>
  <si>
    <t>-</t>
  </si>
  <si>
    <t>Dividend - Rs. -</t>
  </si>
  <si>
    <t>Date End</t>
  </si>
  <si>
    <t>No. of Months</t>
  </si>
  <si>
    <t>Description</t>
  </si>
  <si>
    <t>2018-19</t>
  </si>
  <si>
    <t>Amount (Rs. million)</t>
  </si>
  <si>
    <t>Interim Dividend</t>
  </si>
  <si>
    <t>Net Sales</t>
  </si>
  <si>
    <t>Net Sales / Interest Earned / Operating Income</t>
  </si>
  <si>
    <t>Other Income</t>
  </si>
  <si>
    <t>Net Sales / Income from Operations</t>
  </si>
  <si>
    <t>Total Income</t>
  </si>
  <si>
    <t>Other Operating Income</t>
  </si>
  <si>
    <t>Expenditure</t>
  </si>
  <si>
    <t>Interest</t>
  </si>
  <si>
    <t>Cost of Materials Consumed</t>
  </si>
  <si>
    <t>Employee benefits expenses</t>
  </si>
  <si>
    <t>Other Expenses</t>
  </si>
  <si>
    <t>Profit Before Depreciation and Tax</t>
  </si>
  <si>
    <t>Operating Profit</t>
  </si>
  <si>
    <t>Finance Costs</t>
  </si>
  <si>
    <t>Employee Benefit Expenses</t>
  </si>
  <si>
    <t>Depreciation</t>
  </si>
  <si>
    <t>Depreciation and amortisation expenses</t>
  </si>
  <si>
    <t>Cost of Land, Plots, Constructed Properties and Others</t>
  </si>
  <si>
    <t>Profit before Tax</t>
  </si>
  <si>
    <t>Gross Profit</t>
  </si>
  <si>
    <t>Depreciation and Amortisation expense</t>
  </si>
  <si>
    <t>Tax</t>
  </si>
  <si>
    <t>Employee benefit expense</t>
  </si>
  <si>
    <t>Net Profit</t>
  </si>
  <si>
    <t>Profit (+)/ Loss (-) from Ordinary Activities before Tax</t>
  </si>
  <si>
    <t>Profit after Interest but before Exceptional Items</t>
  </si>
  <si>
    <t>Equity Capital</t>
  </si>
  <si>
    <t>Exceptional Item</t>
  </si>
  <si>
    <t>Reserves</t>
  </si>
  <si>
    <t>Profit after Tax</t>
  </si>
  <si>
    <t>Net Profit (+)/ Loss (-) from Ordinary Activities after Tax</t>
  </si>
  <si>
    <t>Sale of Investments</t>
  </si>
  <si>
    <t>Basic And Diluted EPS after Extraordinary item</t>
  </si>
  <si>
    <t>Basic EPS after Extraordinary items</t>
  </si>
  <si>
    <t>Current tax</t>
  </si>
  <si>
    <t>Diluted EPS after Extraordinary items</t>
  </si>
  <si>
    <t>Deferred tax</t>
  </si>
  <si>
    <t>Nos. of Shares - Public</t>
  </si>
  <si>
    <t>26,46,34,682.00</t>
  </si>
  <si>
    <t>21,48,85,890.00</t>
  </si>
  <si>
    <t>23,58,49,458.00</t>
  </si>
  <si>
    <t>29,16,59,363.00</t>
  </si>
  <si>
    <t>30,98,70,035.00</t>
  </si>
  <si>
    <t>31,64,94,534.00</t>
  </si>
  <si>
    <t>17,00,58,293.00</t>
  </si>
  <si>
    <t>15,38,52,488.00</t>
  </si>
  <si>
    <t>Minimum Alternate Tax (Credit) entitlement</t>
  </si>
  <si>
    <t>Extraordinary Items</t>
  </si>
  <si>
    <t>Percent of Shares-Public</t>
  </si>
  <si>
    <t>Nos. of Shares - Non Promoters</t>
  </si>
  <si>
    <t>11,81,42,353.00</t>
  </si>
  <si>
    <t>Minority Interest</t>
  </si>
  <si>
    <t>Net movement in regulatory deferral account balances</t>
  </si>
  <si>
    <t>Prior Period Items</t>
  </si>
  <si>
    <t>Operating Profit Margin</t>
  </si>
  <si>
    <t>Percent of Shares - Non Promoters</t>
  </si>
  <si>
    <t>Share of Profit &amp; Loss of Asso</t>
  </si>
  <si>
    <t>Net Profit Loss for the period from continuing operations</t>
  </si>
  <si>
    <t>Net Profit Margin</t>
  </si>
  <si>
    <t>Result Type</t>
  </si>
  <si>
    <t>A</t>
  </si>
  <si>
    <t>Net Profit after Mino Inter &amp; Share of P &amp; L</t>
  </si>
  <si>
    <t>Profit (loss) from discontinuing operations before tax</t>
  </si>
  <si>
    <t>Cash EPS</t>
  </si>
  <si>
    <t>Notes</t>
  </si>
  <si>
    <t>Note</t>
  </si>
  <si>
    <t>Any Other</t>
  </si>
  <si>
    <t>Tax expense of discontinuing operations</t>
  </si>
  <si>
    <t>Tax expenses (Including Deferred Tax)</t>
  </si>
  <si>
    <t>Income Attributable to Consolidated Group</t>
  </si>
  <si>
    <t>Net profit (loss) from discontinuing operation after tax</t>
  </si>
  <si>
    <t>EPS after Extraordinary items (in Rs)</t>
  </si>
  <si>
    <t>Share of profit(loss) of associates and joint ventures</t>
  </si>
  <si>
    <t>Cost of Investment In Sub</t>
  </si>
  <si>
    <t>Other Comprehensive Income Net of Taxes</t>
  </si>
  <si>
    <t>Any Other Comprehensive Item</t>
  </si>
  <si>
    <t>Total Amount of items that will not be reclassified to profit and loss</t>
  </si>
  <si>
    <t>Face Value (in Rs)</t>
  </si>
  <si>
    <t>Total Comprehensive Income for the Period</t>
  </si>
  <si>
    <t>Income tax relating to items that will not be reclassified to profit or loss</t>
  </si>
  <si>
    <t>EPS before Extraordinary items (in Rs)</t>
  </si>
  <si>
    <t>Total Amount of items that will be reclassified to profit and loss</t>
  </si>
  <si>
    <t>Profit from Operations before Other Income, Interest and Exceptional Items</t>
  </si>
  <si>
    <t>Income tax relating to items that will be reclassified to profit or loss</t>
  </si>
  <si>
    <t>Profit before Interest and Exceptional Items</t>
  </si>
  <si>
    <t>Basic for discontinued &amp; continuing operation</t>
  </si>
  <si>
    <t>Diluted for discontinued &amp; continuing operation</t>
  </si>
  <si>
    <t>NPM</t>
  </si>
  <si>
    <t>EQUITUY</t>
  </si>
  <si>
    <t>Profit or Loss, Attributable to Owners of Parent</t>
  </si>
  <si>
    <t>Total Profit or Loss, Attributable to Non-Controlling Interests</t>
  </si>
  <si>
    <t>Comprehensive Income for the Period Attributable to Owners of Parent</t>
  </si>
  <si>
    <t>Basic EPS before Extraordinary items</t>
  </si>
  <si>
    <t>Diluted EPS before Extraordinary items</t>
  </si>
  <si>
    <t>Total Comprehensive Income for the Period Attributable to Owners of Parent Non-Controlling Interests</t>
  </si>
  <si>
    <t>e Begin</t>
  </si>
  <si>
    <t>ecurity Code</t>
  </si>
  <si>
    <t>2019-20</t>
  </si>
  <si>
    <t>OBEROIREAL</t>
  </si>
  <si>
    <t>Dividend</t>
  </si>
  <si>
    <t>Rs.</t>
  </si>
  <si>
    <t>Revenue from Operations</t>
  </si>
  <si>
    <t>Interim</t>
  </si>
  <si>
    <t>Di</t>
  </si>
  <si>
    <t>vide</t>
  </si>
  <si>
    <t>nd</t>
  </si>
  <si>
    <t>Operating Costs</t>
  </si>
  <si>
    <t>Other Expenditure</t>
  </si>
  <si>
    <t>Excise Duty</t>
  </si>
  <si>
    <t>Depreciation and amortisation expense</t>
  </si>
  <si>
    <t>Operating Expenses</t>
  </si>
  <si>
    <t>revenue</t>
  </si>
  <si>
    <t>Change in inventories</t>
  </si>
  <si>
    <t>Interest &amp; Finance Charges</t>
  </si>
  <si>
    <t>2,64,104.00</t>
  </si>
  <si>
    <t>finance</t>
  </si>
  <si>
    <t>profit</t>
  </si>
  <si>
    <t>eps</t>
  </si>
  <si>
    <t>8,20,63,023.00</t>
  </si>
  <si>
    <t>8,20,58,316.00</t>
  </si>
  <si>
    <t>7,06,17,247.00</t>
  </si>
  <si>
    <t>margin</t>
  </si>
  <si>
    <t>Tax Expenses</t>
  </si>
  <si>
    <t>Basic EPS for continuing operation</t>
  </si>
  <si>
    <t>Diluted EPS for continuing operation</t>
  </si>
  <si>
    <t>npm</t>
  </si>
  <si>
    <t>icr</t>
  </si>
  <si>
    <t>div</t>
  </si>
  <si>
    <t>div %^</t>
  </si>
  <si>
    <t>1. The results displayed here are as furnished by the company at the relevant point of time.</t>
  </si>
  <si>
    <t>(in Million)</t>
  </si>
  <si>
    <t>eriod Ending</t>
  </si>
  <si>
    <t>Income Statement</t>
  </si>
  <si>
    <t xml:space="preserve"> </t>
  </si>
  <si>
    <t>PBDT</t>
  </si>
  <si>
    <t>PBT</t>
  </si>
  <si>
    <t>CEPS</t>
  </si>
  <si>
    <t>OPM %</t>
  </si>
  <si>
    <t>NPM %</t>
  </si>
  <si>
    <t>dividend</t>
  </si>
  <si>
    <t>Detailed</t>
  </si>
  <si>
    <t>Consolidated</t>
  </si>
  <si>
    <t>1,93,40,814.00</t>
  </si>
  <si>
    <t>1,95,24,909.00</t>
  </si>
  <si>
    <t>1,92,31,254.00</t>
  </si>
  <si>
    <t>--</t>
  </si>
  <si>
    <t>1,91,21,110.00</t>
  </si>
  <si>
    <t>1,90,60,048.00</t>
  </si>
  <si>
    <t>growth</t>
  </si>
  <si>
    <t>Income from Operations</t>
  </si>
  <si>
    <t>Employees Cost</t>
  </si>
  <si>
    <t>Selling Expenses</t>
  </si>
  <si>
    <t>Cost of Construction including cost of land &amp; material consumed</t>
  </si>
  <si>
    <t>Selling expenses</t>
  </si>
  <si>
    <t>Net Margin</t>
  </si>
  <si>
    <t>div%</t>
  </si>
  <si>
    <t>@</t>
  </si>
  <si>
    <t>Dividend - Rs.</t>
  </si>
  <si>
    <t xml:space="preserve">Interest Earned </t>
  </si>
  <si>
    <t>NIL Dividend -</t>
  </si>
  <si>
    <t>R</t>
  </si>
  <si>
    <t>Operating Income</t>
  </si>
  <si>
    <t>Interim Divide</t>
  </si>
  <si>
    <t>65,16,583.00</t>
  </si>
  <si>
    <t>18,61,881.00</t>
  </si>
  <si>
    <t>18,60,076.00</t>
  </si>
  <si>
    <t>17,53,826.00</t>
  </si>
  <si>
    <t>20,47,130.00</t>
  </si>
  <si>
    <t>20,47,480.00</t>
  </si>
  <si>
    <t>63,04,408.00</t>
  </si>
  <si>
    <t>63,05,351.00</t>
  </si>
  <si>
    <t>59,46,976.00</t>
  </si>
  <si>
    <t>64,36,641.00</t>
  </si>
  <si>
    <t>18,80,321.00</t>
  </si>
  <si>
    <t>CashEarnings Per Share</t>
  </si>
  <si>
    <t>@ Shares traded in Physical form</t>
  </si>
  <si>
    <t>in Million)</t>
  </si>
  <si>
    <t>Final Dividend - Rs. - 0.3000</t>
  </si>
  <si>
    <t>Final Dividend</t>
  </si>
  <si>
    <t>Dividend - Rs. - 0.7000</t>
  </si>
  <si>
    <t>Dividend - Rs. - 0.8000</t>
  </si>
  <si>
    <t>Dividend - Rs. - 0.4000</t>
  </si>
  <si>
    <t>Provisions and Contingencies</t>
  </si>
  <si>
    <t>1,71,93,642.00</t>
  </si>
  <si>
    <t>1,67,93,642.00</t>
  </si>
  <si>
    <t>1,59,86,814.00</t>
  </si>
  <si>
    <t>1,62,70,900.00</t>
  </si>
  <si>
    <t>32,54,180.00</t>
  </si>
  <si>
    <t>EX Date</t>
  </si>
  <si>
    <t>Amount ()</t>
  </si>
  <si>
    <t>Sale of Products &amp; Operating Income</t>
  </si>
  <si>
    <t>Cost of Project &amp; Other Operating Expenses</t>
  </si>
  <si>
    <t>(Increase) / Decrease of Units In Completed Projects / Work In Progress Projects</t>
  </si>
  <si>
    <t>Purchases of stock-in-trade</t>
  </si>
  <si>
    <t>Property and facilities operating expenses</t>
  </si>
  <si>
    <t>Cost of sales on projects</t>
  </si>
  <si>
    <t>6,55,73,770.00</t>
  </si>
  <si>
    <t>11,25,00,000.00</t>
  </si>
  <si>
    <t>8,75,00,000.00</t>
  </si>
  <si>
    <t>Changes in inventories of finished goods, work-in-progress and stock-in-trade</t>
  </si>
  <si>
    <t>Rates and taxes</t>
  </si>
  <si>
    <t>Rental Expenses</t>
  </si>
  <si>
    <t>facility management expenses</t>
  </si>
  <si>
    <t>Special Dividend</t>
  </si>
  <si>
    <t>4,76,19,201.00</t>
  </si>
  <si>
    <t>4,76,19,401.00</t>
  </si>
  <si>
    <t>4,76,61,401.00</t>
  </si>
  <si>
    <t>4,77,35,996.00</t>
  </si>
  <si>
    <t>4,79,00,433.00</t>
  </si>
  <si>
    <t>Segment</t>
  </si>
  <si>
    <t>Type</t>
  </si>
  <si>
    <t>Audited</t>
  </si>
  <si>
    <t>2015-16</t>
  </si>
  <si>
    <t>2014-15</t>
  </si>
  <si>
    <t>2013-14</t>
  </si>
  <si>
    <t>Total other expenses</t>
  </si>
  <si>
    <t>Construction expenses</t>
  </si>
  <si>
    <t>Construction expenses1</t>
  </si>
  <si>
    <t>Cost of raw materials consumed</t>
  </si>
  <si>
    <t>Other Expenses1</t>
  </si>
  <si>
    <t>(Increase)/Decrease in construction work in progress</t>
  </si>
  <si>
    <t>Current tax1</t>
  </si>
  <si>
    <t>2017-18</t>
  </si>
  <si>
    <t>Profits</t>
  </si>
  <si>
    <t>equity</t>
  </si>
  <si>
    <t>Un-Audited</t>
  </si>
  <si>
    <t>Final</t>
  </si>
  <si>
    <t>1,67,20,823.00</t>
  </si>
  <si>
    <t>1,86,59,644.00</t>
  </si>
  <si>
    <t>1,97,78,285.00</t>
  </si>
  <si>
    <t>2,18,39,247.00</t>
  </si>
  <si>
    <t>2,10,550.00</t>
  </si>
  <si>
    <t>10,90,550.00</t>
  </si>
  <si>
    <t>1,48,650.00</t>
  </si>
  <si>
    <t>37,88,925.00</t>
  </si>
  <si>
    <t>25,09,300.00</t>
  </si>
  <si>
    <t>15,49,300.00</t>
  </si>
  <si>
    <t>1,49,300.00</t>
  </si>
  <si>
    <t>Basic &amp; Diluted EPS after Extraordinary items</t>
  </si>
  <si>
    <t>curity</t>
  </si>
  <si>
    <t>Code</t>
  </si>
  <si>
    <t>Security</t>
  </si>
  <si>
    <t>Name</t>
  </si>
  <si>
    <t>Ex</t>
  </si>
  <si>
    <t>Record</t>
  </si>
  <si>
    <t>BC</t>
  </si>
  <si>
    <t>Start</t>
  </si>
  <si>
    <t>End</t>
  </si>
  <si>
    <t>ND</t>
  </si>
  <si>
    <t>Actual</t>
  </si>
  <si>
    <t>Payment</t>
  </si>
  <si>
    <t>Sep</t>
  </si>
  <si>
    <t>Nov</t>
  </si>
  <si>
    <t>Oct</t>
  </si>
  <si>
    <t>Jul</t>
  </si>
  <si>
    <t>Aug</t>
  </si>
  <si>
    <t>Mar</t>
  </si>
  <si>
    <t>1,41,543.80</t>
  </si>
  <si>
    <t>1,34,684.80</t>
  </si>
  <si>
    <t>1,24,880.30</t>
  </si>
  <si>
    <t>1,20,328.90</t>
  </si>
  <si>
    <t>36,35,82,599.00</t>
  </si>
  <si>
    <t>36,27,68,674.00</t>
  </si>
  <si>
    <t>36,25,87,770.00</t>
  </si>
  <si>
    <t>19,44,10,993.00</t>
  </si>
  <si>
    <t>te Begin</t>
  </si>
  <si>
    <t>Cost of Land, Plots, Constructed Properties &amp; Development Rights</t>
  </si>
  <si>
    <t>Depreciation &amp; Amortization</t>
  </si>
  <si>
    <t>Staff Cost</t>
  </si>
  <si>
    <t>Others</t>
  </si>
  <si>
    <t>1,44,328.86</t>
  </si>
  <si>
    <t>Prior Period Adjustments</t>
  </si>
  <si>
    <t>Cost of Revenues</t>
  </si>
  <si>
    <t>Establishment Expenses</t>
  </si>
  <si>
    <t>Number of Public Shareholding</t>
  </si>
  <si>
    <t>Percentage of Public Shareholding</t>
  </si>
  <si>
    <t>Deferred Tax</t>
  </si>
  <si>
    <t>Non-encumbered Number of Shares</t>
  </si>
  <si>
    <t>1,33,48,03,120.00</t>
  </si>
  <si>
    <t>Provision for Taxation &amp; FBT</t>
  </si>
  <si>
    <t>% of the total of promoter &amp; promoter group</t>
  </si>
  <si>
    <t>% of the total share capital of the company</t>
  </si>
  <si>
    <t>Earliers Year Adjustment</t>
  </si>
  <si>
    <t>1,83,952.42</t>
  </si>
  <si>
    <t>20,17,89,560.00</t>
  </si>
  <si>
    <t>Investor Complaints</t>
  </si>
  <si>
    <t>Pending at the beginning of the quarter</t>
  </si>
  <si>
    <t>Received during the quarter</t>
  </si>
  <si>
    <t>Disposed of during the quarter</t>
  </si>
  <si>
    <t>Remaining unresolved at the end of the quarter</t>
  </si>
  <si>
    <t>Paid up Debt Capital</t>
  </si>
  <si>
    <t>Debt Face Value</t>
  </si>
  <si>
    <t>Debenture Redemption Reserve</t>
  </si>
  <si>
    <t>Debt Earning Per Share (EPS)</t>
  </si>
  <si>
    <t>Debt Equity Ratio</t>
  </si>
  <si>
    <t>Debt Service Coverage Ratio</t>
  </si>
  <si>
    <t>Interest Service Coverage Ratio</t>
  </si>
  <si>
    <t>69,07,565.00</t>
  </si>
  <si>
    <t>81,57,346.00</t>
  </si>
  <si>
    <t>85,07,565.00</t>
  </si>
  <si>
    <t>98,76,543.00</t>
  </si>
  <si>
    <t>Not</t>
  </si>
  <si>
    <t>26,24,67,178.00</t>
  </si>
  <si>
    <t>25,49,78,178.00</t>
  </si>
  <si>
    <t>17,88,68,021.00</t>
  </si>
  <si>
    <t>10,60,72,958.00</t>
  </si>
  <si>
    <t>(Increase) / Decrease In Stock In Trade &amp; WIP</t>
  </si>
  <si>
    <t>Cost of Construction &amp; Development</t>
  </si>
  <si>
    <t>Cost of Investment / Fixed Assets</t>
  </si>
  <si>
    <t>8,25,00,081.00</t>
  </si>
  <si>
    <t>Basic &amp; Diluted EPS before Extraordinary items</t>
  </si>
  <si>
    <t>No</t>
  </si>
  <si>
    <t>ate Begin</t>
  </si>
  <si>
    <t>ing</t>
  </si>
  <si>
    <t>Other Operating Revenues</t>
  </si>
  <si>
    <t>Revenue From Project</t>
  </si>
  <si>
    <t>Advertising &amp; Sales Promotion</t>
  </si>
  <si>
    <t>Increase / Decrease in Inventories of Finished Goods, WIP and Stock in Trade</t>
  </si>
  <si>
    <t>Legal and Professional Charges</t>
  </si>
  <si>
    <t>Land Purchase Cost</t>
  </si>
  <si>
    <t>(Increase) / Decrease In Inventory of Properties under development &amp; Properties held for sale</t>
  </si>
  <si>
    <t>Cost of raw material and components consumed</t>
  </si>
  <si>
    <t>Changes in inventories</t>
  </si>
  <si>
    <t>Land cost</t>
  </si>
  <si>
    <t>Sub Contractor cost</t>
  </si>
  <si>
    <t>Land &amp; Other Related Costs</t>
  </si>
  <si>
    <t>Material &amp; Contract Cost</t>
  </si>
  <si>
    <t>Rates and Taxes</t>
  </si>
  <si>
    <t>2,14,24,335.00</t>
  </si>
  <si>
    <t>5,92,87,422.00</t>
  </si>
  <si>
    <t>2,14,26,495.00</t>
  </si>
  <si>
    <t>Prior period Income / (expenses) (Net of Tax Expenses)</t>
  </si>
  <si>
    <t>illion)</t>
  </si>
  <si>
    <t>Dividend - Rs. - 100.0000</t>
  </si>
  <si>
    <t>Dividend - Rs. - 2.0000</t>
  </si>
  <si>
    <t>Dividend - Rs. - 3.0000</t>
  </si>
  <si>
    <t>Final Dividend - Rs. - 1.0000</t>
  </si>
  <si>
    <t>Final Dividend - Rs. - 1.2000</t>
  </si>
  <si>
    <t>Final Dividend - Rs. - 1.8000</t>
  </si>
  <si>
    <t>Dividend - Rs. - 2.2000</t>
  </si>
  <si>
    <t>Interim Dividend - Rs. - 1.7500</t>
  </si>
  <si>
    <t>Final Dividend - Rs. - 0.4500</t>
  </si>
  <si>
    <t>Final Dividend - Rs. - 2.4000</t>
  </si>
  <si>
    <t>4,93,49,982.00</t>
  </si>
  <si>
    <t>4,93,68,782.00</t>
  </si>
  <si>
    <t>Preference Capital</t>
  </si>
  <si>
    <t>4,98,28,780.00</t>
  </si>
  <si>
    <t>28,73,400.00</t>
  </si>
  <si>
    <t>19,13,400.00</t>
  </si>
  <si>
    <t>Electricity Expenses</t>
  </si>
  <si>
    <t>Cost of Material Consumed / Construction Related Costs</t>
  </si>
  <si>
    <t>(Increase)/Decrease in Stock in Trade &amp; Work in Progress</t>
  </si>
  <si>
    <t>Finance Cost</t>
  </si>
  <si>
    <t>Tax adjustment for earlier years (net)</t>
  </si>
  <si>
    <t>Minimum Alternate Tax Credit</t>
  </si>
  <si>
    <t>Current Tax</t>
  </si>
  <si>
    <t>3,86,54,568.00</t>
  </si>
  <si>
    <t>3,86,87,518.00</t>
  </si>
  <si>
    <t>3,86,87,488.00</t>
  </si>
  <si>
    <t>3,86,42,488.00</t>
  </si>
  <si>
    <t>94,80,353.00</t>
  </si>
  <si>
    <t>95,70,383.00</t>
  </si>
  <si>
    <t>Price</t>
  </si>
  <si>
    <t>Marketcap</t>
  </si>
  <si>
    <t>Reserve</t>
  </si>
  <si>
    <t>DEBT</t>
  </si>
  <si>
    <t>LEASE</t>
  </si>
  <si>
    <t>CUR.ASSETS</t>
  </si>
  <si>
    <t>CUR.LIABILITIES</t>
  </si>
  <si>
    <t>ASSETS</t>
  </si>
  <si>
    <t>LIABILITIES</t>
  </si>
  <si>
    <t>TRADE REC</t>
  </si>
  <si>
    <t>Last Year_22</t>
  </si>
  <si>
    <t>Growth</t>
  </si>
  <si>
    <t>PROFITABILITY</t>
  </si>
  <si>
    <t>VALUATIONS</t>
  </si>
  <si>
    <t>SALES GROWTH</t>
  </si>
  <si>
    <t>P-MARGIN</t>
  </si>
  <si>
    <t>CUR.RATIO</t>
  </si>
  <si>
    <t>TRADE CYC</t>
  </si>
  <si>
    <t>Expectation</t>
  </si>
  <si>
    <t>FairValue</t>
  </si>
  <si>
    <t>TRAIL-EPS</t>
  </si>
  <si>
    <t>Q4</t>
  </si>
  <si>
    <t>Q1</t>
  </si>
  <si>
    <t>Q2</t>
  </si>
  <si>
    <t>Q3</t>
  </si>
  <si>
    <t>Current trend</t>
  </si>
  <si>
    <t>FY_23</t>
  </si>
  <si>
    <t>Q1_FY_24</t>
  </si>
  <si>
    <t>H1_FY_24</t>
  </si>
  <si>
    <t>9M_FY_24</t>
  </si>
  <si>
    <t>EST_2024</t>
  </si>
  <si>
    <t>Estimated</t>
  </si>
  <si>
    <t>MARGIN</t>
  </si>
  <si>
    <t>LongTerm</t>
  </si>
  <si>
    <t>HIGH PRICE</t>
  </si>
  <si>
    <t>LOW PRICE</t>
  </si>
  <si>
    <t>HIGH PE</t>
  </si>
  <si>
    <t>LOWPE</t>
  </si>
  <si>
    <t>FAIR_PE</t>
  </si>
  <si>
    <t>9M_FY_23</t>
  </si>
  <si>
    <t>H1_FY_23</t>
  </si>
  <si>
    <t>POST_COVID</t>
  </si>
  <si>
    <t>CYear</t>
  </si>
  <si>
    <t>4 Years</t>
  </si>
  <si>
    <t>Exp</t>
  </si>
  <si>
    <t>PRE_COVID</t>
  </si>
  <si>
    <t>5 Years</t>
  </si>
  <si>
    <t>10 Years</t>
  </si>
  <si>
    <t>RAWDATA</t>
  </si>
  <si>
    <t>TOTAL EQ</t>
  </si>
  <si>
    <t>Post Covid</t>
  </si>
  <si>
    <t>pre_covid</t>
  </si>
  <si>
    <t>MAJORCOST</t>
  </si>
  <si>
    <t>SHARE</t>
  </si>
  <si>
    <t>MATERIAL</t>
  </si>
  <si>
    <t>INVENOTRY</t>
  </si>
  <si>
    <t>EMPLOYEE</t>
  </si>
  <si>
    <t>D&amp;A</t>
  </si>
  <si>
    <t>split 10 to 5 &amp; right</t>
  </si>
  <si>
    <t>OTHER</t>
  </si>
  <si>
    <t>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</si>
</sst>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d/m/yyyy"/>
    <numFmt numFmtId="166" formatCode="0.0"/>
    <numFmt numFmtId="167" formatCode="#,##0.0"/>
  </numFmts>
  <fonts count="42" x14ac:knownFonts="1">
    <font>
      <sz val="11"/>
      <color theme="1"/>
      <name val="Arial"/>
      <scheme val="minor"/>
    </font>
    <font>
      <sz val="11"/>
      <name val="Arial"/>
    </font>
    <font>
      <sz val="11"/>
      <color theme="1"/>
      <name val="Arial"/>
    </font>
    <font>
      <b/>
      <sz val="11"/>
      <color rgb="FFFFFFFF"/>
      <name val="Arial"/>
    </font>
    <font>
      <sz val="11"/>
      <color rgb="FFFFFFFF"/>
      <name val="Arial"/>
    </font>
    <font>
      <sz val="11"/>
      <color theme="1"/>
      <name val="Calibri"/>
    </font>
    <font>
      <sz val="11"/>
      <color rgb="FF000000"/>
      <name val="Calibri"/>
    </font>
    <font>
      <b/>
      <sz val="11"/>
      <color theme="1"/>
      <name val="Arial"/>
    </font>
    <font>
      <sz val="11"/>
      <color theme="1"/>
      <name val="Arial"/>
      <scheme val="minor"/>
    </font>
    <font>
      <b/>
      <sz val="11"/>
      <color theme="1"/>
      <name val="Arial"/>
      <scheme val="minor"/>
    </font>
    <font>
      <sz val="11"/>
      <color rgb="FF006100"/>
      <name val="Arial"/>
      <scheme val="minor"/>
    </font>
    <font>
      <sz val="11"/>
      <color rgb="FF9C6500"/>
      <name val="Arial"/>
      <scheme val="minor"/>
    </font>
    <font>
      <sz val="11"/>
      <color rgb="FF9C0006"/>
      <name val="Arial"/>
      <scheme val="minor"/>
    </font>
    <font>
      <b/>
      <sz val="11"/>
      <color rgb="FF1F497D"/>
      <name val="Arial"/>
      <scheme val="minor"/>
    </font>
    <font>
      <b/>
      <sz val="11"/>
      <color rgb="FF000000"/>
      <name val="Arial"/>
      <scheme val="minor"/>
    </font>
    <font>
      <b/>
      <sz val="11"/>
      <color theme="0"/>
      <name val="Arial"/>
      <scheme val="minor"/>
    </font>
    <font>
      <b/>
      <sz val="13"/>
      <color rgb="FF1F497D"/>
      <name val="Arial"/>
      <scheme val="minor"/>
    </font>
    <font>
      <b/>
      <sz val="15"/>
      <color rgb="FF1F497D"/>
      <name val="Arial"/>
      <scheme val="minor"/>
    </font>
    <font>
      <b/>
      <sz val="9"/>
      <color rgb="FFFFFFFF"/>
      <name val="Arial"/>
    </font>
    <font>
      <b/>
      <sz val="9"/>
      <color rgb="FF000000"/>
      <name val="Arial"/>
    </font>
    <font>
      <sz val="9"/>
      <color rgb="FF000000"/>
      <name val="Arial"/>
    </font>
    <font>
      <u/>
      <sz val="11"/>
      <color theme="10"/>
      <name val="Calibri"/>
    </font>
    <font>
      <sz val="11"/>
      <color theme="10"/>
      <name val="Calibri"/>
    </font>
    <font>
      <u/>
      <sz val="11"/>
      <color theme="10"/>
      <name val="Calibri"/>
    </font>
    <font>
      <b/>
      <sz val="9"/>
      <color theme="1"/>
      <name val="Arial"/>
    </font>
    <font>
      <sz val="9"/>
      <color theme="1"/>
      <name val="Arial"/>
    </font>
    <font>
      <u/>
      <sz val="11"/>
      <color theme="10"/>
      <name val="Calibri"/>
    </font>
    <font>
      <b/>
      <sz val="7"/>
      <color rgb="FF000000"/>
      <name val="Arial"/>
    </font>
    <font>
      <sz val="7"/>
      <color rgb="FF000000"/>
      <name val="Arial"/>
    </font>
    <font>
      <b/>
      <sz val="7"/>
      <color rgb="FFFFFFFF"/>
      <name val="Arial"/>
    </font>
    <font>
      <sz val="11"/>
      <color rgb="FFFFFFFF"/>
      <name val="Arial"/>
      <scheme val="minor"/>
    </font>
    <font>
      <sz val="11"/>
      <color rgb="FFFFFFFF"/>
      <name val="Calibri"/>
    </font>
    <font>
      <sz val="11"/>
      <color theme="1"/>
      <name val="Arial"/>
    </font>
    <font>
      <b/>
      <sz val="12"/>
      <color theme="1"/>
      <name val="Calibri"/>
    </font>
    <font>
      <b/>
      <sz val="12"/>
      <color theme="1"/>
      <name val="Arial"/>
    </font>
    <font>
      <b/>
      <sz val="11"/>
      <color rgb="FFFFFFFF"/>
      <name val="Calibri"/>
    </font>
    <font>
      <i/>
      <sz val="12"/>
      <color theme="1"/>
      <name val="Arial"/>
    </font>
    <font>
      <sz val="12"/>
      <color theme="1"/>
      <name val="Arial"/>
      <scheme val="minor"/>
    </font>
    <font>
      <b/>
      <i/>
      <u/>
      <sz val="11"/>
      <color rgb="FFFFFFFF"/>
      <name val="Calibri"/>
    </font>
    <font>
      <b/>
      <i/>
      <u/>
      <sz val="11"/>
      <color theme="1"/>
      <name val="Arial"/>
    </font>
    <font>
      <b/>
      <i/>
      <u/>
      <sz val="11"/>
      <color theme="1"/>
      <name val="Arial"/>
    </font>
    <font>
      <sz val="25"/>
      <color rgb="FFFFFFFF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4C1130"/>
        <bgColor rgb="FF4C1130"/>
      </patternFill>
    </fill>
    <fill>
      <patternFill patternType="solid">
        <fgColor rgb="FFDBE5F1"/>
        <bgColor rgb="FFDBE5F1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rgb="FFFFFF00"/>
        <bgColor rgb="FFFFFF00"/>
      </patternFill>
    </fill>
    <fill>
      <patternFill patternType="solid">
        <fgColor theme="4"/>
        <bgColor theme="4"/>
      </patternFill>
    </fill>
    <fill>
      <patternFill patternType="solid">
        <fgColor rgb="FFB8CCE4"/>
        <bgColor rgb="FFB8CCE4"/>
      </patternFill>
    </fill>
    <fill>
      <patternFill patternType="solid">
        <fgColor theme="9"/>
        <bgColor theme="9"/>
      </patternFill>
    </fill>
    <fill>
      <patternFill patternType="solid">
        <fgColor theme="0"/>
        <bgColor theme="0"/>
      </patternFill>
    </fill>
    <fill>
      <patternFill patternType="solid">
        <fgColor rgb="FF016091"/>
        <bgColor rgb="FF016091"/>
      </patternFill>
    </fill>
    <fill>
      <patternFill patternType="solid">
        <fgColor rgb="FFEAEAEA"/>
        <bgColor rgb="FFEAEAEA"/>
      </patternFill>
    </fill>
    <fill>
      <patternFill patternType="solid">
        <fgColor rgb="FFFFFFFF"/>
        <bgColor rgb="FFFFFFFF"/>
      </patternFill>
    </fill>
    <fill>
      <patternFill patternType="solid">
        <fgColor rgb="FF4285F4"/>
        <bgColor rgb="FF4285F4"/>
      </patternFill>
    </fill>
    <fill>
      <patternFill patternType="solid">
        <fgColor rgb="FFB7B7B7"/>
        <bgColor rgb="FFB7B7B7"/>
      </patternFill>
    </fill>
    <fill>
      <patternFill patternType="solid">
        <fgColor rgb="FFA6BFDD"/>
        <bgColor rgb="FFA6BFDD"/>
      </patternFill>
    </fill>
    <fill>
      <patternFill patternType="solid">
        <fgColor rgb="FF4F81BD"/>
        <bgColor rgb="FF4F81BD"/>
      </patternFill>
    </fill>
    <fill>
      <patternFill patternType="solid">
        <fgColor rgb="FFEA9999"/>
        <bgColor rgb="FFEA9999"/>
      </patternFill>
    </fill>
    <fill>
      <patternFill patternType="solid">
        <fgColor rgb="FFF4CCCC"/>
        <bgColor rgb="FFF4CCCC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95B3D7"/>
      </bottom>
      <diagonal/>
    </border>
    <border>
      <left/>
      <right/>
      <top/>
      <bottom/>
      <diagonal/>
    </border>
    <border>
      <left/>
      <right/>
      <top style="thin">
        <color rgb="FF95B3D7"/>
      </top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/>
      <top/>
      <bottom style="thick">
        <color rgb="FFA6BFDD"/>
      </bottom>
      <diagonal/>
    </border>
    <border>
      <left/>
      <right/>
      <top/>
      <bottom style="thick">
        <color theme="4"/>
      </bottom>
      <diagonal/>
    </border>
    <border>
      <left style="medium">
        <color rgb="FFD6D6D6"/>
      </left>
      <right/>
      <top style="medium">
        <color rgb="FFD6D6D6"/>
      </top>
      <bottom/>
      <diagonal/>
    </border>
    <border>
      <left style="medium">
        <color rgb="FFD6D6D6"/>
      </left>
      <right style="medium">
        <color rgb="FFD6D6D6"/>
      </right>
      <top style="medium">
        <color rgb="FFD6D6D6"/>
      </top>
      <bottom/>
      <diagonal/>
    </border>
    <border>
      <left style="medium">
        <color rgb="FFD6D6D6"/>
      </left>
      <right style="medium">
        <color rgb="FFD6D6D6"/>
      </right>
      <top style="medium">
        <color rgb="FFD6D6D6"/>
      </top>
      <bottom style="medium">
        <color rgb="FFD6D6D6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D6D6D6"/>
      </top>
      <bottom/>
      <diagonal/>
    </border>
    <border>
      <left/>
      <right/>
      <top style="medium">
        <color rgb="FFD6D6D6"/>
      </top>
      <bottom/>
      <diagonal/>
    </border>
    <border>
      <left/>
      <right/>
      <top style="medium">
        <color rgb="FFD6D6D6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D6D6D6"/>
      </top>
      <bottom/>
      <diagonal/>
    </border>
    <border>
      <left/>
      <right style="medium">
        <color rgb="FFD6D6D6"/>
      </right>
      <top style="medium">
        <color rgb="FFD6D6D6"/>
      </top>
      <bottom/>
      <diagonal/>
    </border>
    <border>
      <left style="medium">
        <color rgb="FFD6D6D6"/>
      </left>
      <right/>
      <top/>
      <bottom/>
      <diagonal/>
    </border>
    <border>
      <left style="medium">
        <color rgb="FFD6D6D6"/>
      </left>
      <right style="medium">
        <color rgb="FFD6D6D6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88">
    <xf numFmtId="0" fontId="0" fillId="0" borderId="0" xfId="0"/>
    <xf numFmtId="0" fontId="2" fillId="0" borderId="0" xfId="0" applyFont="1"/>
    <xf numFmtId="0" fontId="3" fillId="2" borderId="9" xfId="0" applyFont="1" applyFill="1" applyBorder="1"/>
    <xf numFmtId="0" fontId="3" fillId="2" borderId="0" xfId="0" applyFont="1" applyFill="1"/>
    <xf numFmtId="0" fontId="4" fillId="2" borderId="0" xfId="0" applyFont="1" applyFill="1"/>
    <xf numFmtId="0" fontId="5" fillId="0" borderId="0" xfId="0" applyFont="1"/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10" xfId="0" applyFont="1" applyBorder="1"/>
    <xf numFmtId="0" fontId="2" fillId="0" borderId="10" xfId="0" applyFont="1" applyBorder="1" applyAlignment="1">
      <alignment horizontal="right"/>
    </xf>
    <xf numFmtId="0" fontId="2" fillId="0" borderId="10" xfId="0" applyFont="1" applyBorder="1"/>
    <xf numFmtId="0" fontId="2" fillId="0" borderId="11" xfId="0" applyFont="1" applyBorder="1"/>
    <xf numFmtId="1" fontId="2" fillId="0" borderId="11" xfId="0" applyNumberFormat="1" applyFont="1" applyBorder="1"/>
    <xf numFmtId="0" fontId="4" fillId="2" borderId="12" xfId="0" applyFont="1" applyFill="1" applyBorder="1"/>
    <xf numFmtId="0" fontId="5" fillId="0" borderId="13" xfId="0" applyFont="1" applyBorder="1"/>
    <xf numFmtId="164" fontId="2" fillId="0" borderId="8" xfId="0" applyNumberFormat="1" applyFont="1" applyBorder="1" applyAlignment="1">
      <alignment horizontal="right"/>
    </xf>
    <xf numFmtId="9" fontId="2" fillId="0" borderId="8" xfId="0" applyNumberFormat="1" applyFont="1" applyBorder="1" applyAlignment="1">
      <alignment horizontal="right"/>
    </xf>
    <xf numFmtId="10" fontId="2" fillId="0" borderId="11" xfId="0" applyNumberFormat="1" applyFont="1" applyBorder="1"/>
    <xf numFmtId="2" fontId="2" fillId="0" borderId="8" xfId="0" applyNumberFormat="1" applyFont="1" applyBorder="1" applyAlignment="1">
      <alignment horizontal="right"/>
    </xf>
    <xf numFmtId="1" fontId="2" fillId="0" borderId="8" xfId="0" applyNumberFormat="1" applyFont="1" applyBorder="1" applyAlignment="1">
      <alignment horizontal="right"/>
    </xf>
    <xf numFmtId="164" fontId="2" fillId="0" borderId="0" xfId="0" applyNumberFormat="1" applyFont="1"/>
    <xf numFmtId="9" fontId="2" fillId="0" borderId="11" xfId="0" applyNumberFormat="1" applyFont="1" applyBorder="1"/>
    <xf numFmtId="0" fontId="3" fillId="3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right"/>
    </xf>
    <xf numFmtId="0" fontId="6" fillId="0" borderId="12" xfId="0" applyFont="1" applyBorder="1"/>
    <xf numFmtId="0" fontId="2" fillId="0" borderId="12" xfId="0" applyFont="1" applyBorder="1"/>
    <xf numFmtId="1" fontId="2" fillId="0" borderId="12" xfId="0" applyNumberFormat="1" applyFont="1" applyBorder="1"/>
    <xf numFmtId="1" fontId="2" fillId="0" borderId="12" xfId="0" applyNumberFormat="1" applyFont="1" applyBorder="1" applyAlignment="1">
      <alignment horizontal="right"/>
    </xf>
    <xf numFmtId="10" fontId="2" fillId="0" borderId="12" xfId="0" applyNumberFormat="1" applyFont="1" applyBorder="1"/>
    <xf numFmtId="2" fontId="2" fillId="0" borderId="12" xfId="0" applyNumberFormat="1" applyFont="1" applyBorder="1"/>
    <xf numFmtId="1" fontId="2" fillId="0" borderId="14" xfId="0" applyNumberFormat="1" applyFont="1" applyBorder="1"/>
    <xf numFmtId="10" fontId="2" fillId="0" borderId="0" xfId="0" applyNumberFormat="1" applyFont="1"/>
    <xf numFmtId="0" fontId="7" fillId="0" borderId="0" xfId="0" applyFont="1"/>
    <xf numFmtId="0" fontId="7" fillId="0" borderId="12" xfId="0" applyFont="1" applyBorder="1"/>
    <xf numFmtId="1" fontId="7" fillId="0" borderId="12" xfId="0" applyNumberFormat="1" applyFont="1" applyBorder="1"/>
    <xf numFmtId="10" fontId="7" fillId="0" borderId="12" xfId="0" applyNumberFormat="1" applyFont="1" applyBorder="1"/>
    <xf numFmtId="1" fontId="2" fillId="0" borderId="0" xfId="0" applyNumberFormat="1" applyFont="1"/>
    <xf numFmtId="0" fontId="8" fillId="0" borderId="0" xfId="0" applyFont="1"/>
    <xf numFmtId="0" fontId="9" fillId="4" borderId="12" xfId="0" applyFont="1" applyFill="1" applyBorder="1" applyAlignment="1">
      <alignment horizontal="center"/>
    </xf>
    <xf numFmtId="0" fontId="9" fillId="4" borderId="15" xfId="0" applyFont="1" applyFill="1" applyBorder="1"/>
    <xf numFmtId="0" fontId="0" fillId="0" borderId="0" xfId="0" applyAlignment="1">
      <alignment horizontal="left"/>
    </xf>
    <xf numFmtId="9" fontId="0" fillId="0" borderId="0" xfId="0" applyNumberFormat="1"/>
    <xf numFmtId="0" fontId="10" fillId="5" borderId="12" xfId="0" applyFont="1" applyFill="1" applyBorder="1" applyAlignment="1">
      <alignment horizontal="center"/>
    </xf>
    <xf numFmtId="1" fontId="10" fillId="5" borderId="12" xfId="0" applyNumberFormat="1" applyFont="1" applyFill="1" applyBorder="1" applyAlignment="1">
      <alignment horizontal="center"/>
    </xf>
    <xf numFmtId="0" fontId="10" fillId="5" borderId="16" xfId="0" applyFont="1" applyFill="1" applyBorder="1" applyAlignment="1">
      <alignment horizontal="left"/>
    </xf>
    <xf numFmtId="9" fontId="10" fillId="5" borderId="16" xfId="0" applyNumberFormat="1" applyFont="1" applyFill="1" applyBorder="1"/>
    <xf numFmtId="9" fontId="11" fillId="6" borderId="16" xfId="0" applyNumberFormat="1" applyFont="1" applyFill="1" applyBorder="1"/>
    <xf numFmtId="1" fontId="11" fillId="6" borderId="12" xfId="0" applyNumberFormat="1" applyFont="1" applyFill="1" applyBorder="1" applyAlignment="1">
      <alignment horizontal="center"/>
    </xf>
    <xf numFmtId="9" fontId="12" fillId="7" borderId="16" xfId="0" applyNumberFormat="1" applyFont="1" applyFill="1" applyBorder="1"/>
    <xf numFmtId="0" fontId="11" fillId="6" borderId="12" xfId="0" applyFont="1" applyFill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12" fillId="7" borderId="12" xfId="0" applyNumberFormat="1" applyFont="1" applyFill="1" applyBorder="1" applyAlignment="1">
      <alignment horizontal="center"/>
    </xf>
    <xf numFmtId="0" fontId="11" fillId="6" borderId="16" xfId="0" applyFont="1" applyFill="1" applyBorder="1" applyAlignment="1">
      <alignment horizontal="left"/>
    </xf>
    <xf numFmtId="0" fontId="12" fillId="7" borderId="12" xfId="0" applyFont="1" applyFill="1" applyBorder="1" applyAlignment="1">
      <alignment horizontal="center"/>
    </xf>
    <xf numFmtId="0" fontId="12" fillId="7" borderId="16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1" fontId="9" fillId="4" borderId="12" xfId="0" applyNumberFormat="1" applyFont="1" applyFill="1" applyBorder="1" applyAlignment="1">
      <alignment horizontal="center"/>
    </xf>
    <xf numFmtId="1" fontId="0" fillId="0" borderId="0" xfId="0" applyNumberFormat="1"/>
    <xf numFmtId="0" fontId="9" fillId="4" borderId="17" xfId="0" applyFont="1" applyFill="1" applyBorder="1" applyAlignment="1">
      <alignment horizontal="left"/>
    </xf>
    <xf numFmtId="9" fontId="9" fillId="4" borderId="17" xfId="0" applyNumberFormat="1" applyFont="1" applyFill="1" applyBorder="1"/>
    <xf numFmtId="0" fontId="6" fillId="0" borderId="0" xfId="0" applyFont="1"/>
    <xf numFmtId="0" fontId="6" fillId="0" borderId="0" xfId="0" applyFont="1" applyAlignment="1">
      <alignment horizontal="right"/>
    </xf>
    <xf numFmtId="1" fontId="0" fillId="8" borderId="16" xfId="0" applyNumberFormat="1" applyFill="1" applyBorder="1"/>
    <xf numFmtId="9" fontId="0" fillId="0" borderId="12" xfId="0" applyNumberFormat="1" applyBorder="1" applyAlignment="1">
      <alignment horizontal="center"/>
    </xf>
    <xf numFmtId="0" fontId="9" fillId="4" borderId="17" xfId="0" applyFont="1" applyFill="1" applyBorder="1"/>
    <xf numFmtId="0" fontId="9" fillId="0" borderId="0" xfId="0" applyFont="1"/>
    <xf numFmtId="1" fontId="9" fillId="0" borderId="0" xfId="0" applyNumberFormat="1" applyFont="1"/>
    <xf numFmtId="9" fontId="9" fillId="0" borderId="0" xfId="0" applyNumberFormat="1" applyFont="1"/>
    <xf numFmtId="2" fontId="9" fillId="0" borderId="0" xfId="0" applyNumberFormat="1" applyFont="1"/>
    <xf numFmtId="0" fontId="13" fillId="9" borderId="0" xfId="0" applyFont="1" applyFill="1"/>
    <xf numFmtId="0" fontId="14" fillId="9" borderId="0" xfId="0" applyFont="1" applyFill="1"/>
    <xf numFmtId="0" fontId="9" fillId="9" borderId="0" xfId="0" applyFont="1" applyFill="1"/>
    <xf numFmtId="0" fontId="15" fillId="9" borderId="18" xfId="0" applyFont="1" applyFill="1" applyBorder="1"/>
    <xf numFmtId="0" fontId="0" fillId="10" borderId="16" xfId="0" applyFill="1" applyBorder="1"/>
    <xf numFmtId="0" fontId="0" fillId="10" borderId="0" xfId="0" applyFill="1"/>
    <xf numFmtId="0" fontId="0" fillId="10" borderId="12" xfId="0" applyFill="1" applyBorder="1" applyAlignment="1">
      <alignment horizontal="center"/>
    </xf>
    <xf numFmtId="165" fontId="0" fillId="10" borderId="0" xfId="0" applyNumberFormat="1" applyFill="1"/>
    <xf numFmtId="1" fontId="10" fillId="10" borderId="16" xfId="0" applyNumberFormat="1" applyFont="1" applyFill="1" applyBorder="1"/>
    <xf numFmtId="1" fontId="10" fillId="10" borderId="0" xfId="0" applyNumberFormat="1" applyFont="1" applyFill="1"/>
    <xf numFmtId="10" fontId="0" fillId="10" borderId="0" xfId="0" applyNumberFormat="1" applyFill="1"/>
    <xf numFmtId="2" fontId="0" fillId="10" borderId="0" xfId="0" applyNumberFormat="1" applyFill="1"/>
    <xf numFmtId="2" fontId="0" fillId="10" borderId="16" xfId="0" applyNumberFormat="1" applyFill="1" applyBorder="1"/>
    <xf numFmtId="1" fontId="0" fillId="10" borderId="16" xfId="0" applyNumberFormat="1" applyFill="1" applyBorder="1"/>
    <xf numFmtId="1" fontId="12" fillId="10" borderId="16" xfId="0" applyNumberFormat="1" applyFont="1" applyFill="1" applyBorder="1"/>
    <xf numFmtId="166" fontId="0" fillId="10" borderId="0" xfId="0" applyNumberFormat="1" applyFill="1"/>
    <xf numFmtId="10" fontId="0" fillId="0" borderId="0" xfId="0" applyNumberFormat="1"/>
    <xf numFmtId="0" fontId="0" fillId="4" borderId="16" xfId="0" applyFill="1" applyBorder="1"/>
    <xf numFmtId="0" fontId="10" fillId="4" borderId="0" xfId="0" applyFont="1" applyFill="1"/>
    <xf numFmtId="0" fontId="0" fillId="4" borderId="12" xfId="0" applyFill="1" applyBorder="1" applyAlignment="1">
      <alignment horizontal="center"/>
    </xf>
    <xf numFmtId="165" fontId="10" fillId="4" borderId="0" xfId="0" applyNumberFormat="1" applyFont="1" applyFill="1"/>
    <xf numFmtId="1" fontId="10" fillId="4" borderId="16" xfId="0" applyNumberFormat="1" applyFont="1" applyFill="1" applyBorder="1"/>
    <xf numFmtId="1" fontId="10" fillId="4" borderId="0" xfId="0" applyNumberFormat="1" applyFont="1" applyFill="1"/>
    <xf numFmtId="3" fontId="10" fillId="4" borderId="0" xfId="0" applyNumberFormat="1" applyFont="1" applyFill="1"/>
    <xf numFmtId="10" fontId="10" fillId="4" borderId="0" xfId="0" applyNumberFormat="1" applyFont="1" applyFill="1"/>
    <xf numFmtId="2" fontId="10" fillId="4" borderId="0" xfId="0" applyNumberFormat="1" applyFont="1" applyFill="1"/>
    <xf numFmtId="2" fontId="0" fillId="4" borderId="16" xfId="0" applyNumberFormat="1" applyFill="1" applyBorder="1"/>
    <xf numFmtId="1" fontId="0" fillId="4" borderId="16" xfId="0" applyNumberFormat="1" applyFill="1" applyBorder="1"/>
    <xf numFmtId="1" fontId="11" fillId="4" borderId="16" xfId="0" applyNumberFormat="1" applyFont="1" applyFill="1" applyBorder="1"/>
    <xf numFmtId="166" fontId="0" fillId="4" borderId="0" xfId="0" applyNumberFormat="1" applyFill="1"/>
    <xf numFmtId="165" fontId="0" fillId="10" borderId="16" xfId="0" applyNumberFormat="1" applyFill="1" applyBorder="1"/>
    <xf numFmtId="10" fontId="0" fillId="10" borderId="16" xfId="0" applyNumberFormat="1" applyFill="1" applyBorder="1"/>
    <xf numFmtId="165" fontId="0" fillId="4" borderId="16" xfId="0" applyNumberFormat="1" applyFill="1" applyBorder="1"/>
    <xf numFmtId="10" fontId="0" fillId="4" borderId="16" xfId="0" applyNumberFormat="1" applyFill="1" applyBorder="1"/>
    <xf numFmtId="1" fontId="11" fillId="10" borderId="16" xfId="0" applyNumberFormat="1" applyFont="1" applyFill="1" applyBorder="1"/>
    <xf numFmtId="0" fontId="8" fillId="4" borderId="0" xfId="0" applyFont="1" applyFill="1"/>
    <xf numFmtId="165" fontId="0" fillId="4" borderId="0" xfId="0" applyNumberFormat="1" applyFill="1"/>
    <xf numFmtId="1" fontId="0" fillId="4" borderId="0" xfId="0" applyNumberFormat="1" applyFill="1"/>
    <xf numFmtId="10" fontId="0" fillId="4" borderId="0" xfId="0" applyNumberFormat="1" applyFill="1"/>
    <xf numFmtId="2" fontId="0" fillId="4" borderId="0" xfId="0" applyNumberFormat="1" applyFill="1"/>
    <xf numFmtId="1" fontId="12" fillId="4" borderId="16" xfId="0" applyNumberFormat="1" applyFont="1" applyFill="1" applyBorder="1"/>
    <xf numFmtId="0" fontId="0" fillId="4" borderId="0" xfId="0" applyFill="1"/>
    <xf numFmtId="0" fontId="12" fillId="4" borderId="0" xfId="0" applyFont="1" applyFill="1"/>
    <xf numFmtId="165" fontId="12" fillId="4" borderId="0" xfId="0" applyNumberFormat="1" applyFont="1" applyFill="1"/>
    <xf numFmtId="10" fontId="12" fillId="4" borderId="0" xfId="0" applyNumberFormat="1" applyFont="1" applyFill="1"/>
    <xf numFmtId="2" fontId="12" fillId="4" borderId="0" xfId="0" applyNumberFormat="1" applyFont="1" applyFill="1"/>
    <xf numFmtId="1" fontId="0" fillId="10" borderId="0" xfId="0" applyNumberFormat="1" applyFill="1"/>
    <xf numFmtId="0" fontId="8" fillId="4" borderId="16" xfId="0" applyFont="1" applyFill="1" applyBorder="1"/>
    <xf numFmtId="0" fontId="8" fillId="10" borderId="0" xfId="0" applyFont="1" applyFill="1"/>
    <xf numFmtId="1" fontId="11" fillId="4" borderId="0" xfId="0" applyNumberFormat="1" applyFont="1" applyFill="1"/>
    <xf numFmtId="1" fontId="12" fillId="4" borderId="0" xfId="0" applyNumberFormat="1" applyFont="1" applyFill="1"/>
    <xf numFmtId="0" fontId="10" fillId="10" borderId="0" xfId="0" applyFont="1" applyFill="1"/>
    <xf numFmtId="1" fontId="12" fillId="10" borderId="0" xfId="0" applyNumberFormat="1" applyFont="1" applyFill="1"/>
    <xf numFmtId="166" fontId="0" fillId="0" borderId="0" xfId="0" applyNumberFormat="1"/>
    <xf numFmtId="2" fontId="0" fillId="0" borderId="0" xfId="0" applyNumberFormat="1"/>
    <xf numFmtId="0" fontId="15" fillId="11" borderId="16" xfId="0" applyFont="1" applyFill="1" applyBorder="1"/>
    <xf numFmtId="3" fontId="15" fillId="11" borderId="16" xfId="0" applyNumberFormat="1" applyFont="1" applyFill="1" applyBorder="1"/>
    <xf numFmtId="10" fontId="15" fillId="11" borderId="16" xfId="0" applyNumberFormat="1" applyFont="1" applyFill="1" applyBorder="1"/>
    <xf numFmtId="2" fontId="15" fillId="11" borderId="16" xfId="0" applyNumberFormat="1" applyFont="1" applyFill="1" applyBorder="1"/>
    <xf numFmtId="0" fontId="16" fillId="0" borderId="19" xfId="0" applyFont="1" applyBorder="1"/>
    <xf numFmtId="0" fontId="13" fillId="0" borderId="12" xfId="0" applyFont="1" applyBorder="1"/>
    <xf numFmtId="0" fontId="17" fillId="0" borderId="20" xfId="0" applyFont="1" applyBorder="1"/>
    <xf numFmtId="0" fontId="10" fillId="5" borderId="16" xfId="0" applyFont="1" applyFill="1" applyBorder="1"/>
    <xf numFmtId="2" fontId="10" fillId="5" borderId="16" xfId="0" applyNumberFormat="1" applyFont="1" applyFill="1" applyBorder="1"/>
    <xf numFmtId="0" fontId="0" fillId="0" borderId="12" xfId="0" applyBorder="1"/>
    <xf numFmtId="9" fontId="0" fillId="0" borderId="12" xfId="0" applyNumberFormat="1" applyBorder="1"/>
    <xf numFmtId="1" fontId="0" fillId="0" borderId="12" xfId="0" applyNumberFormat="1" applyBorder="1"/>
    <xf numFmtId="9" fontId="10" fillId="12" borderId="16" xfId="0" applyNumberFormat="1" applyFont="1" applyFill="1" applyBorder="1"/>
    <xf numFmtId="9" fontId="0" fillId="12" borderId="16" xfId="0" applyNumberFormat="1" applyFill="1" applyBorder="1"/>
    <xf numFmtId="9" fontId="12" fillId="12" borderId="16" xfId="0" applyNumberFormat="1" applyFont="1" applyFill="1" applyBorder="1"/>
    <xf numFmtId="2" fontId="12" fillId="7" borderId="16" xfId="0" applyNumberFormat="1" applyFont="1" applyFill="1" applyBorder="1"/>
    <xf numFmtId="0" fontId="18" fillId="13" borderId="21" xfId="0" applyFont="1" applyFill="1" applyBorder="1" applyAlignment="1">
      <alignment horizontal="center" vertical="center" wrapText="1"/>
    </xf>
    <xf numFmtId="0" fontId="18" fillId="13" borderId="22" xfId="0" applyFont="1" applyFill="1" applyBorder="1" applyAlignment="1">
      <alignment horizontal="center" vertical="center" wrapText="1"/>
    </xf>
    <xf numFmtId="0" fontId="19" fillId="14" borderId="16" xfId="0" applyFont="1" applyFill="1" applyBorder="1" applyAlignment="1">
      <alignment wrapText="1"/>
    </xf>
    <xf numFmtId="15" fontId="20" fillId="14" borderId="16" xfId="0" applyNumberFormat="1" applyFont="1" applyFill="1" applyBorder="1" applyAlignment="1">
      <alignment horizontal="center" wrapText="1"/>
    </xf>
    <xf numFmtId="0" fontId="21" fillId="15" borderId="23" xfId="0" applyFont="1" applyFill="1" applyBorder="1" applyAlignment="1">
      <alignment horizontal="center" wrapText="1"/>
    </xf>
    <xf numFmtId="0" fontId="20" fillId="15" borderId="23" xfId="0" applyFont="1" applyFill="1" applyBorder="1" applyAlignment="1">
      <alignment horizontal="left" wrapText="1"/>
    </xf>
    <xf numFmtId="15" fontId="20" fillId="15" borderId="23" xfId="0" applyNumberFormat="1" applyFont="1" applyFill="1" applyBorder="1" applyAlignment="1">
      <alignment horizontal="center" wrapText="1"/>
    </xf>
    <xf numFmtId="0" fontId="20" fillId="15" borderId="23" xfId="0" applyFont="1" applyFill="1" applyBorder="1" applyAlignment="1">
      <alignment horizontal="center" wrapText="1"/>
    </xf>
    <xf numFmtId="0" fontId="20" fillId="14" borderId="16" xfId="0" applyFont="1" applyFill="1" applyBorder="1" applyAlignment="1">
      <alignment horizontal="center" wrapText="1"/>
    </xf>
    <xf numFmtId="0" fontId="18" fillId="13" borderId="16" xfId="0" applyFont="1" applyFill="1" applyBorder="1" applyAlignment="1">
      <alignment horizontal="center" wrapText="1"/>
    </xf>
    <xf numFmtId="0" fontId="20" fillId="15" borderId="16" xfId="0" applyFont="1" applyFill="1" applyBorder="1" applyAlignment="1">
      <alignment horizontal="left" wrapText="1"/>
    </xf>
    <xf numFmtId="4" fontId="20" fillId="15" borderId="16" xfId="0" applyNumberFormat="1" applyFont="1" applyFill="1" applyBorder="1" applyAlignment="1">
      <alignment horizontal="right" wrapText="1"/>
    </xf>
    <xf numFmtId="0" fontId="20" fillId="15" borderId="16" xfId="0" applyFont="1" applyFill="1" applyBorder="1" applyAlignment="1">
      <alignment horizontal="right" wrapText="1"/>
    </xf>
    <xf numFmtId="0" fontId="19" fillId="15" borderId="16" xfId="0" applyFont="1" applyFill="1" applyBorder="1" applyAlignment="1">
      <alignment horizontal="left" wrapText="1"/>
    </xf>
    <xf numFmtId="0" fontId="22" fillId="15" borderId="16" xfId="0" applyFont="1" applyFill="1" applyBorder="1" applyAlignment="1">
      <alignment horizontal="right" wrapText="1"/>
    </xf>
    <xf numFmtId="0" fontId="23" fillId="15" borderId="16" xfId="0" applyFont="1" applyFill="1" applyBorder="1" applyAlignment="1">
      <alignment horizontal="right" wrapText="1"/>
    </xf>
    <xf numFmtId="0" fontId="20" fillId="0" borderId="0" xfId="0" applyFont="1"/>
    <xf numFmtId="0" fontId="24" fillId="14" borderId="16" xfId="0" applyFont="1" applyFill="1" applyBorder="1" applyAlignment="1">
      <alignment wrapText="1"/>
    </xf>
    <xf numFmtId="15" fontId="25" fillId="14" borderId="16" xfId="0" applyNumberFormat="1" applyFont="1" applyFill="1" applyBorder="1" applyAlignment="1">
      <alignment horizontal="center" wrapText="1"/>
    </xf>
    <xf numFmtId="0" fontId="25" fillId="14" borderId="16" xfId="0" applyFont="1" applyFill="1" applyBorder="1" applyAlignment="1">
      <alignment horizontal="center" wrapText="1"/>
    </xf>
    <xf numFmtId="166" fontId="20" fillId="15" borderId="16" xfId="0" applyNumberFormat="1" applyFont="1" applyFill="1" applyBorder="1" applyAlignment="1">
      <alignment horizontal="left" wrapText="1"/>
    </xf>
    <xf numFmtId="166" fontId="19" fillId="15" borderId="16" xfId="0" applyNumberFormat="1" applyFont="1" applyFill="1" applyBorder="1" applyAlignment="1">
      <alignment horizontal="left" wrapText="1"/>
    </xf>
    <xf numFmtId="0" fontId="19" fillId="15" borderId="16" xfId="0" applyFont="1" applyFill="1" applyBorder="1" applyAlignment="1">
      <alignment wrapText="1"/>
    </xf>
    <xf numFmtId="0" fontId="20" fillId="15" borderId="16" xfId="0" applyFont="1" applyFill="1" applyBorder="1" applyAlignment="1">
      <alignment wrapText="1"/>
    </xf>
    <xf numFmtId="15" fontId="0" fillId="0" borderId="0" xfId="0" applyNumberFormat="1"/>
    <xf numFmtId="4" fontId="0" fillId="0" borderId="0" xfId="0" applyNumberFormat="1"/>
    <xf numFmtId="0" fontId="18" fillId="13" borderId="12" xfId="0" applyFont="1" applyFill="1" applyBorder="1" applyAlignment="1">
      <alignment horizontal="center" wrapText="1"/>
    </xf>
    <xf numFmtId="0" fontId="19" fillId="14" borderId="12" xfId="0" applyFont="1" applyFill="1" applyBorder="1" applyAlignment="1">
      <alignment wrapText="1"/>
    </xf>
    <xf numFmtId="15" fontId="20" fillId="14" borderId="12" xfId="0" applyNumberFormat="1" applyFont="1" applyFill="1" applyBorder="1" applyAlignment="1">
      <alignment horizontal="center" wrapText="1"/>
    </xf>
    <xf numFmtId="0" fontId="20" fillId="14" borderId="12" xfId="0" applyFont="1" applyFill="1" applyBorder="1" applyAlignment="1">
      <alignment horizontal="center" wrapText="1"/>
    </xf>
    <xf numFmtId="0" fontId="0" fillId="15" borderId="21" xfId="0" applyFill="1" applyBorder="1"/>
    <xf numFmtId="0" fontId="0" fillId="15" borderId="32" xfId="0" applyFill="1" applyBorder="1"/>
    <xf numFmtId="0" fontId="0" fillId="15" borderId="33" xfId="0" applyFill="1" applyBorder="1"/>
    <xf numFmtId="0" fontId="20" fillId="15" borderId="12" xfId="0" applyFont="1" applyFill="1" applyBorder="1" applyAlignment="1">
      <alignment horizontal="left" wrapText="1"/>
    </xf>
    <xf numFmtId="4" fontId="20" fillId="15" borderId="12" xfId="0" applyNumberFormat="1" applyFont="1" applyFill="1" applyBorder="1" applyAlignment="1">
      <alignment horizontal="right" wrapText="1"/>
    </xf>
    <xf numFmtId="0" fontId="18" fillId="13" borderId="34" xfId="0" applyFont="1" applyFill="1" applyBorder="1" applyAlignment="1">
      <alignment horizontal="center" vertical="center" wrapText="1"/>
    </xf>
    <xf numFmtId="0" fontId="18" fillId="13" borderId="35" xfId="0" applyFont="1" applyFill="1" applyBorder="1" applyAlignment="1">
      <alignment horizontal="center" vertical="center" wrapText="1"/>
    </xf>
    <xf numFmtId="0" fontId="20" fillId="15" borderId="12" xfId="0" applyFont="1" applyFill="1" applyBorder="1" applyAlignment="1">
      <alignment horizontal="right" wrapText="1"/>
    </xf>
    <xf numFmtId="0" fontId="26" fillId="15" borderId="16" xfId="0" applyFont="1" applyFill="1" applyBorder="1" applyAlignment="1">
      <alignment horizontal="center" wrapText="1"/>
    </xf>
    <xf numFmtId="0" fontId="18" fillId="13" borderId="16" xfId="0" applyFont="1" applyFill="1" applyBorder="1" applyAlignment="1">
      <alignment horizontal="center" vertical="center" wrapText="1"/>
    </xf>
    <xf numFmtId="15" fontId="20" fillId="15" borderId="16" xfId="0" applyNumberFormat="1" applyFont="1" applyFill="1" applyBorder="1" applyAlignment="1">
      <alignment horizontal="center" wrapText="1"/>
    </xf>
    <xf numFmtId="0" fontId="20" fillId="15" borderId="16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27" fillId="14" borderId="16" xfId="0" applyFont="1" applyFill="1" applyBorder="1" applyAlignment="1">
      <alignment wrapText="1"/>
    </xf>
    <xf numFmtId="15" fontId="28" fillId="14" borderId="16" xfId="0" applyNumberFormat="1" applyFont="1" applyFill="1" applyBorder="1" applyAlignment="1">
      <alignment horizontal="center" wrapText="1"/>
    </xf>
    <xf numFmtId="15" fontId="0" fillId="0" borderId="0" xfId="0" applyNumberFormat="1" applyAlignment="1">
      <alignment horizontal="center" wrapText="1"/>
    </xf>
    <xf numFmtId="0" fontId="29" fillId="13" borderId="16" xfId="0" applyFont="1" applyFill="1" applyBorder="1" applyAlignment="1">
      <alignment horizontal="center" wrapText="1"/>
    </xf>
    <xf numFmtId="0" fontId="28" fillId="15" borderId="16" xfId="0" applyFont="1" applyFill="1" applyBorder="1" applyAlignment="1">
      <alignment horizontal="left" wrapText="1"/>
    </xf>
    <xf numFmtId="4" fontId="28" fillId="15" borderId="16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28" fillId="15" borderId="16" xfId="0" applyFont="1" applyFill="1" applyBorder="1" applyAlignment="1">
      <alignment horizontal="right" wrapText="1"/>
    </xf>
    <xf numFmtId="0" fontId="27" fillId="15" borderId="16" xfId="0" applyFont="1" applyFill="1" applyBorder="1" applyAlignment="1">
      <alignment horizontal="left" wrapText="1"/>
    </xf>
    <xf numFmtId="4" fontId="0" fillId="0" borderId="0" xfId="0" applyNumberFormat="1" applyAlignment="1">
      <alignment wrapText="1"/>
    </xf>
    <xf numFmtId="0" fontId="30" fillId="0" borderId="0" xfId="0" applyFont="1" applyAlignment="1">
      <alignment horizontal="center" wrapText="1"/>
    </xf>
    <xf numFmtId="20" fontId="0" fillId="0" borderId="0" xfId="0" applyNumberFormat="1"/>
    <xf numFmtId="0" fontId="5" fillId="15" borderId="16" xfId="0" applyFont="1" applyFill="1" applyBorder="1"/>
    <xf numFmtId="0" fontId="5" fillId="15" borderId="36" xfId="0" applyFont="1" applyFill="1" applyBorder="1"/>
    <xf numFmtId="0" fontId="5" fillId="15" borderId="26" xfId="0" applyFont="1" applyFill="1" applyBorder="1"/>
    <xf numFmtId="0" fontId="5" fillId="15" borderId="37" xfId="0" applyFont="1" applyFill="1" applyBorder="1"/>
    <xf numFmtId="0" fontId="31" fillId="16" borderId="12" xfId="0" applyFont="1" applyFill="1" applyBorder="1"/>
    <xf numFmtId="0" fontId="5" fillId="15" borderId="38" xfId="0" applyFont="1" applyFill="1" applyBorder="1"/>
    <xf numFmtId="0" fontId="32" fillId="0" borderId="12" xfId="0" applyFont="1" applyBorder="1"/>
    <xf numFmtId="1" fontId="5" fillId="15" borderId="12" xfId="0" applyNumberFormat="1" applyFont="1" applyFill="1" applyBorder="1" applyAlignment="1">
      <alignment horizontal="right"/>
    </xf>
    <xf numFmtId="1" fontId="5" fillId="0" borderId="12" xfId="0" applyNumberFormat="1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15" borderId="12" xfId="0" applyFont="1" applyFill="1" applyBorder="1"/>
    <xf numFmtId="1" fontId="5" fillId="15" borderId="12" xfId="0" applyNumberFormat="1" applyFont="1" applyFill="1" applyBorder="1"/>
    <xf numFmtId="0" fontId="5" fillId="0" borderId="12" xfId="0" applyFont="1" applyBorder="1"/>
    <xf numFmtId="10" fontId="5" fillId="15" borderId="12" xfId="0" applyNumberFormat="1" applyFont="1" applyFill="1" applyBorder="1"/>
    <xf numFmtId="0" fontId="5" fillId="15" borderId="0" xfId="0" applyFont="1" applyFill="1"/>
    <xf numFmtId="0" fontId="5" fillId="0" borderId="39" xfId="0" applyFont="1" applyBorder="1"/>
    <xf numFmtId="0" fontId="31" fillId="16" borderId="0" xfId="0" applyFont="1" applyFill="1"/>
    <xf numFmtId="9" fontId="32" fillId="17" borderId="12" xfId="0" applyNumberFormat="1" applyFont="1" applyFill="1" applyBorder="1"/>
    <xf numFmtId="0" fontId="32" fillId="17" borderId="12" xfId="0" applyFont="1" applyFill="1" applyBorder="1"/>
    <xf numFmtId="3" fontId="32" fillId="17" borderId="12" xfId="0" applyNumberFormat="1" applyFont="1" applyFill="1" applyBorder="1"/>
    <xf numFmtId="9" fontId="32" fillId="17" borderId="12" xfId="0" applyNumberFormat="1" applyFont="1" applyFill="1" applyBorder="1" applyAlignment="1">
      <alignment horizontal="right"/>
    </xf>
    <xf numFmtId="167" fontId="32" fillId="17" borderId="12" xfId="0" applyNumberFormat="1" applyFont="1" applyFill="1" applyBorder="1" applyAlignment="1">
      <alignment horizontal="right"/>
    </xf>
    <xf numFmtId="4" fontId="32" fillId="17" borderId="12" xfId="0" applyNumberFormat="1" applyFont="1" applyFill="1" applyBorder="1" applyAlignment="1">
      <alignment horizontal="right"/>
    </xf>
    <xf numFmtId="1" fontId="32" fillId="17" borderId="12" xfId="0" applyNumberFormat="1" applyFont="1" applyFill="1" applyBorder="1" applyAlignment="1">
      <alignment horizontal="right"/>
    </xf>
    <xf numFmtId="166" fontId="32" fillId="17" borderId="12" xfId="0" applyNumberFormat="1" applyFont="1" applyFill="1" applyBorder="1" applyAlignment="1">
      <alignment horizontal="right"/>
    </xf>
    <xf numFmtId="164" fontId="32" fillId="17" borderId="12" xfId="0" applyNumberFormat="1" applyFont="1" applyFill="1" applyBorder="1" applyAlignment="1">
      <alignment horizontal="right"/>
    </xf>
    <xf numFmtId="0" fontId="5" fillId="15" borderId="40" xfId="0" applyFont="1" applyFill="1" applyBorder="1"/>
    <xf numFmtId="1" fontId="33" fillId="18" borderId="12" xfId="0" applyNumberFormat="1" applyFont="1" applyFill="1" applyBorder="1" applyAlignment="1">
      <alignment horizontal="right"/>
    </xf>
    <xf numFmtId="1" fontId="34" fillId="18" borderId="12" xfId="0" applyNumberFormat="1" applyFont="1" applyFill="1" applyBorder="1" applyAlignment="1">
      <alignment horizontal="right"/>
    </xf>
    <xf numFmtId="4" fontId="5" fillId="0" borderId="12" xfId="0" applyNumberFormat="1" applyFont="1" applyBorder="1" applyAlignment="1">
      <alignment horizontal="right"/>
    </xf>
    <xf numFmtId="0" fontId="32" fillId="15" borderId="12" xfId="0" applyFont="1" applyFill="1" applyBorder="1"/>
    <xf numFmtId="0" fontId="5" fillId="15" borderId="39" xfId="0" applyFont="1" applyFill="1" applyBorder="1"/>
    <xf numFmtId="1" fontId="5" fillId="0" borderId="0" xfId="0" applyNumberFormat="1" applyFont="1"/>
    <xf numFmtId="164" fontId="5" fillId="0" borderId="0" xfId="0" applyNumberFormat="1" applyFont="1"/>
    <xf numFmtId="9" fontId="5" fillId="0" borderId="12" xfId="0" applyNumberFormat="1" applyFont="1" applyBorder="1" applyAlignment="1">
      <alignment horizontal="right"/>
    </xf>
    <xf numFmtId="0" fontId="35" fillId="19" borderId="0" xfId="0" applyFont="1" applyFill="1"/>
    <xf numFmtId="9" fontId="5" fillId="0" borderId="12" xfId="0" applyNumberFormat="1" applyFont="1" applyBorder="1"/>
    <xf numFmtId="9" fontId="36" fillId="15" borderId="12" xfId="0" applyNumberFormat="1" applyFont="1" applyFill="1" applyBorder="1" applyAlignment="1">
      <alignment horizontal="right"/>
    </xf>
    <xf numFmtId="0" fontId="8" fillId="0" borderId="12" xfId="0" applyFont="1" applyBorder="1"/>
    <xf numFmtId="10" fontId="8" fillId="0" borderId="12" xfId="0" applyNumberFormat="1" applyFont="1" applyBorder="1"/>
    <xf numFmtId="164" fontId="8" fillId="0" borderId="0" xfId="0" applyNumberFormat="1" applyFont="1"/>
    <xf numFmtId="0" fontId="5" fillId="15" borderId="41" xfId="0" applyFont="1" applyFill="1" applyBorder="1"/>
    <xf numFmtId="0" fontId="35" fillId="19" borderId="12" xfId="0" applyFont="1" applyFill="1" applyBorder="1"/>
    <xf numFmtId="9" fontId="36" fillId="0" borderId="12" xfId="0" applyNumberFormat="1" applyFont="1" applyBorder="1" applyAlignment="1">
      <alignment horizontal="right"/>
    </xf>
    <xf numFmtId="164" fontId="36" fillId="0" borderId="12" xfId="0" applyNumberFormat="1" applyFont="1" applyBorder="1" applyAlignment="1">
      <alignment horizontal="right"/>
    </xf>
    <xf numFmtId="1" fontId="5" fillId="0" borderId="12" xfId="0" applyNumberFormat="1" applyFont="1" applyBorder="1"/>
    <xf numFmtId="1" fontId="32" fillId="15" borderId="12" xfId="0" applyNumberFormat="1" applyFont="1" applyFill="1" applyBorder="1" applyAlignment="1">
      <alignment horizontal="right"/>
    </xf>
    <xf numFmtId="0" fontId="32" fillId="15" borderId="12" xfId="0" applyFont="1" applyFill="1" applyBorder="1" applyAlignment="1">
      <alignment horizontal="right"/>
    </xf>
    <xf numFmtId="9" fontId="32" fillId="15" borderId="12" xfId="0" applyNumberFormat="1" applyFont="1" applyFill="1" applyBorder="1" applyAlignment="1">
      <alignment horizontal="right"/>
    </xf>
    <xf numFmtId="164" fontId="36" fillId="15" borderId="12" xfId="0" applyNumberFormat="1" applyFont="1" applyFill="1" applyBorder="1" applyAlignment="1">
      <alignment horizontal="right"/>
    </xf>
    <xf numFmtId="3" fontId="36" fillId="15" borderId="12" xfId="0" applyNumberFormat="1" applyFont="1" applyFill="1" applyBorder="1" applyAlignment="1">
      <alignment horizontal="right"/>
    </xf>
    <xf numFmtId="1" fontId="5" fillId="15" borderId="38" xfId="0" applyNumberFormat="1" applyFont="1" applyFill="1" applyBorder="1"/>
    <xf numFmtId="2" fontId="32" fillId="15" borderId="12" xfId="0" applyNumberFormat="1" applyFont="1" applyFill="1" applyBorder="1" applyAlignment="1">
      <alignment horizontal="right"/>
    </xf>
    <xf numFmtId="164" fontId="32" fillId="15" borderId="12" xfId="0" applyNumberFormat="1" applyFont="1" applyFill="1" applyBorder="1" applyAlignment="1">
      <alignment horizontal="right"/>
    </xf>
    <xf numFmtId="1" fontId="8" fillId="0" borderId="12" xfId="0" applyNumberFormat="1" applyFont="1" applyBorder="1"/>
    <xf numFmtId="0" fontId="0" fillId="15" borderId="12" xfId="0" applyFill="1" applyBorder="1"/>
    <xf numFmtId="0" fontId="37" fillId="20" borderId="12" xfId="0" applyFont="1" applyFill="1" applyBorder="1" applyAlignment="1">
      <alignment horizontal="right"/>
    </xf>
    <xf numFmtId="1" fontId="37" fillId="15" borderId="12" xfId="0" applyNumberFormat="1" applyFont="1" applyFill="1" applyBorder="1" applyAlignment="1">
      <alignment horizontal="right"/>
    </xf>
    <xf numFmtId="164" fontId="37" fillId="15" borderId="12" xfId="0" applyNumberFormat="1" applyFont="1" applyFill="1" applyBorder="1" applyAlignment="1">
      <alignment horizontal="right"/>
    </xf>
    <xf numFmtId="0" fontId="37" fillId="15" borderId="12" xfId="0" applyFont="1" applyFill="1" applyBorder="1" applyAlignment="1">
      <alignment horizontal="right"/>
    </xf>
    <xf numFmtId="0" fontId="37" fillId="12" borderId="12" xfId="0" applyFont="1" applyFill="1" applyBorder="1" applyAlignment="1">
      <alignment horizontal="right"/>
    </xf>
    <xf numFmtId="0" fontId="37" fillId="21" borderId="12" xfId="0" applyFont="1" applyFill="1" applyBorder="1" applyAlignment="1">
      <alignment horizontal="right"/>
    </xf>
    <xf numFmtId="0" fontId="32" fillId="15" borderId="0" xfId="0" applyFont="1" applyFill="1"/>
    <xf numFmtId="0" fontId="38" fillId="19" borderId="12" xfId="0" applyFont="1" applyFill="1" applyBorder="1"/>
    <xf numFmtId="0" fontId="39" fillId="15" borderId="12" xfId="0" applyFont="1" applyFill="1" applyBorder="1" applyAlignment="1">
      <alignment horizontal="right"/>
    </xf>
    <xf numFmtId="9" fontId="40" fillId="15" borderId="12" xfId="0" applyNumberFormat="1" applyFont="1" applyFill="1" applyBorder="1" applyAlignment="1">
      <alignment horizontal="right"/>
    </xf>
    <xf numFmtId="9" fontId="8" fillId="0" borderId="0" xfId="0" applyNumberFormat="1" applyFont="1"/>
    <xf numFmtId="0" fontId="0" fillId="20" borderId="12" xfId="0" applyFill="1" applyBorder="1"/>
    <xf numFmtId="0" fontId="5" fillId="0" borderId="41" xfId="0" applyFont="1" applyBorder="1"/>
    <xf numFmtId="1" fontId="8" fillId="0" borderId="0" xfId="0" applyNumberFormat="1" applyFont="1"/>
    <xf numFmtId="0" fontId="5" fillId="0" borderId="38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8" fillId="13" borderId="24" xfId="0" applyFont="1" applyFill="1" applyBorder="1" applyAlignment="1">
      <alignment horizontal="center" wrapText="1"/>
    </xf>
    <xf numFmtId="0" fontId="1" fillId="0" borderId="25" xfId="0" applyFont="1" applyBorder="1"/>
    <xf numFmtId="0" fontId="1" fillId="0" borderId="26" xfId="0" applyFont="1" applyBorder="1"/>
    <xf numFmtId="0" fontId="20" fillId="15" borderId="27" xfId="0" applyFont="1" applyFill="1" applyBorder="1" applyAlignment="1">
      <alignment vertical="top" wrapText="1"/>
    </xf>
    <xf numFmtId="0" fontId="1" fillId="0" borderId="28" xfId="0" applyFont="1" applyBorder="1"/>
    <xf numFmtId="0" fontId="1" fillId="0" borderId="29" xfId="0" applyFont="1" applyBorder="1"/>
    <xf numFmtId="0" fontId="19" fillId="0" borderId="14" xfId="0" applyFont="1" applyBorder="1" applyAlignment="1">
      <alignment wrapText="1"/>
    </xf>
    <xf numFmtId="0" fontId="1" fillId="0" borderId="30" xfId="0" applyFont="1" applyBorder="1"/>
    <xf numFmtId="0" fontId="1" fillId="0" borderId="31" xfId="0" applyFont="1" applyBorder="1"/>
    <xf numFmtId="0" fontId="18" fillId="13" borderId="14" xfId="0" applyFont="1" applyFill="1" applyBorder="1" applyAlignment="1">
      <alignment horizontal="center" wrapText="1"/>
    </xf>
    <xf numFmtId="0" fontId="19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MARKETCAP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'Residential,Commercial Projects'!$C$34</c:f>
              <c:strCache>
                <c:ptCount val="1"/>
                <c:pt idx="0">
                  <c:v>MARKETCAP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885F-40A6-9E20-1C44FFA90B25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885F-40A6-9E20-1C44FFA90B25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885F-40A6-9E20-1C44FFA90B25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885F-40A6-9E20-1C44FFA90B25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885F-40A6-9E20-1C44FFA90B25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885F-40A6-9E20-1C44FFA90B25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885F-40A6-9E20-1C44FFA90B25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885F-40A6-9E20-1C44FFA90B25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885F-40A6-9E20-1C44FFA90B25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885F-40A6-9E20-1C44FFA90B25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885F-40A6-9E20-1C44FFA90B25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885F-40A6-9E20-1C44FFA90B25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885F-40A6-9E20-1C44FFA90B25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885F-40A6-9E20-1C44FFA90B25}"/>
              </c:ext>
            </c:extLst>
          </c:dPt>
          <c:dPt>
            <c:idx val="14"/>
            <c:bubble3D val="0"/>
            <c:spPr>
              <a:solidFill>
                <a:srgbClr val="FDE49B"/>
              </a:solidFill>
            </c:spPr>
            <c:extLst>
              <c:ext xmlns:c16="http://schemas.microsoft.com/office/drawing/2014/chart" uri="{C3380CC4-5D6E-409C-BE32-E72D297353CC}">
                <c16:uniqueId val="{0000001D-885F-40A6-9E20-1C44FFA90B25}"/>
              </c:ext>
            </c:extLst>
          </c:dPt>
          <c:dPt>
            <c:idx val="15"/>
            <c:bubble3D val="0"/>
            <c:spPr>
              <a:solidFill>
                <a:srgbClr val="AEDCBA"/>
              </a:solidFill>
            </c:spPr>
            <c:extLst>
              <c:ext xmlns:c16="http://schemas.microsoft.com/office/drawing/2014/chart" uri="{C3380CC4-5D6E-409C-BE32-E72D297353CC}">
                <c16:uniqueId val="{0000001F-885F-40A6-9E20-1C44FFA90B25}"/>
              </c:ext>
            </c:extLst>
          </c:dPt>
          <c:dPt>
            <c:idx val="16"/>
            <c:bubble3D val="0"/>
            <c:spPr>
              <a:solidFill>
                <a:srgbClr val="FFC599"/>
              </a:solidFill>
            </c:spPr>
            <c:extLst>
              <c:ext xmlns:c16="http://schemas.microsoft.com/office/drawing/2014/chart" uri="{C3380CC4-5D6E-409C-BE32-E72D297353CC}">
                <c16:uniqueId val="{00000021-885F-40A6-9E20-1C44FFA90B25}"/>
              </c:ext>
            </c:extLst>
          </c:dPt>
          <c:dPt>
            <c:idx val="17"/>
            <c:bubble3D val="0"/>
            <c:spPr>
              <a:solidFill>
                <a:srgbClr val="B5E5E8"/>
              </a:solidFill>
            </c:spPr>
            <c:extLst>
              <c:ext xmlns:c16="http://schemas.microsoft.com/office/drawing/2014/chart" uri="{C3380CC4-5D6E-409C-BE32-E72D297353CC}">
                <c16:uniqueId val="{00000023-885F-40A6-9E20-1C44FFA90B25}"/>
              </c:ext>
            </c:extLst>
          </c:dPt>
          <c:dPt>
            <c:idx val="18"/>
            <c:bubble3D val="0"/>
            <c:spPr>
              <a:solidFill>
                <a:srgbClr val="ECF3FE"/>
              </a:solidFill>
            </c:spPr>
            <c:extLst>
              <c:ext xmlns:c16="http://schemas.microsoft.com/office/drawing/2014/chart" uri="{C3380CC4-5D6E-409C-BE32-E72D297353CC}">
                <c16:uniqueId val="{00000025-885F-40A6-9E20-1C44FFA90B25}"/>
              </c:ext>
            </c:extLst>
          </c:dPt>
          <c:dPt>
            <c:idx val="19"/>
            <c:bubble3D val="0"/>
            <c:spPr>
              <a:solidFill>
                <a:srgbClr val="FDECEB"/>
              </a:solidFill>
            </c:spPr>
            <c:extLst>
              <c:ext xmlns:c16="http://schemas.microsoft.com/office/drawing/2014/chart" uri="{C3380CC4-5D6E-409C-BE32-E72D297353CC}">
                <c16:uniqueId val="{00000027-885F-40A6-9E20-1C44FFA90B2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'Residential,Commercial Projects'!$B$35:$B$54</c:f>
              <c:strCache>
                <c:ptCount val="20"/>
                <c:pt idx="0">
                  <c:v>DLF</c:v>
                </c:pt>
                <c:pt idx="1">
                  <c:v>LODHA</c:v>
                </c:pt>
                <c:pt idx="2">
                  <c:v>GODREJPROP</c:v>
                </c:pt>
                <c:pt idx="3">
                  <c:v>OBEROIRLTY</c:v>
                </c:pt>
                <c:pt idx="4">
                  <c:v>PHOENIXLTD</c:v>
                </c:pt>
                <c:pt idx="5">
                  <c:v>PRESTIGE</c:v>
                </c:pt>
                <c:pt idx="6">
                  <c:v>BRIGADE</c:v>
                </c:pt>
                <c:pt idx="7">
                  <c:v>SWANENERGY</c:v>
                </c:pt>
                <c:pt idx="8">
                  <c:v>SIGNATURE</c:v>
                </c:pt>
                <c:pt idx="9">
                  <c:v>SOBHA</c:v>
                </c:pt>
                <c:pt idx="10">
                  <c:v>DBREALTY</c:v>
                </c:pt>
                <c:pt idx="11">
                  <c:v>ANANTRAJ</c:v>
                </c:pt>
                <c:pt idx="12">
                  <c:v>NATIONSTD</c:v>
                </c:pt>
                <c:pt idx="13">
                  <c:v>MAHLIFE</c:v>
                </c:pt>
                <c:pt idx="14">
                  <c:v>RUSTOMJEE</c:v>
                </c:pt>
                <c:pt idx="15">
                  <c:v>GANESHHOUC</c:v>
                </c:pt>
                <c:pt idx="16">
                  <c:v>IBREALEST</c:v>
                </c:pt>
                <c:pt idx="17">
                  <c:v>SUNTECK</c:v>
                </c:pt>
                <c:pt idx="18">
                  <c:v>HEMIPROP</c:v>
                </c:pt>
                <c:pt idx="19">
                  <c:v>OTHER_116</c:v>
                </c:pt>
              </c:strCache>
            </c:strRef>
          </c:cat>
          <c:val>
            <c:numRef>
              <c:f>'Residential,Commercial Projects'!$C$35:$C$54</c:f>
              <c:numCache>
                <c:formatCode>0</c:formatCode>
                <c:ptCount val="20"/>
                <c:pt idx="0">
                  <c:v>211787.60311669999</c:v>
                </c:pt>
                <c:pt idx="1">
                  <c:v>111822.540245</c:v>
                </c:pt>
                <c:pt idx="2">
                  <c:v>62027.720399999998</c:v>
                </c:pt>
                <c:pt idx="3">
                  <c:v>51813.313499999997</c:v>
                </c:pt>
                <c:pt idx="4">
                  <c:v>45486.061985</c:v>
                </c:pt>
                <c:pt idx="5">
                  <c:v>41991.375502399998</c:v>
                </c:pt>
                <c:pt idx="6">
                  <c:v>20839.307237500001</c:v>
                </c:pt>
                <c:pt idx="7">
                  <c:v>19472.731899099999</c:v>
                </c:pt>
                <c:pt idx="8">
                  <c:v>18710.5661889</c:v>
                </c:pt>
                <c:pt idx="9">
                  <c:v>13297.386768</c:v>
                </c:pt>
                <c:pt idx="10">
                  <c:v>11000.5086529</c:v>
                </c:pt>
                <c:pt idx="11">
                  <c:v>10475.5308393</c:v>
                </c:pt>
                <c:pt idx="12">
                  <c:v>9599.9951999999994</c:v>
                </c:pt>
                <c:pt idx="13">
                  <c:v>8471.8946661999998</c:v>
                </c:pt>
                <c:pt idx="14">
                  <c:v>7118.0124999999998</c:v>
                </c:pt>
                <c:pt idx="15">
                  <c:v>6033.8896287999996</c:v>
                </c:pt>
                <c:pt idx="16">
                  <c:v>5970.8171210999999</c:v>
                </c:pt>
                <c:pt idx="17">
                  <c:v>5747.4195900000004</c:v>
                </c:pt>
                <c:pt idx="18">
                  <c:v>5570.39761</c:v>
                </c:pt>
                <c:pt idx="19" formatCode="General">
                  <c:v>58205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885F-40A6-9E20-1C44FFA90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TR.DAYS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'Residential,Commercial Projects'!$H$138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'Residential,Commercial Projects'!$G$139:$G$150</c:f>
              <c:strCache>
                <c:ptCount val="12"/>
                <c:pt idx="0">
                  <c:v>DLF</c:v>
                </c:pt>
                <c:pt idx="1">
                  <c:v>LODHA</c:v>
                </c:pt>
                <c:pt idx="2">
                  <c:v>GODREJPROP</c:v>
                </c:pt>
                <c:pt idx="3">
                  <c:v>OBEROIRLTY</c:v>
                </c:pt>
                <c:pt idx="4">
                  <c:v>PHOENIXLTD</c:v>
                </c:pt>
                <c:pt idx="5">
                  <c:v>PRESTIGE</c:v>
                </c:pt>
                <c:pt idx="6">
                  <c:v>BRIGADE</c:v>
                </c:pt>
                <c:pt idx="7">
                  <c:v>SWANENERGY</c:v>
                </c:pt>
                <c:pt idx="8">
                  <c:v>SIGNATURE</c:v>
                </c:pt>
                <c:pt idx="9">
                  <c:v>SOBHA</c:v>
                </c:pt>
                <c:pt idx="10">
                  <c:v>DBREALTY</c:v>
                </c:pt>
                <c:pt idx="11">
                  <c:v>ANANTRAJ</c:v>
                </c:pt>
              </c:strCache>
            </c:strRef>
          </c:cat>
          <c:val>
            <c:numRef>
              <c:f>'Residential,Commercial Projects'!$H$139:$H$150</c:f>
              <c:numCache>
                <c:formatCode>0</c:formatCode>
                <c:ptCount val="12"/>
                <c:pt idx="0">
                  <c:v>34.704487179487181</c:v>
                </c:pt>
                <c:pt idx="1">
                  <c:v>26.286166842661032</c:v>
                </c:pt>
                <c:pt idx="2">
                  <c:v>64.993339253996439</c:v>
                </c:pt>
                <c:pt idx="3">
                  <c:v>38.833492366412216</c:v>
                </c:pt>
                <c:pt idx="4">
                  <c:v>32.930250189537531</c:v>
                </c:pt>
                <c:pt idx="5">
                  <c:v>43.018641010222488</c:v>
                </c:pt>
                <c:pt idx="6">
                  <c:v>54.15650406504065</c:v>
                </c:pt>
                <c:pt idx="7">
                  <c:v>458.153685674548</c:v>
                </c:pt>
                <c:pt idx="8">
                  <c:v>3.6845425867507888</c:v>
                </c:pt>
                <c:pt idx="9">
                  <c:v>26.024169184290027</c:v>
                </c:pt>
                <c:pt idx="10">
                  <c:v>49.154727793696281</c:v>
                </c:pt>
                <c:pt idx="11">
                  <c:v>30.92573221757322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816-4AFE-BAA3-9C2CB14BF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6984001"/>
        <c:axId val="1069268507"/>
      </c:barChart>
      <c:catAx>
        <c:axId val="7669840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69268507"/>
        <c:crosses val="autoZero"/>
        <c:auto val="1"/>
        <c:lblAlgn val="ctr"/>
        <c:lblOffset val="100"/>
        <c:noMultiLvlLbl val="1"/>
      </c:catAx>
      <c:valAx>
        <c:axId val="10692685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6698400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CUR. RATIO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'Residential,Commercial Projects'!$L$138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'Residential,Commercial Projects'!$K$139:$K$150</c:f>
              <c:strCache>
                <c:ptCount val="12"/>
                <c:pt idx="0">
                  <c:v>DLF</c:v>
                </c:pt>
                <c:pt idx="1">
                  <c:v>LODHA</c:v>
                </c:pt>
                <c:pt idx="2">
                  <c:v>GODREJPROP</c:v>
                </c:pt>
                <c:pt idx="3">
                  <c:v>OBEROIRLTY</c:v>
                </c:pt>
                <c:pt idx="4">
                  <c:v>PHOENIXLTD</c:v>
                </c:pt>
                <c:pt idx="5">
                  <c:v>PRESTIGE</c:v>
                </c:pt>
                <c:pt idx="6">
                  <c:v>BRIGADE</c:v>
                </c:pt>
                <c:pt idx="7">
                  <c:v>SWANENERGY</c:v>
                </c:pt>
                <c:pt idx="8">
                  <c:v>SIGNATURE</c:v>
                </c:pt>
                <c:pt idx="9">
                  <c:v>SOBHA</c:v>
                </c:pt>
                <c:pt idx="10">
                  <c:v>DBREALTY</c:v>
                </c:pt>
                <c:pt idx="11">
                  <c:v>ANANTRAJ</c:v>
                </c:pt>
              </c:strCache>
            </c:strRef>
          </c:cat>
          <c:val>
            <c:numRef>
              <c:f>'Residential,Commercial Projects'!$L$139:$L$150</c:f>
              <c:numCache>
                <c:formatCode>0.00</c:formatCode>
                <c:ptCount val="12"/>
                <c:pt idx="0">
                  <c:v>2.077187828627975</c:v>
                </c:pt>
                <c:pt idx="1">
                  <c:v>1.5145623267585264</c:v>
                </c:pt>
                <c:pt idx="2">
                  <c:v>1.5340711554061883</c:v>
                </c:pt>
                <c:pt idx="3">
                  <c:v>4.7149088025376686</c:v>
                </c:pt>
                <c:pt idx="4">
                  <c:v>1.3436772692009309</c:v>
                </c:pt>
                <c:pt idx="5">
                  <c:v>1.1404882357664821</c:v>
                </c:pt>
                <c:pt idx="6">
                  <c:v>1.1540364290532943</c:v>
                </c:pt>
                <c:pt idx="7">
                  <c:v>1.3311008790288823</c:v>
                </c:pt>
                <c:pt idx="8">
                  <c:v>1.2001449012859988</c:v>
                </c:pt>
                <c:pt idx="9">
                  <c:v>1.1182949214766469</c:v>
                </c:pt>
                <c:pt idx="10">
                  <c:v>1.1452742123687281</c:v>
                </c:pt>
                <c:pt idx="11">
                  <c:v>5.3487804878048779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87A-45AD-A809-6E16488B5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573102"/>
        <c:axId val="97685648"/>
      </c:barChart>
      <c:catAx>
        <c:axId val="18145731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7685648"/>
        <c:crosses val="autoZero"/>
        <c:auto val="1"/>
        <c:lblAlgn val="ctr"/>
        <c:lblOffset val="100"/>
        <c:noMultiLvlLbl val="1"/>
      </c:catAx>
      <c:valAx>
        <c:axId val="976856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145731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0A2E-490C-8E5C-D8748021F9E1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0A2E-490C-8E5C-D8748021F9E1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0A2E-490C-8E5C-D8748021F9E1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0A2E-490C-8E5C-D8748021F9E1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0A2E-490C-8E5C-D8748021F9E1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0A2E-490C-8E5C-D8748021F9E1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0A2E-490C-8E5C-D8748021F9E1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0A2E-490C-8E5C-D8748021F9E1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0A2E-490C-8E5C-D8748021F9E1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0A2E-490C-8E5C-D8748021F9E1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0A2E-490C-8E5C-D8748021F9E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Sheet1!$D$3:$D$13</c:f>
              <c:strCache>
                <c:ptCount val="11"/>
                <c:pt idx="0">
                  <c:v>Security Name</c:v>
                </c:pt>
                <c:pt idx="1">
                  <c:v>DLF</c:v>
                </c:pt>
                <c:pt idx="2">
                  <c:v>LODHA</c:v>
                </c:pt>
                <c:pt idx="3">
                  <c:v>GODREJPROP</c:v>
                </c:pt>
                <c:pt idx="4">
                  <c:v>OBEROIRLTY</c:v>
                </c:pt>
                <c:pt idx="5">
                  <c:v>PRESTIGE</c:v>
                </c:pt>
                <c:pt idx="6">
                  <c:v>PHOENIXLTD</c:v>
                </c:pt>
                <c:pt idx="7">
                  <c:v>BRIGADE</c:v>
                </c:pt>
                <c:pt idx="8">
                  <c:v>SIGNATURE</c:v>
                </c:pt>
                <c:pt idx="9">
                  <c:v>SWANENERGY</c:v>
                </c:pt>
                <c:pt idx="10">
                  <c:v>Other_126</c:v>
                </c:pt>
              </c:strCache>
            </c:strRef>
          </c:cat>
          <c:val>
            <c:numRef>
              <c:f>Sheet1!$E$3:$E$13</c:f>
              <c:numCache>
                <c:formatCode>0</c:formatCode>
                <c:ptCount val="11"/>
                <c:pt idx="0" formatCode="General">
                  <c:v>0</c:v>
                </c:pt>
                <c:pt idx="1">
                  <c:v>211787.60311669999</c:v>
                </c:pt>
                <c:pt idx="2">
                  <c:v>111822.540245</c:v>
                </c:pt>
                <c:pt idx="3">
                  <c:v>62027.720399999998</c:v>
                </c:pt>
                <c:pt idx="4">
                  <c:v>51813.313499999997</c:v>
                </c:pt>
                <c:pt idx="5">
                  <c:v>41991.375502399998</c:v>
                </c:pt>
                <c:pt idx="6">
                  <c:v>45486.061985</c:v>
                </c:pt>
                <c:pt idx="7">
                  <c:v>20839.307237500001</c:v>
                </c:pt>
                <c:pt idx="8">
                  <c:v>18710.5661889</c:v>
                </c:pt>
                <c:pt idx="9">
                  <c:v>19472.731899099999</c:v>
                </c:pt>
                <c:pt idx="10">
                  <c:v>139141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A2E-490C-8E5C-D8748021F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Realty Industry Big Players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Sheet3!$K$4</c:f>
              <c:strCache>
                <c:ptCount val="1"/>
                <c:pt idx="0">
                  <c:v>CY Revenue Growth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Sheet3!$H$5:$H$7</c:f>
              <c:strCache>
                <c:ptCount val="3"/>
                <c:pt idx="0">
                  <c:v>GODREJPROP</c:v>
                </c:pt>
                <c:pt idx="1">
                  <c:v>OBEROIRLTY</c:v>
                </c:pt>
                <c:pt idx="2">
                  <c:v>SUNTECK</c:v>
                </c:pt>
              </c:strCache>
            </c:strRef>
          </c:cat>
          <c:val>
            <c:numRef>
              <c:f>Sheet3!$K$5:$K$7</c:f>
              <c:numCache>
                <c:formatCode>0%</c:formatCode>
                <c:ptCount val="3"/>
                <c:pt idx="0">
                  <c:v>-0.33083341145589196</c:v>
                </c:pt>
                <c:pt idx="1">
                  <c:v>-0.30969399151217336</c:v>
                </c:pt>
                <c:pt idx="2">
                  <c:v>-0.19999999999999996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9EB-433A-9542-88C1E9A99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729807"/>
        <c:axId val="84763153"/>
      </c:barChart>
      <c:catAx>
        <c:axId val="85572980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4763153"/>
        <c:crosses val="autoZero"/>
        <c:auto val="1"/>
        <c:lblAlgn val="ctr"/>
        <c:lblOffset val="100"/>
        <c:noMultiLvlLbl val="1"/>
      </c:catAx>
      <c:valAx>
        <c:axId val="8476315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55729807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tx>
            <c:strRef>
              <c:f>dataStudy!$C$2</c:f>
              <c:strCache>
                <c:ptCount val="1"/>
                <c:pt idx="0">
                  <c:v>Revenue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1760-48C2-A2AD-6E1C73E71020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1760-48C2-A2AD-6E1C73E71020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1760-48C2-A2AD-6E1C73E71020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1760-48C2-A2AD-6E1C73E71020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1760-48C2-A2AD-6E1C73E71020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1760-48C2-A2AD-6E1C73E71020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1760-48C2-A2AD-6E1C73E71020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1760-48C2-A2AD-6E1C73E71020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1760-48C2-A2AD-6E1C73E71020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1760-48C2-A2AD-6E1C73E71020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1760-48C2-A2AD-6E1C73E71020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1760-48C2-A2AD-6E1C73E71020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1760-48C2-A2AD-6E1C73E71020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1760-48C2-A2AD-6E1C73E71020}"/>
              </c:ext>
            </c:extLst>
          </c:dPt>
          <c:dPt>
            <c:idx val="14"/>
            <c:bubble3D val="0"/>
            <c:spPr>
              <a:solidFill>
                <a:srgbClr val="FDE49B"/>
              </a:solidFill>
            </c:spPr>
            <c:extLst>
              <c:ext xmlns:c16="http://schemas.microsoft.com/office/drawing/2014/chart" uri="{C3380CC4-5D6E-409C-BE32-E72D297353CC}">
                <c16:uniqueId val="{0000001D-1760-48C2-A2AD-6E1C73E71020}"/>
              </c:ext>
            </c:extLst>
          </c:dPt>
          <c:cat>
            <c:strRef>
              <c:f>dataStudy!$B$3:$B$17</c:f>
              <c:strCache>
                <c:ptCount val="15"/>
                <c:pt idx="0">
                  <c:v>DLF</c:v>
                </c:pt>
                <c:pt idx="1">
                  <c:v>IBREALEST</c:v>
                </c:pt>
                <c:pt idx="2">
                  <c:v>SOBHA</c:v>
                </c:pt>
                <c:pt idx="3">
                  <c:v>GODREJPROP</c:v>
                </c:pt>
                <c:pt idx="4">
                  <c:v>PHOENIXLTD</c:v>
                </c:pt>
                <c:pt idx="5">
                  <c:v>AHLUCONT</c:v>
                </c:pt>
                <c:pt idx="6">
                  <c:v>PURVA</c:v>
                </c:pt>
                <c:pt idx="7">
                  <c:v>KOLTEPATIL</c:v>
                </c:pt>
                <c:pt idx="8">
                  <c:v>CAPACITE</c:v>
                </c:pt>
                <c:pt idx="9">
                  <c:v>OBEROIRLTY</c:v>
                </c:pt>
                <c:pt idx="10">
                  <c:v>BRIGADE</c:v>
                </c:pt>
                <c:pt idx="11">
                  <c:v>SUNTECK</c:v>
                </c:pt>
                <c:pt idx="12">
                  <c:v>HDIL</c:v>
                </c:pt>
                <c:pt idx="13">
                  <c:v>ASHIANA</c:v>
                </c:pt>
                <c:pt idx="14">
                  <c:v>GEECEE</c:v>
                </c:pt>
              </c:strCache>
            </c:strRef>
          </c:cat>
          <c:val>
            <c:numRef>
              <c:f>dataStudy!$C$3:$C$17</c:f>
              <c:numCache>
                <c:formatCode>General</c:formatCode>
                <c:ptCount val="15"/>
                <c:pt idx="0">
                  <c:v>67067.899999999994</c:v>
                </c:pt>
                <c:pt idx="1">
                  <c:v>59265.32</c:v>
                </c:pt>
                <c:pt idx="2">
                  <c:v>26337</c:v>
                </c:pt>
                <c:pt idx="3">
                  <c:v>18892</c:v>
                </c:pt>
                <c:pt idx="4">
                  <c:v>16197.51</c:v>
                </c:pt>
                <c:pt idx="5">
                  <c:v>14265.21</c:v>
                </c:pt>
                <c:pt idx="6">
                  <c:v>14149</c:v>
                </c:pt>
                <c:pt idx="7">
                  <c:v>14027.2</c:v>
                </c:pt>
                <c:pt idx="8">
                  <c:v>13410.76</c:v>
                </c:pt>
                <c:pt idx="9">
                  <c:v>12654.3</c:v>
                </c:pt>
                <c:pt idx="10">
                  <c:v>12651.2</c:v>
                </c:pt>
                <c:pt idx="11">
                  <c:v>8882.86</c:v>
                </c:pt>
                <c:pt idx="12">
                  <c:v>7108.1</c:v>
                </c:pt>
                <c:pt idx="13">
                  <c:v>3559.4</c:v>
                </c:pt>
                <c:pt idx="14">
                  <c:v>1846.52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760-48C2-A2AD-6E1C73E71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dataStudy!$T$1</c:f>
              <c:strCache>
                <c:ptCount val="1"/>
                <c:pt idx="0">
                  <c:v>Cagr 2010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dataStudy!$S$2:$S$15</c:f>
              <c:strCache>
                <c:ptCount val="14"/>
                <c:pt idx="0">
                  <c:v>KOLTEPATIL</c:v>
                </c:pt>
                <c:pt idx="1">
                  <c:v>PHOENIXLTD</c:v>
                </c:pt>
                <c:pt idx="2">
                  <c:v>SUNTECK</c:v>
                </c:pt>
                <c:pt idx="3">
                  <c:v>ASHIANA</c:v>
                </c:pt>
                <c:pt idx="4">
                  <c:v>GODREJPROP</c:v>
                </c:pt>
                <c:pt idx="5">
                  <c:v>SOBHA</c:v>
                </c:pt>
                <c:pt idx="6">
                  <c:v>AHLUCONT</c:v>
                </c:pt>
                <c:pt idx="7">
                  <c:v>BRIGADE</c:v>
                </c:pt>
                <c:pt idx="8">
                  <c:v>OBEROIRLTY</c:v>
                </c:pt>
                <c:pt idx="9">
                  <c:v>GEECEE</c:v>
                </c:pt>
                <c:pt idx="10">
                  <c:v>PURVA</c:v>
                </c:pt>
                <c:pt idx="11">
                  <c:v>IBREALEST</c:v>
                </c:pt>
                <c:pt idx="12">
                  <c:v>DLF</c:v>
                </c:pt>
                <c:pt idx="13">
                  <c:v>HDIL</c:v>
                </c:pt>
              </c:strCache>
            </c:strRef>
          </c:cat>
          <c:val>
            <c:numRef>
              <c:f>dataStudy!$T$2:$T$15</c:f>
              <c:numCache>
                <c:formatCode>0%</c:formatCode>
                <c:ptCount val="14"/>
                <c:pt idx="0">
                  <c:v>0.22487958747092107</c:v>
                </c:pt>
                <c:pt idx="1">
                  <c:v>0.16495125526646781</c:v>
                </c:pt>
                <c:pt idx="2">
                  <c:v>0.16446053848377717</c:v>
                </c:pt>
                <c:pt idx="3">
                  <c:v>0.16029486794525649</c:v>
                </c:pt>
                <c:pt idx="4">
                  <c:v>0.13913386902357194</c:v>
                </c:pt>
                <c:pt idx="5">
                  <c:v>9.7257952636324863E-2</c:v>
                </c:pt>
                <c:pt idx="6">
                  <c:v>8.7102381696605669E-2</c:v>
                </c:pt>
                <c:pt idx="7">
                  <c:v>7.833418976950135E-2</c:v>
                </c:pt>
                <c:pt idx="8">
                  <c:v>7.2730015592410435E-2</c:v>
                </c:pt>
                <c:pt idx="9">
                  <c:v>6.0329354737258312E-2</c:v>
                </c:pt>
                <c:pt idx="10">
                  <c:v>4.0197743687353737E-2</c:v>
                </c:pt>
                <c:pt idx="11">
                  <c:v>-2.4592959795718183E-2</c:v>
                </c:pt>
                <c:pt idx="12">
                  <c:v>-7.3227414481918496E-2</c:v>
                </c:pt>
                <c:pt idx="13">
                  <c:v>-0.28037779543685182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1E4-410A-9B16-201140104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020108"/>
        <c:axId val="744529717"/>
      </c:barChart>
      <c:catAx>
        <c:axId val="6610201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44529717"/>
        <c:crosses val="autoZero"/>
        <c:auto val="1"/>
        <c:lblAlgn val="ctr"/>
        <c:lblOffset val="100"/>
        <c:noMultiLvlLbl val="1"/>
      </c:catAx>
      <c:valAx>
        <c:axId val="7445297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6102010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dataStudy!$M$1</c:f>
              <c:strCache>
                <c:ptCount val="1"/>
                <c:pt idx="0">
                  <c:v>Rev gr 2010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dataStudy!$L$2:$L$12</c:f>
              <c:strCache>
                <c:ptCount val="11"/>
                <c:pt idx="0">
                  <c:v>PHOENIXLTD</c:v>
                </c:pt>
                <c:pt idx="1">
                  <c:v>SUNTECK</c:v>
                </c:pt>
                <c:pt idx="2">
                  <c:v>KOLTEPATIL</c:v>
                </c:pt>
                <c:pt idx="3">
                  <c:v>GODREJPROP</c:v>
                </c:pt>
                <c:pt idx="4">
                  <c:v>BRIGADE</c:v>
                </c:pt>
                <c:pt idx="5">
                  <c:v>OBEROIRLTY</c:v>
                </c:pt>
                <c:pt idx="6">
                  <c:v>ASHIANA</c:v>
                </c:pt>
                <c:pt idx="7">
                  <c:v>SOBHA</c:v>
                </c:pt>
                <c:pt idx="8">
                  <c:v>GEECEE</c:v>
                </c:pt>
                <c:pt idx="9">
                  <c:v>AHLUCONT</c:v>
                </c:pt>
                <c:pt idx="10">
                  <c:v>CAPACITE</c:v>
                </c:pt>
              </c:strCache>
            </c:strRef>
          </c:cat>
          <c:val>
            <c:numRef>
              <c:f>dataStudy!$M$2:$M$12</c:f>
              <c:numCache>
                <c:formatCode>0%</c:formatCode>
                <c:ptCount val="11"/>
                <c:pt idx="0">
                  <c:v>0.69993900522605745</c:v>
                </c:pt>
                <c:pt idx="1">
                  <c:v>0.6472769055485168</c:v>
                </c:pt>
                <c:pt idx="2">
                  <c:v>0.32230663065023002</c:v>
                </c:pt>
                <c:pt idx="3">
                  <c:v>0.31261914603643515</c:v>
                </c:pt>
                <c:pt idx="4">
                  <c:v>0.18359434378767281</c:v>
                </c:pt>
                <c:pt idx="5">
                  <c:v>0.18318277455756804</c:v>
                </c:pt>
                <c:pt idx="6">
                  <c:v>0.16082903672087157</c:v>
                </c:pt>
                <c:pt idx="7">
                  <c:v>0.11355106884082233</c:v>
                </c:pt>
                <c:pt idx="8">
                  <c:v>4.3619485649802003E-2</c:v>
                </c:pt>
                <c:pt idx="9">
                  <c:v>-1.172604172584546E-2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F19-4C2D-81F4-4284AA07D4F3}"/>
            </c:ext>
          </c:extLst>
        </c:ser>
        <c:ser>
          <c:idx val="1"/>
          <c:order val="1"/>
          <c:tx>
            <c:strRef>
              <c:f>dataStudy!$N$1</c:f>
              <c:strCache>
                <c:ptCount val="1"/>
                <c:pt idx="0">
                  <c:v>Profit Gr 2010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dataStudy!$L$2:$L$12</c:f>
              <c:strCache>
                <c:ptCount val="11"/>
                <c:pt idx="0">
                  <c:v>PHOENIXLTD</c:v>
                </c:pt>
                <c:pt idx="1">
                  <c:v>SUNTECK</c:v>
                </c:pt>
                <c:pt idx="2">
                  <c:v>KOLTEPATIL</c:v>
                </c:pt>
                <c:pt idx="3">
                  <c:v>GODREJPROP</c:v>
                </c:pt>
                <c:pt idx="4">
                  <c:v>BRIGADE</c:v>
                </c:pt>
                <c:pt idx="5">
                  <c:v>OBEROIRLTY</c:v>
                </c:pt>
                <c:pt idx="6">
                  <c:v>ASHIANA</c:v>
                </c:pt>
                <c:pt idx="7">
                  <c:v>SOBHA</c:v>
                </c:pt>
                <c:pt idx="8">
                  <c:v>GEECEE</c:v>
                </c:pt>
                <c:pt idx="9">
                  <c:v>AHLUCONT</c:v>
                </c:pt>
                <c:pt idx="10">
                  <c:v>CAPACITE</c:v>
                </c:pt>
              </c:strCache>
            </c:strRef>
          </c:cat>
          <c:val>
            <c:numRef>
              <c:f>dataStudy!$N$2:$N$12</c:f>
              <c:numCache>
                <c:formatCode>0%</c:formatCode>
                <c:ptCount val="11"/>
                <c:pt idx="0">
                  <c:v>0.19884713167090817</c:v>
                </c:pt>
                <c:pt idx="1">
                  <c:v>0.5357403221362893</c:v>
                </c:pt>
                <c:pt idx="2">
                  <c:v>0.23928367582518284</c:v>
                </c:pt>
                <c:pt idx="3">
                  <c:v>8.5788021085233312E-2</c:v>
                </c:pt>
                <c:pt idx="4">
                  <c:v>0.18565517033041989</c:v>
                </c:pt>
                <c:pt idx="5">
                  <c:v>0.15184042751466831</c:v>
                </c:pt>
                <c:pt idx="6">
                  <c:v>8.3176300258146929E-2</c:v>
                </c:pt>
                <c:pt idx="7">
                  <c:v>4.4662876674187224E-2</c:v>
                </c:pt>
                <c:pt idx="8">
                  <c:v>-0.13960774504853102</c:v>
                </c:pt>
                <c:pt idx="9">
                  <c:v>6.3089155630740024E-3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F19-4C2D-81F4-4284AA07D4F3}"/>
            </c:ext>
          </c:extLst>
        </c:ser>
        <c:ser>
          <c:idx val="2"/>
          <c:order val="2"/>
          <c:tx>
            <c:strRef>
              <c:f>dataStudy!$O$1</c:f>
              <c:strCache>
                <c:ptCount val="1"/>
                <c:pt idx="0">
                  <c:v>Margin %</c:v>
                </c:pt>
              </c:strCache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dataStudy!$L$2:$L$12</c:f>
              <c:strCache>
                <c:ptCount val="11"/>
                <c:pt idx="0">
                  <c:v>PHOENIXLTD</c:v>
                </c:pt>
                <c:pt idx="1">
                  <c:v>SUNTECK</c:v>
                </c:pt>
                <c:pt idx="2">
                  <c:v>KOLTEPATIL</c:v>
                </c:pt>
                <c:pt idx="3">
                  <c:v>GODREJPROP</c:v>
                </c:pt>
                <c:pt idx="4">
                  <c:v>BRIGADE</c:v>
                </c:pt>
                <c:pt idx="5">
                  <c:v>OBEROIRLTY</c:v>
                </c:pt>
                <c:pt idx="6">
                  <c:v>ASHIANA</c:v>
                </c:pt>
                <c:pt idx="7">
                  <c:v>SOBHA</c:v>
                </c:pt>
                <c:pt idx="8">
                  <c:v>GEECEE</c:v>
                </c:pt>
                <c:pt idx="9">
                  <c:v>AHLUCONT</c:v>
                </c:pt>
                <c:pt idx="10">
                  <c:v>CAPACITE</c:v>
                </c:pt>
              </c:strCache>
            </c:strRef>
          </c:cat>
          <c:val>
            <c:numRef>
              <c:f>dataStudy!$O$2:$O$12</c:f>
              <c:numCache>
                <c:formatCode>0%</c:formatCode>
                <c:ptCount val="11"/>
                <c:pt idx="0">
                  <c:v>0.1525</c:v>
                </c:pt>
                <c:pt idx="1">
                  <c:v>0.25219999999999998</c:v>
                </c:pt>
                <c:pt idx="2">
                  <c:v>0.1095</c:v>
                </c:pt>
                <c:pt idx="3">
                  <c:v>0.1244</c:v>
                </c:pt>
                <c:pt idx="4">
                  <c:v>0.14269999999999999</c:v>
                </c:pt>
                <c:pt idx="5">
                  <c:v>0.36259999999999998</c:v>
                </c:pt>
                <c:pt idx="6">
                  <c:v>0.1885</c:v>
                </c:pt>
                <c:pt idx="7">
                  <c:v>7.3599999999999999E-2</c:v>
                </c:pt>
                <c:pt idx="8">
                  <c:v>0.16259999999999999</c:v>
                </c:pt>
                <c:pt idx="9">
                  <c:v>6.0299999999999999E-2</c:v>
                </c:pt>
                <c:pt idx="10">
                  <c:v>5.9299999999999999E-2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8F19-4C2D-81F4-4284AA07D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811636"/>
        <c:axId val="1917777365"/>
      </c:barChart>
      <c:catAx>
        <c:axId val="16288116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17777365"/>
        <c:crosses val="autoZero"/>
        <c:auto val="1"/>
        <c:lblAlgn val="ctr"/>
        <c:lblOffset val="100"/>
        <c:noMultiLvlLbl val="1"/>
      </c:catAx>
      <c:valAx>
        <c:axId val="19177773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2881163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'Residential,Commercial Projects'!$G$34</c:f>
              <c:strCache>
                <c:ptCount val="1"/>
                <c:pt idx="0">
                  <c:v>SALES_23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5F06-4489-9470-BE5D3BA26D36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5F06-4489-9470-BE5D3BA26D36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5F06-4489-9470-BE5D3BA26D36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5F06-4489-9470-BE5D3BA26D36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5F06-4489-9470-BE5D3BA26D36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5F06-4489-9470-BE5D3BA26D36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5F06-4489-9470-BE5D3BA26D36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5F06-4489-9470-BE5D3BA26D36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5F06-4489-9470-BE5D3BA26D36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5F06-4489-9470-BE5D3BA26D36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5F06-4489-9470-BE5D3BA26D36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5F06-4489-9470-BE5D3BA26D3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'Residential,Commercial Projects'!$F$35:$F$46</c:f>
              <c:strCache>
                <c:ptCount val="12"/>
                <c:pt idx="0">
                  <c:v>LODHA</c:v>
                </c:pt>
                <c:pt idx="1">
                  <c:v>PRESTIGE</c:v>
                </c:pt>
                <c:pt idx="2">
                  <c:v>DLF</c:v>
                </c:pt>
                <c:pt idx="3">
                  <c:v>OBEROIRLTY</c:v>
                </c:pt>
                <c:pt idx="4">
                  <c:v>BRIGADE</c:v>
                </c:pt>
                <c:pt idx="5">
                  <c:v>SOBHA</c:v>
                </c:pt>
                <c:pt idx="6">
                  <c:v>PHOENIXLTD</c:v>
                </c:pt>
                <c:pt idx="7">
                  <c:v>GODREJPROP</c:v>
                </c:pt>
                <c:pt idx="8">
                  <c:v>SIGNATURE</c:v>
                </c:pt>
                <c:pt idx="9">
                  <c:v>SWANENERGY</c:v>
                </c:pt>
                <c:pt idx="10">
                  <c:v>ANANTRAJ</c:v>
                </c:pt>
                <c:pt idx="11">
                  <c:v>DBREALTY</c:v>
                </c:pt>
              </c:strCache>
            </c:strRef>
          </c:cat>
          <c:val>
            <c:numRef>
              <c:f>'Residential,Commercial Projects'!$G$35:$G$46</c:f>
              <c:numCache>
                <c:formatCode>General</c:formatCode>
                <c:ptCount val="12"/>
                <c:pt idx="0">
                  <c:v>9470</c:v>
                </c:pt>
                <c:pt idx="1">
                  <c:v>8315</c:v>
                </c:pt>
                <c:pt idx="2">
                  <c:v>5694</c:v>
                </c:pt>
                <c:pt idx="3">
                  <c:v>4192</c:v>
                </c:pt>
                <c:pt idx="4">
                  <c:v>3444</c:v>
                </c:pt>
                <c:pt idx="5">
                  <c:v>3310</c:v>
                </c:pt>
                <c:pt idx="6">
                  <c:v>2638</c:v>
                </c:pt>
                <c:pt idx="7">
                  <c:v>2252</c:v>
                </c:pt>
                <c:pt idx="8">
                  <c:v>1585</c:v>
                </c:pt>
                <c:pt idx="9">
                  <c:v>1438</c:v>
                </c:pt>
                <c:pt idx="10">
                  <c:v>956</c:v>
                </c:pt>
                <c:pt idx="11">
                  <c:v>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F06-4489-9470-BE5D3BA26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PROFIT_23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'Residential,Commercial Projects'!$K$34</c:f>
              <c:strCache>
                <c:ptCount val="1"/>
                <c:pt idx="0">
                  <c:v>PROFIT_23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'Residential,Commercial Projects'!$J$35:$J$46</c:f>
              <c:strCache>
                <c:ptCount val="12"/>
                <c:pt idx="0">
                  <c:v>DLF</c:v>
                </c:pt>
                <c:pt idx="1">
                  <c:v>OBEROIRLTY</c:v>
                </c:pt>
                <c:pt idx="2">
                  <c:v>PHOENIXLTD</c:v>
                </c:pt>
                <c:pt idx="3">
                  <c:v>PRESTIGE</c:v>
                </c:pt>
                <c:pt idx="4">
                  <c:v>GODREJPROP</c:v>
                </c:pt>
                <c:pt idx="5">
                  <c:v>LODHA</c:v>
                </c:pt>
                <c:pt idx="6">
                  <c:v>BRIGADE</c:v>
                </c:pt>
                <c:pt idx="7">
                  <c:v>ANANTRAJ</c:v>
                </c:pt>
                <c:pt idx="8">
                  <c:v>SOBHA</c:v>
                </c:pt>
                <c:pt idx="9">
                  <c:v>DBREALTY</c:v>
                </c:pt>
                <c:pt idx="10">
                  <c:v>SWANENERGY</c:v>
                </c:pt>
                <c:pt idx="11">
                  <c:v>SIGNATURE</c:v>
                </c:pt>
              </c:strCache>
            </c:strRef>
          </c:cat>
          <c:val>
            <c:numRef>
              <c:f>'Residential,Commercial Projects'!$K$35:$K$46</c:f>
              <c:numCache>
                <c:formatCode>General</c:formatCode>
                <c:ptCount val="12"/>
                <c:pt idx="0">
                  <c:v>2033</c:v>
                </c:pt>
                <c:pt idx="1">
                  <c:v>1904</c:v>
                </c:pt>
                <c:pt idx="2">
                  <c:v>1477</c:v>
                </c:pt>
                <c:pt idx="3">
                  <c:v>1066</c:v>
                </c:pt>
                <c:pt idx="4">
                  <c:v>620</c:v>
                </c:pt>
                <c:pt idx="5">
                  <c:v>489</c:v>
                </c:pt>
                <c:pt idx="6">
                  <c:v>222</c:v>
                </c:pt>
                <c:pt idx="7">
                  <c:v>151</c:v>
                </c:pt>
                <c:pt idx="8">
                  <c:v>104</c:v>
                </c:pt>
                <c:pt idx="9">
                  <c:v>-60</c:v>
                </c:pt>
                <c:pt idx="10">
                  <c:v>-61</c:v>
                </c:pt>
                <c:pt idx="11">
                  <c:v>-63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1B2-46AE-942E-6CC0C6FAD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9748643"/>
        <c:axId val="672267457"/>
      </c:barChart>
      <c:catAx>
        <c:axId val="15597486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72267457"/>
        <c:crosses val="autoZero"/>
        <c:auto val="1"/>
        <c:lblAlgn val="ctr"/>
        <c:lblOffset val="100"/>
        <c:noMultiLvlLbl val="1"/>
      </c:catAx>
      <c:valAx>
        <c:axId val="6722674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PROFIT_23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5974864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SALES_5Y_GR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'Residential,Commercial Projects'!$C$74</c:f>
              <c:strCache>
                <c:ptCount val="1"/>
                <c:pt idx="0">
                  <c:v>SALES_5Y_GR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'Residential,Commercial Projects'!$B$75:$B$86</c:f>
              <c:strCache>
                <c:ptCount val="12"/>
                <c:pt idx="0">
                  <c:v>DLF</c:v>
                </c:pt>
                <c:pt idx="1">
                  <c:v>LODHA</c:v>
                </c:pt>
                <c:pt idx="2">
                  <c:v>GODREJPROP</c:v>
                </c:pt>
                <c:pt idx="3">
                  <c:v>OBEROIRLTY</c:v>
                </c:pt>
                <c:pt idx="4">
                  <c:v>PHOENIXLTD</c:v>
                </c:pt>
                <c:pt idx="5">
                  <c:v>PRESTIGE</c:v>
                </c:pt>
                <c:pt idx="6">
                  <c:v>BRIGADE</c:v>
                </c:pt>
                <c:pt idx="7">
                  <c:v>SWANENERGY</c:v>
                </c:pt>
                <c:pt idx="8">
                  <c:v>SIGNATURE</c:v>
                </c:pt>
                <c:pt idx="9">
                  <c:v>SOBHA</c:v>
                </c:pt>
                <c:pt idx="10">
                  <c:v>DBREALTY</c:v>
                </c:pt>
                <c:pt idx="11">
                  <c:v>ANANTRAJ</c:v>
                </c:pt>
              </c:strCache>
            </c:strRef>
          </c:cat>
          <c:val>
            <c:numRef>
              <c:f>'Residential,Commercial Projects'!$C$75:$C$86</c:f>
              <c:numCache>
                <c:formatCode>0.0%</c:formatCode>
                <c:ptCount val="12"/>
                <c:pt idx="0">
                  <c:v>-3.2217351559135521E-2</c:v>
                </c:pt>
                <c:pt idx="1">
                  <c:v>-4.3152680981494163E-3</c:v>
                </c:pt>
                <c:pt idx="2">
                  <c:v>3.5779438894550486E-2</c:v>
                </c:pt>
                <c:pt idx="3">
                  <c:v>0.27076764781944052</c:v>
                </c:pt>
                <c:pt idx="4">
                  <c:v>-0.13662749434989396</c:v>
                </c:pt>
                <c:pt idx="5">
                  <c:v>0.38714889725035251</c:v>
                </c:pt>
                <c:pt idx="6">
                  <c:v>0.12667630905442073</c:v>
                </c:pt>
                <c:pt idx="7">
                  <c:v>0.3296476105384496</c:v>
                </c:pt>
                <c:pt idx="8">
                  <c:v>0.45627294150497022</c:v>
                </c:pt>
                <c:pt idx="9">
                  <c:v>3.5069177663808571E-2</c:v>
                </c:pt>
                <c:pt idx="10">
                  <c:v>0.42449750281714005</c:v>
                </c:pt>
                <c:pt idx="11">
                  <c:v>0.14773950695328275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254-4A65-8B68-FC80890D9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061313"/>
        <c:axId val="844349124"/>
      </c:barChart>
      <c:catAx>
        <c:axId val="9680613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44349124"/>
        <c:crosses val="autoZero"/>
        <c:auto val="1"/>
        <c:lblAlgn val="ctr"/>
        <c:lblOffset val="100"/>
        <c:noMultiLvlLbl val="1"/>
      </c:catAx>
      <c:valAx>
        <c:axId val="8443491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6806131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CY_SALES GR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'Residential,Commercial Projects'!$G$74</c:f>
              <c:strCache>
                <c:ptCount val="1"/>
                <c:pt idx="0">
                  <c:v>CY_SALES GR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'Residential,Commercial Projects'!$F$75:$F$86</c:f>
              <c:strCache>
                <c:ptCount val="12"/>
                <c:pt idx="0">
                  <c:v>DLF</c:v>
                </c:pt>
                <c:pt idx="1">
                  <c:v>LODHA</c:v>
                </c:pt>
                <c:pt idx="2">
                  <c:v>GODREJPROP</c:v>
                </c:pt>
                <c:pt idx="3">
                  <c:v>OBEROIRLTY</c:v>
                </c:pt>
                <c:pt idx="4">
                  <c:v>PHOENIXLTD</c:v>
                </c:pt>
                <c:pt idx="5">
                  <c:v>PRESTIGE</c:v>
                </c:pt>
                <c:pt idx="6">
                  <c:v>BRIGADE</c:v>
                </c:pt>
                <c:pt idx="7">
                  <c:v>SWANENERGY</c:v>
                </c:pt>
                <c:pt idx="8">
                  <c:v>SIGNATURE</c:v>
                </c:pt>
                <c:pt idx="9">
                  <c:v>SOBHA</c:v>
                </c:pt>
                <c:pt idx="10">
                  <c:v>DBREALTY</c:v>
                </c:pt>
                <c:pt idx="11">
                  <c:v>ANANTRAJ</c:v>
                </c:pt>
              </c:strCache>
            </c:strRef>
          </c:cat>
          <c:val>
            <c:numRef>
              <c:f>'Residential,Commercial Projects'!$G$75:$G$86</c:f>
              <c:numCache>
                <c:formatCode>0%</c:formatCode>
                <c:ptCount val="12"/>
                <c:pt idx="0">
                  <c:v>1.2741859367626285E-2</c:v>
                </c:pt>
                <c:pt idx="1">
                  <c:v>1.3193885760257373E-2</c:v>
                </c:pt>
                <c:pt idx="2">
                  <c:v>1.6551155115511551</c:v>
                </c:pt>
                <c:pt idx="3">
                  <c:v>-1.5475085112968134E-2</c:v>
                </c:pt>
                <c:pt idx="4">
                  <c:v>0.39916186485070715</c:v>
                </c:pt>
                <c:pt idx="5">
                  <c:v>5.2789019883863197E-3</c:v>
                </c:pt>
                <c:pt idx="6">
                  <c:v>0.22751729438893165</c:v>
                </c:pt>
                <c:pt idx="7">
                  <c:v>6.1663366336633665</c:v>
                </c:pt>
                <c:pt idx="8">
                  <c:v>-0.3139269406392694</c:v>
                </c:pt>
                <c:pt idx="9">
                  <c:v>0.11142857142857143</c:v>
                </c:pt>
                <c:pt idx="10">
                  <c:v>-0.66666666666666674</c:v>
                </c:pt>
                <c:pt idx="11">
                  <c:v>0.53846153846153855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470-46B9-9551-C4160AFFB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186278"/>
        <c:axId val="2026636227"/>
      </c:barChart>
      <c:catAx>
        <c:axId val="10741862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26636227"/>
        <c:crosses val="autoZero"/>
        <c:auto val="1"/>
        <c:lblAlgn val="ctr"/>
        <c:lblOffset val="100"/>
        <c:noMultiLvlLbl val="1"/>
      </c:catAx>
      <c:valAx>
        <c:axId val="20266362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CY_SALES GR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7418627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DEBT2EQUITY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'Residential,Commercial Projects'!$C$106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'Residential,Commercial Projects'!$B$107:$B$118</c:f>
              <c:strCache>
                <c:ptCount val="12"/>
                <c:pt idx="0">
                  <c:v>DLF</c:v>
                </c:pt>
                <c:pt idx="1">
                  <c:v>LODHA</c:v>
                </c:pt>
                <c:pt idx="2">
                  <c:v>GODREJPROP</c:v>
                </c:pt>
                <c:pt idx="3">
                  <c:v>OBEROIRLTY</c:v>
                </c:pt>
                <c:pt idx="4">
                  <c:v>PHOENIXLTD</c:v>
                </c:pt>
                <c:pt idx="5">
                  <c:v>PRESTIGE</c:v>
                </c:pt>
                <c:pt idx="6">
                  <c:v>BRIGADE</c:v>
                </c:pt>
                <c:pt idx="7">
                  <c:v>SWANENERGY</c:v>
                </c:pt>
                <c:pt idx="8">
                  <c:v>SIGNATURE</c:v>
                </c:pt>
                <c:pt idx="9">
                  <c:v>SOBHA</c:v>
                </c:pt>
                <c:pt idx="10">
                  <c:v>DBREALTY</c:v>
                </c:pt>
                <c:pt idx="11">
                  <c:v>ANANTRAJ</c:v>
                </c:pt>
              </c:strCache>
            </c:strRef>
          </c:cat>
          <c:val>
            <c:numRef>
              <c:f>'Residential,Commercial Projects'!$C$107:$C$118</c:f>
              <c:numCache>
                <c:formatCode>0.00</c:formatCode>
                <c:ptCount val="12"/>
                <c:pt idx="0">
                  <c:v>8.0451822017314767E-2</c:v>
                </c:pt>
                <c:pt idx="1">
                  <c:v>0.6222079497609363</c:v>
                </c:pt>
                <c:pt idx="2">
                  <c:v>1.0648513822490127</c:v>
                </c:pt>
                <c:pt idx="3">
                  <c:v>0.25422188564937526</c:v>
                </c:pt>
                <c:pt idx="4">
                  <c:v>0.38331383313833139</c:v>
                </c:pt>
                <c:pt idx="5">
                  <c:v>0.80623570278742696</c:v>
                </c:pt>
                <c:pt idx="6">
                  <c:v>1.359920522282146</c:v>
                </c:pt>
                <c:pt idx="7">
                  <c:v>1.2378547378547378</c:v>
                </c:pt>
                <c:pt idx="8">
                  <c:v>1.9064625850340136</c:v>
                </c:pt>
                <c:pt idx="9">
                  <c:v>0.7733075435203095</c:v>
                </c:pt>
                <c:pt idx="10">
                  <c:v>0.36467302769373983</c:v>
                </c:pt>
                <c:pt idx="11">
                  <c:v>0.28116710875331563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A25-4CE6-AF96-BBC526BDF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33186"/>
        <c:axId val="554814257"/>
      </c:barChart>
      <c:catAx>
        <c:axId val="528331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54814257"/>
        <c:crosses val="autoZero"/>
        <c:auto val="1"/>
        <c:lblAlgn val="ctr"/>
        <c:lblOffset val="100"/>
        <c:noMultiLvlLbl val="1"/>
      </c:catAx>
      <c:valAx>
        <c:axId val="5548142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283318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ICR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'Residential,Commercial Projects'!$G$106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'Residential,Commercial Projects'!$F$107:$F$118</c:f>
              <c:strCache>
                <c:ptCount val="12"/>
                <c:pt idx="0">
                  <c:v>DLF</c:v>
                </c:pt>
                <c:pt idx="1">
                  <c:v>LODHA</c:v>
                </c:pt>
                <c:pt idx="2">
                  <c:v>GODREJPROP</c:v>
                </c:pt>
                <c:pt idx="3">
                  <c:v>OBEROIRLTY</c:v>
                </c:pt>
                <c:pt idx="4">
                  <c:v>PHOENIXLTD</c:v>
                </c:pt>
                <c:pt idx="5">
                  <c:v>PRESTIGE</c:v>
                </c:pt>
                <c:pt idx="6">
                  <c:v>BRIGADE</c:v>
                </c:pt>
                <c:pt idx="7">
                  <c:v>SWANENERGY</c:v>
                </c:pt>
                <c:pt idx="8">
                  <c:v>SIGNATURE</c:v>
                </c:pt>
                <c:pt idx="9">
                  <c:v>SOBHA</c:v>
                </c:pt>
                <c:pt idx="10">
                  <c:v>DBREALTY</c:v>
                </c:pt>
                <c:pt idx="11">
                  <c:v>ANANTRAJ</c:v>
                </c:pt>
              </c:strCache>
            </c:strRef>
          </c:cat>
          <c:val>
            <c:numRef>
              <c:f>'Residential,Commercial Projects'!$G$107:$G$118</c:f>
              <c:numCache>
                <c:formatCode>0</c:formatCode>
                <c:ptCount val="12"/>
                <c:pt idx="0">
                  <c:v>4.0229591836734695</c:v>
                </c:pt>
                <c:pt idx="1">
                  <c:v>4.1189979123173277</c:v>
                </c:pt>
                <c:pt idx="2">
                  <c:v>1.2816091954022988</c:v>
                </c:pt>
                <c:pt idx="3">
                  <c:v>12.254437869822485</c:v>
                </c:pt>
                <c:pt idx="4">
                  <c:v>3.7859237536656893</c:v>
                </c:pt>
                <c:pt idx="5">
                  <c:v>1.7853598014888337</c:v>
                </c:pt>
                <c:pt idx="6">
                  <c:v>1.2534562211981566</c:v>
                </c:pt>
                <c:pt idx="7">
                  <c:v>0.6711711711711712</c:v>
                </c:pt>
                <c:pt idx="8">
                  <c:v>1.5205479452054795</c:v>
                </c:pt>
                <c:pt idx="9">
                  <c:v>1.2128514056224899</c:v>
                </c:pt>
                <c:pt idx="10">
                  <c:v>-13.296296296296296</c:v>
                </c:pt>
                <c:pt idx="11">
                  <c:v>5.625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66F-42D0-A14E-5E10C82EB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137120"/>
        <c:axId val="1990749304"/>
      </c:barChart>
      <c:catAx>
        <c:axId val="60213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0749304"/>
        <c:crosses val="autoZero"/>
        <c:auto val="1"/>
        <c:lblAlgn val="ctr"/>
        <c:lblOffset val="100"/>
        <c:noMultiLvlLbl val="1"/>
      </c:catAx>
      <c:valAx>
        <c:axId val="19907493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0213712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DEBTRATIO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'Residential,Commercial Projects'!$K$106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'Residential,Commercial Projects'!$J$107:$J$118</c:f>
              <c:strCache>
                <c:ptCount val="12"/>
                <c:pt idx="0">
                  <c:v>DLF</c:v>
                </c:pt>
                <c:pt idx="1">
                  <c:v>LODHA</c:v>
                </c:pt>
                <c:pt idx="2">
                  <c:v>GODREJPROP</c:v>
                </c:pt>
                <c:pt idx="3">
                  <c:v>OBEROIRLTY</c:v>
                </c:pt>
                <c:pt idx="4">
                  <c:v>PHOENIXLTD</c:v>
                </c:pt>
                <c:pt idx="5">
                  <c:v>PRESTIGE</c:v>
                </c:pt>
                <c:pt idx="6">
                  <c:v>BRIGADE</c:v>
                </c:pt>
                <c:pt idx="7">
                  <c:v>SWANENERGY</c:v>
                </c:pt>
                <c:pt idx="8">
                  <c:v>SIGNATURE</c:v>
                </c:pt>
                <c:pt idx="9">
                  <c:v>SOBHA</c:v>
                </c:pt>
                <c:pt idx="10">
                  <c:v>DBREALTY</c:v>
                </c:pt>
                <c:pt idx="11">
                  <c:v>ANANTRAJ</c:v>
                </c:pt>
              </c:strCache>
            </c:strRef>
          </c:cat>
          <c:val>
            <c:numRef>
              <c:f>'Residential,Commercial Projects'!$K$107:$K$118</c:f>
              <c:numCache>
                <c:formatCode>0.00</c:formatCode>
                <c:ptCount val="12"/>
                <c:pt idx="0">
                  <c:v>0.32113148558010751</c:v>
                </c:pt>
                <c:pt idx="1">
                  <c:v>0.68187026157334052</c:v>
                </c:pt>
                <c:pt idx="2">
                  <c:v>0.67779967382440875</c:v>
                </c:pt>
                <c:pt idx="3">
                  <c:v>0.30613788631942945</c:v>
                </c:pt>
                <c:pt idx="4">
                  <c:v>0.37023139462163851</c:v>
                </c:pt>
                <c:pt idx="5">
                  <c:v>0.72858400971127979</c:v>
                </c:pt>
                <c:pt idx="6">
                  <c:v>0.80594374668317703</c:v>
                </c:pt>
                <c:pt idx="7">
                  <c:v>0.62271731190650115</c:v>
                </c:pt>
                <c:pt idx="8">
                  <c:v>0.91534391534391535</c:v>
                </c:pt>
                <c:pt idx="9">
                  <c:v>0.80955292319449756</c:v>
                </c:pt>
                <c:pt idx="10">
                  <c:v>0.63906056860321381</c:v>
                </c:pt>
                <c:pt idx="11">
                  <c:v>0.33461018476791349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80C-4729-89C4-C943C8FC2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544100"/>
        <c:axId val="695626043"/>
      </c:barChart>
      <c:catAx>
        <c:axId val="5385441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95626043"/>
        <c:crosses val="autoZero"/>
        <c:auto val="1"/>
        <c:lblAlgn val="ctr"/>
        <c:lblOffset val="100"/>
        <c:noMultiLvlLbl val="1"/>
      </c:catAx>
      <c:valAx>
        <c:axId val="6956260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3854410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MARGIN % and CY_MARGIN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'Residential,Commercial Projects'!$C$138</c:f>
              <c:strCache>
                <c:ptCount val="1"/>
                <c:pt idx="0">
                  <c:v>MARGIN %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'Residential,Commercial Projects'!$B$139:$B$150</c:f>
              <c:strCache>
                <c:ptCount val="12"/>
                <c:pt idx="0">
                  <c:v>DLF</c:v>
                </c:pt>
                <c:pt idx="1">
                  <c:v>LODHA</c:v>
                </c:pt>
                <c:pt idx="2">
                  <c:v>GODREJPROP</c:v>
                </c:pt>
                <c:pt idx="3">
                  <c:v>OBEROIRLTY</c:v>
                </c:pt>
                <c:pt idx="4">
                  <c:v>PHOENIXLTD</c:v>
                </c:pt>
                <c:pt idx="5">
                  <c:v>PRESTIGE</c:v>
                </c:pt>
                <c:pt idx="6">
                  <c:v>BRIGADE</c:v>
                </c:pt>
                <c:pt idx="7">
                  <c:v>SWANENERGY</c:v>
                </c:pt>
                <c:pt idx="8">
                  <c:v>SIGNATURE</c:v>
                </c:pt>
                <c:pt idx="9">
                  <c:v>SOBHA</c:v>
                </c:pt>
                <c:pt idx="10">
                  <c:v>DBREALTY</c:v>
                </c:pt>
                <c:pt idx="11">
                  <c:v>ANANTRAJ</c:v>
                </c:pt>
              </c:strCache>
            </c:strRef>
          </c:cat>
          <c:val>
            <c:numRef>
              <c:f>'Residential,Commercial Projects'!$C$139:$C$150</c:f>
              <c:numCache>
                <c:formatCode>0.0%</c:formatCode>
                <c:ptCount val="12"/>
                <c:pt idx="0">
                  <c:v>0.35704250087811734</c:v>
                </c:pt>
                <c:pt idx="1">
                  <c:v>5.1636747624076031E-2</c:v>
                </c:pt>
                <c:pt idx="2">
                  <c:v>0.27531083481349911</c:v>
                </c:pt>
                <c:pt idx="3">
                  <c:v>0.45419847328244273</c:v>
                </c:pt>
                <c:pt idx="4">
                  <c:v>0.55989385898407884</c:v>
                </c:pt>
                <c:pt idx="5">
                  <c:v>0.12820204449789538</c:v>
                </c:pt>
                <c:pt idx="6">
                  <c:v>6.4459930313588848E-2</c:v>
                </c:pt>
                <c:pt idx="7">
                  <c:v>-4.242002781641168E-2</c:v>
                </c:pt>
                <c:pt idx="8">
                  <c:v>-3.9747634069400628E-2</c:v>
                </c:pt>
                <c:pt idx="9">
                  <c:v>3.1419939577039278E-2</c:v>
                </c:pt>
                <c:pt idx="10">
                  <c:v>-8.5959885386819479E-2</c:v>
                </c:pt>
                <c:pt idx="11">
                  <c:v>0.15794979079497909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521-4E3A-983B-33D3BF54AC94}"/>
            </c:ext>
          </c:extLst>
        </c:ser>
        <c:ser>
          <c:idx val="1"/>
          <c:order val="1"/>
          <c:tx>
            <c:strRef>
              <c:f>'Residential,Commercial Projects'!$D$138</c:f>
              <c:strCache>
                <c:ptCount val="1"/>
                <c:pt idx="0">
                  <c:v>CY_MARGIN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'Residential,Commercial Projects'!$B$139:$B$150</c:f>
              <c:strCache>
                <c:ptCount val="12"/>
                <c:pt idx="0">
                  <c:v>DLF</c:v>
                </c:pt>
                <c:pt idx="1">
                  <c:v>LODHA</c:v>
                </c:pt>
                <c:pt idx="2">
                  <c:v>GODREJPROP</c:v>
                </c:pt>
                <c:pt idx="3">
                  <c:v>OBEROIRLTY</c:v>
                </c:pt>
                <c:pt idx="4">
                  <c:v>PHOENIXLTD</c:v>
                </c:pt>
                <c:pt idx="5">
                  <c:v>PRESTIGE</c:v>
                </c:pt>
                <c:pt idx="6">
                  <c:v>BRIGADE</c:v>
                </c:pt>
                <c:pt idx="7">
                  <c:v>SWANENERGY</c:v>
                </c:pt>
                <c:pt idx="8">
                  <c:v>SIGNATURE</c:v>
                </c:pt>
                <c:pt idx="9">
                  <c:v>SOBHA</c:v>
                </c:pt>
                <c:pt idx="10">
                  <c:v>DBREALTY</c:v>
                </c:pt>
                <c:pt idx="11">
                  <c:v>ANANTRAJ</c:v>
                </c:pt>
              </c:strCache>
            </c:strRef>
          </c:cat>
          <c:val>
            <c:numRef>
              <c:f>'Residential,Commercial Projects'!$D$139:$D$150</c:f>
              <c:numCache>
                <c:formatCode>0%</c:formatCode>
                <c:ptCount val="12"/>
                <c:pt idx="0">
                  <c:v>0.42008387698042871</c:v>
                </c:pt>
                <c:pt idx="1">
                  <c:v>0.14086072733047483</c:v>
                </c:pt>
                <c:pt idx="2">
                  <c:v>0.16718458669981354</c:v>
                </c:pt>
                <c:pt idx="3">
                  <c:v>0.35774913549198367</c:v>
                </c:pt>
                <c:pt idx="4">
                  <c:v>0.35230250842381133</c:v>
                </c:pt>
                <c:pt idx="5">
                  <c:v>0.24365482233502539</c:v>
                </c:pt>
                <c:pt idx="6">
                  <c:v>5.9486537257357544E-2</c:v>
                </c:pt>
                <c:pt idx="7">
                  <c:v>0.14644929538546561</c:v>
                </c:pt>
                <c:pt idx="8">
                  <c:v>-4.1597337770382693E-2</c:v>
                </c:pt>
                <c:pt idx="9">
                  <c:v>1.7994858611825194E-2</c:v>
                </c:pt>
                <c:pt idx="10">
                  <c:v>6.244131455399061</c:v>
                </c:pt>
                <c:pt idx="11">
                  <c:v>0.17499999999999999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521-4E3A-983B-33D3BF54A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86596"/>
        <c:axId val="1508490575"/>
      </c:barChart>
      <c:catAx>
        <c:axId val="7335865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08490575"/>
        <c:crosses val="autoZero"/>
        <c:auto val="1"/>
        <c:lblAlgn val="ctr"/>
        <c:lblOffset val="100"/>
        <c:noMultiLvlLbl val="1"/>
      </c:catAx>
      <c:valAx>
        <c:axId val="150849057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3358659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4.png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55</xdr:row>
      <xdr:rowOff>209550</xdr:rowOff>
    </xdr:from>
    <xdr:ext cx="4724400" cy="2943225"/>
    <xdr:graphicFrame macro="">
      <xdr:nvGraphicFramePr>
        <xdr:cNvPr id="1974662383" name="Chart 1" title="Chart">
          <a:extLst>
            <a:ext uri="{FF2B5EF4-FFF2-40B4-BE49-F238E27FC236}">
              <a16:creationId xmlns:a16="http://schemas.microsoft.com/office/drawing/2014/main" id="{00000000-0008-0000-0000-0000EFF4B2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476250</xdr:colOff>
      <xdr:row>55</xdr:row>
      <xdr:rowOff>209550</xdr:rowOff>
    </xdr:from>
    <xdr:ext cx="4800600" cy="2943225"/>
    <xdr:graphicFrame macro="">
      <xdr:nvGraphicFramePr>
        <xdr:cNvPr id="235397829" name="Chart 2" title="Chart">
          <a:extLst>
            <a:ext uri="{FF2B5EF4-FFF2-40B4-BE49-F238E27FC236}">
              <a16:creationId xmlns:a16="http://schemas.microsoft.com/office/drawing/2014/main" id="{00000000-0008-0000-0000-0000C5E20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10</xdr:col>
      <xdr:colOff>447675</xdr:colOff>
      <xdr:row>55</xdr:row>
      <xdr:rowOff>209550</xdr:rowOff>
    </xdr:from>
    <xdr:ext cx="4724400" cy="2943225"/>
    <xdr:graphicFrame macro="">
      <xdr:nvGraphicFramePr>
        <xdr:cNvPr id="1453855828" name="Chart 3" title="Chart">
          <a:extLst>
            <a:ext uri="{FF2B5EF4-FFF2-40B4-BE49-F238E27FC236}">
              <a16:creationId xmlns:a16="http://schemas.microsoft.com/office/drawing/2014/main" id="{00000000-0008-0000-0000-00005414A8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133350</xdr:colOff>
      <xdr:row>88</xdr:row>
      <xdr:rowOff>47625</xdr:rowOff>
    </xdr:from>
    <xdr:ext cx="4867275" cy="3009900"/>
    <xdr:graphicFrame macro="">
      <xdr:nvGraphicFramePr>
        <xdr:cNvPr id="796003677" name="Chart 4" title="Chart">
          <a:extLst>
            <a:ext uri="{FF2B5EF4-FFF2-40B4-BE49-F238E27FC236}">
              <a16:creationId xmlns:a16="http://schemas.microsoft.com/office/drawing/2014/main" id="{00000000-0008-0000-0000-00005D0D72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5</xdr:col>
      <xdr:colOff>619125</xdr:colOff>
      <xdr:row>88</xdr:row>
      <xdr:rowOff>47625</xdr:rowOff>
    </xdr:from>
    <xdr:ext cx="4867275" cy="3009900"/>
    <xdr:graphicFrame macro="">
      <xdr:nvGraphicFramePr>
        <xdr:cNvPr id="334491467" name="Chart 5" title="Chart">
          <a:extLst>
            <a:ext uri="{FF2B5EF4-FFF2-40B4-BE49-F238E27FC236}">
              <a16:creationId xmlns:a16="http://schemas.microsoft.com/office/drawing/2014/main" id="{00000000-0008-0000-0000-00004BEFEF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0</xdr:colOff>
      <xdr:row>119</xdr:row>
      <xdr:rowOff>200025</xdr:rowOff>
    </xdr:from>
    <xdr:ext cx="4914900" cy="3095625"/>
    <xdr:graphicFrame macro="">
      <xdr:nvGraphicFramePr>
        <xdr:cNvPr id="1992390879" name="Chart 6" title="Chart">
          <a:extLst>
            <a:ext uri="{FF2B5EF4-FFF2-40B4-BE49-F238E27FC236}">
              <a16:creationId xmlns:a16="http://schemas.microsoft.com/office/drawing/2014/main" id="{00000000-0008-0000-0000-0000DF78C1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5</xdr:col>
      <xdr:colOff>533400</xdr:colOff>
      <xdr:row>119</xdr:row>
      <xdr:rowOff>200025</xdr:rowOff>
    </xdr:from>
    <xdr:ext cx="4972050" cy="3095625"/>
    <xdr:graphicFrame macro="">
      <xdr:nvGraphicFramePr>
        <xdr:cNvPr id="1328241279" name="Chart 7" title="Chart">
          <a:extLst>
            <a:ext uri="{FF2B5EF4-FFF2-40B4-BE49-F238E27FC236}">
              <a16:creationId xmlns:a16="http://schemas.microsoft.com/office/drawing/2014/main" id="{00000000-0008-0000-0000-00007F5A2B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10</xdr:col>
      <xdr:colOff>685800</xdr:colOff>
      <xdr:row>119</xdr:row>
      <xdr:rowOff>200025</xdr:rowOff>
    </xdr:from>
    <xdr:ext cx="4972050" cy="3095625"/>
    <xdr:graphicFrame macro="">
      <xdr:nvGraphicFramePr>
        <xdr:cNvPr id="171433010" name="Chart 8" title="Chart">
          <a:extLst>
            <a:ext uri="{FF2B5EF4-FFF2-40B4-BE49-F238E27FC236}">
              <a16:creationId xmlns:a16="http://schemas.microsoft.com/office/drawing/2014/main" id="{00000000-0008-0000-0000-000032DC37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0</xdr:col>
      <xdr:colOff>0</xdr:colOff>
      <xdr:row>152</xdr:row>
      <xdr:rowOff>123825</xdr:rowOff>
    </xdr:from>
    <xdr:ext cx="4800600" cy="3009900"/>
    <xdr:graphicFrame macro="">
      <xdr:nvGraphicFramePr>
        <xdr:cNvPr id="2114331768" name="Chart 9" title="Chart">
          <a:extLst>
            <a:ext uri="{FF2B5EF4-FFF2-40B4-BE49-F238E27FC236}">
              <a16:creationId xmlns:a16="http://schemas.microsoft.com/office/drawing/2014/main" id="{00000000-0008-0000-0000-0000782406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10</xdr:col>
      <xdr:colOff>381000</xdr:colOff>
      <xdr:row>152</xdr:row>
      <xdr:rowOff>123825</xdr:rowOff>
    </xdr:from>
    <xdr:ext cx="4867275" cy="3009900"/>
    <xdr:graphicFrame macro="">
      <xdr:nvGraphicFramePr>
        <xdr:cNvPr id="1350160423" name="Chart 10" title="Chart">
          <a:extLst>
            <a:ext uri="{FF2B5EF4-FFF2-40B4-BE49-F238E27FC236}">
              <a16:creationId xmlns:a16="http://schemas.microsoft.com/office/drawing/2014/main" id="{00000000-0008-0000-0000-000027D079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5</xdr:col>
      <xdr:colOff>400050</xdr:colOff>
      <xdr:row>152</xdr:row>
      <xdr:rowOff>123825</xdr:rowOff>
    </xdr:from>
    <xdr:ext cx="4800600" cy="3009900"/>
    <xdr:graphicFrame macro="">
      <xdr:nvGraphicFramePr>
        <xdr:cNvPr id="1762237492" name="Chart 11" title="Chart">
          <a:extLst>
            <a:ext uri="{FF2B5EF4-FFF2-40B4-BE49-F238E27FC236}">
              <a16:creationId xmlns:a16="http://schemas.microsoft.com/office/drawing/2014/main" id="{00000000-0008-0000-0000-0000349C09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0</xdr:col>
      <xdr:colOff>133350</xdr:colOff>
      <xdr:row>6</xdr:row>
      <xdr:rowOff>76200</xdr:rowOff>
    </xdr:from>
    <xdr:ext cx="4648200" cy="18764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533400</xdr:colOff>
      <xdr:row>6</xdr:row>
      <xdr:rowOff>76200</xdr:rowOff>
    </xdr:from>
    <xdr:ext cx="4210050" cy="2447925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904875</xdr:colOff>
      <xdr:row>6</xdr:row>
      <xdr:rowOff>76200</xdr:rowOff>
    </xdr:from>
    <xdr:ext cx="5734050" cy="2447925"/>
    <xdr:pic>
      <xdr:nvPicPr>
        <xdr:cNvPr id="4" name="image4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20</xdr:row>
      <xdr:rowOff>76200</xdr:rowOff>
    </xdr:from>
    <xdr:ext cx="4724400" cy="2152650"/>
    <xdr:pic>
      <xdr:nvPicPr>
        <xdr:cNvPr id="5" name="image2.png" title="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2</xdr:row>
      <xdr:rowOff>142875</xdr:rowOff>
    </xdr:from>
    <xdr:ext cx="5715000" cy="3533775"/>
    <xdr:graphicFrame macro="">
      <xdr:nvGraphicFramePr>
        <xdr:cNvPr id="780725652" name="Chart 12" title="Chart">
          <a:extLst>
            <a:ext uri="{FF2B5EF4-FFF2-40B4-BE49-F238E27FC236}">
              <a16:creationId xmlns:a16="http://schemas.microsoft.com/office/drawing/2014/main" id="{00000000-0008-0000-0200-000094ED88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7</xdr:row>
      <xdr:rowOff>161925</xdr:rowOff>
    </xdr:from>
    <xdr:ext cx="4572000" cy="2886075"/>
    <xdr:graphicFrame macro="">
      <xdr:nvGraphicFramePr>
        <xdr:cNvPr id="625440244" name="Chart 13">
          <a:extLst>
            <a:ext uri="{FF2B5EF4-FFF2-40B4-BE49-F238E27FC236}">
              <a16:creationId xmlns:a16="http://schemas.microsoft.com/office/drawing/2014/main" id="{00000000-0008-0000-0300-0000F47547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23</xdr:row>
      <xdr:rowOff>161925</xdr:rowOff>
    </xdr:from>
    <xdr:ext cx="4867275" cy="3333750"/>
    <xdr:graphicFrame macro="">
      <xdr:nvGraphicFramePr>
        <xdr:cNvPr id="1593628093" name="Chart 14">
          <a:extLst>
            <a:ext uri="{FF2B5EF4-FFF2-40B4-BE49-F238E27FC236}">
              <a16:creationId xmlns:a16="http://schemas.microsoft.com/office/drawing/2014/main" id="{00000000-0008-0000-0500-0000BDD5FC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16</xdr:col>
      <xdr:colOff>409575</xdr:colOff>
      <xdr:row>24</xdr:row>
      <xdr:rowOff>0</xdr:rowOff>
    </xdr:from>
    <xdr:ext cx="4886325" cy="3448050"/>
    <xdr:graphicFrame macro="">
      <xdr:nvGraphicFramePr>
        <xdr:cNvPr id="1505548051" name="Chart 15">
          <a:extLst>
            <a:ext uri="{FF2B5EF4-FFF2-40B4-BE49-F238E27FC236}">
              <a16:creationId xmlns:a16="http://schemas.microsoft.com/office/drawing/2014/main" id="{00000000-0008-0000-0500-000013D7BC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7</xdr:col>
      <xdr:colOff>533400</xdr:colOff>
      <xdr:row>24</xdr:row>
      <xdr:rowOff>0</xdr:rowOff>
    </xdr:from>
    <xdr:ext cx="5191125" cy="3438525"/>
    <xdr:graphicFrame macro="">
      <xdr:nvGraphicFramePr>
        <xdr:cNvPr id="1552190041" name="Chart 16">
          <a:extLst>
            <a:ext uri="{FF2B5EF4-FFF2-40B4-BE49-F238E27FC236}">
              <a16:creationId xmlns:a16="http://schemas.microsoft.com/office/drawing/2014/main" id="{00000000-0008-0000-0500-0000598A84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3</xdr:col>
      <xdr:colOff>200025</xdr:colOff>
      <xdr:row>1</xdr:row>
      <xdr:rowOff>76200</xdr:rowOff>
    </xdr:from>
    <xdr:ext cx="2181225" cy="348615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561975</xdr:colOff>
      <xdr:row>11</xdr:row>
      <xdr:rowOff>123825</xdr:rowOff>
    </xdr:from>
    <xdr:ext cx="4381500" cy="24574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552450</xdr:colOff>
      <xdr:row>7</xdr:row>
      <xdr:rowOff>123825</xdr:rowOff>
    </xdr:from>
    <xdr:ext cx="3381375" cy="3038475"/>
    <xdr:pic>
      <xdr:nvPicPr>
        <xdr:cNvPr id="4" name="image7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0</xdr:colOff>
      <xdr:row>1</xdr:row>
      <xdr:rowOff>0</xdr:rowOff>
    </xdr:from>
    <xdr:ext cx="57150" cy="85725"/>
    <xdr:pic>
      <xdr:nvPicPr>
        <xdr:cNvPr id="2" name="image8.gif" descr="https://www.bseindia.com/include/images/rs.gif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46</xdr:row>
      <xdr:rowOff>57150</xdr:rowOff>
    </xdr:from>
    <xdr:ext cx="10515600" cy="4905375"/>
    <xdr:pic>
      <xdr:nvPicPr>
        <xdr:cNvPr id="2" name="image9.png" title="Imag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571500</xdr:colOff>
      <xdr:row>48</xdr:row>
      <xdr:rowOff>142875</xdr:rowOff>
    </xdr:from>
    <xdr:ext cx="11620500" cy="5419725"/>
    <xdr:pic>
      <xdr:nvPicPr>
        <xdr:cNvPr id="3" name="image9.png" title="Imag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seindia.com/corporates/ScripWiseCorpAction.aspx?scrip_cd=523716" TargetMode="External"/><Relationship Id="rId13" Type="http://schemas.openxmlformats.org/officeDocument/2006/relationships/hyperlink" Target="https://www.bseindia.com/corporates/ScripWiseCorpAction.aspx?scrip_cd=523716" TargetMode="External"/><Relationship Id="rId3" Type="http://schemas.openxmlformats.org/officeDocument/2006/relationships/hyperlink" Target="https://www.bseindia.com/corporates/ScripWiseCorpAction.aspx?scrip_cd=523716" TargetMode="External"/><Relationship Id="rId7" Type="http://schemas.openxmlformats.org/officeDocument/2006/relationships/hyperlink" Target="https://www.bseindia.com/corporates/ScripWiseCorpAction.aspx?scrip_cd=523716" TargetMode="External"/><Relationship Id="rId12" Type="http://schemas.openxmlformats.org/officeDocument/2006/relationships/hyperlink" Target="https://www.bseindia.com/corporates/ScripWiseCorpAction.aspx?scrip_cd=523716" TargetMode="External"/><Relationship Id="rId2" Type="http://schemas.openxmlformats.org/officeDocument/2006/relationships/hyperlink" Target="https://www.bseindia.com/corporates/ScripWiseCorpAction.aspx?scrip_cd=523716" TargetMode="External"/><Relationship Id="rId1" Type="http://schemas.openxmlformats.org/officeDocument/2006/relationships/hyperlink" Target="https://www.bseindia.com/corporates/ScripWiseCorpAction.aspx?scrip_cd=523716" TargetMode="External"/><Relationship Id="rId6" Type="http://schemas.openxmlformats.org/officeDocument/2006/relationships/hyperlink" Target="https://www.bseindia.com/corporates/ScripWiseCorpAction.aspx?scrip_cd=523716" TargetMode="External"/><Relationship Id="rId11" Type="http://schemas.openxmlformats.org/officeDocument/2006/relationships/hyperlink" Target="https://www.bseindia.com/corporates/ScripWiseCorpAction.aspx?scrip_cd=523716" TargetMode="External"/><Relationship Id="rId5" Type="http://schemas.openxmlformats.org/officeDocument/2006/relationships/hyperlink" Target="https://www.bseindia.com/corporates/ScripWiseCorpAction.aspx?scrip_cd=523716" TargetMode="External"/><Relationship Id="rId10" Type="http://schemas.openxmlformats.org/officeDocument/2006/relationships/hyperlink" Target="https://www.bseindia.com/corporates/ScripWiseCorpAction.aspx?scrip_cd=523716" TargetMode="External"/><Relationship Id="rId4" Type="http://schemas.openxmlformats.org/officeDocument/2006/relationships/hyperlink" Target="https://www.bseindia.com/corporates/ScripWiseCorpAction.aspx?scrip_cd=523716" TargetMode="External"/><Relationship Id="rId9" Type="http://schemas.openxmlformats.org/officeDocument/2006/relationships/hyperlink" Target="https://www.bseindia.com/corporates/ScripWiseCorpAction.aspx?scrip_cd=523716" TargetMode="External"/><Relationship Id="rId14" Type="http://schemas.openxmlformats.org/officeDocument/2006/relationships/hyperlink" Target="https://www.bseindia.com/corporates/ScripWiseCorpAction.aspx?scrip_cd=523716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seindia.com/corporates/results.aspx?Code=532811&amp;Company=AHLUWALIA%20CONTRACTS%20(INDIA)%20LTD.&amp;qtr=85.50&amp;RType=D" TargetMode="External"/><Relationship Id="rId3" Type="http://schemas.openxmlformats.org/officeDocument/2006/relationships/hyperlink" Target="https://www.bseindia.com/corporates/ScripWiseCorpAction.aspx?scrip_cd=532811" TargetMode="External"/><Relationship Id="rId7" Type="http://schemas.openxmlformats.org/officeDocument/2006/relationships/hyperlink" Target="https://www.bseindia.com/corporates/results.aspx?Code=532811&amp;Company=AHLUWALIA%20CONTRACTS%20(INDIA)%20LTD.&amp;qtr=89.50&amp;RType=D" TargetMode="External"/><Relationship Id="rId2" Type="http://schemas.openxmlformats.org/officeDocument/2006/relationships/hyperlink" Target="https://www.bseindia.com/corporates/ScripWiseCorpAction.aspx?scrip_cd=532811" TargetMode="External"/><Relationship Id="rId1" Type="http://schemas.openxmlformats.org/officeDocument/2006/relationships/hyperlink" Target="https://www.bseindia.com/corporates/ScripWiseCorpAction.aspx?scrip_cd=532811" TargetMode="External"/><Relationship Id="rId6" Type="http://schemas.openxmlformats.org/officeDocument/2006/relationships/hyperlink" Target="https://www.bseindia.com/corporates/results.aspx?Code=532811&amp;Company=AHLUWALIA%20CONTRACTS%20(INDIA)%20LTD.&amp;qtr=93.50&amp;RType=D" TargetMode="External"/><Relationship Id="rId5" Type="http://schemas.openxmlformats.org/officeDocument/2006/relationships/hyperlink" Target="https://www.bseindia.com/corporates/ScripWiseCorpAction.aspx?scrip_cd=532811" TargetMode="External"/><Relationship Id="rId10" Type="http://schemas.openxmlformats.org/officeDocument/2006/relationships/hyperlink" Target="https://www.bseindia.com/corporates/results.aspx?Code=532811&amp;Company=AHLUWALIA%20CONTRACTS%20(INDIA)%20LTD.&amp;qtr=77.50&amp;RType=D" TargetMode="External"/><Relationship Id="rId4" Type="http://schemas.openxmlformats.org/officeDocument/2006/relationships/hyperlink" Target="https://www.bseindia.com/corporates/ScripWiseCorpAction.aspx?scrip_cd=532811" TargetMode="External"/><Relationship Id="rId9" Type="http://schemas.openxmlformats.org/officeDocument/2006/relationships/hyperlink" Target="https://www.bseindia.com/corporates/results.aspx?Code=532811&amp;Company=AHLUWALIA%20CONTRACTS%20(INDIA)%20LTD.&amp;qtr=81.50&amp;RType=D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seindia.com/corporates/ScripWiseCorpAction.aspx?scrip_cd=532929" TargetMode="External"/><Relationship Id="rId3" Type="http://schemas.openxmlformats.org/officeDocument/2006/relationships/hyperlink" Target="https://www.bseindia.com/corporates/ScripWiseCorpAction.aspx?scrip_cd=532929" TargetMode="External"/><Relationship Id="rId7" Type="http://schemas.openxmlformats.org/officeDocument/2006/relationships/hyperlink" Target="https://www.bseindia.com/corporates/ScripWiseCorpAction.aspx?scrip_cd=532929" TargetMode="External"/><Relationship Id="rId2" Type="http://schemas.openxmlformats.org/officeDocument/2006/relationships/hyperlink" Target="https://www.bseindia.com/corporates/ScripWiseCorpAction.aspx?scrip_cd=532929" TargetMode="External"/><Relationship Id="rId1" Type="http://schemas.openxmlformats.org/officeDocument/2006/relationships/hyperlink" Target="https://www.bseindia.com/corporates/ScripWiseCorpAction.aspx?scrip_cd=532929" TargetMode="External"/><Relationship Id="rId6" Type="http://schemas.openxmlformats.org/officeDocument/2006/relationships/hyperlink" Target="https://www.bseindia.com/corporates/ScripWiseCorpAction.aspx?scrip_cd=532929" TargetMode="External"/><Relationship Id="rId11" Type="http://schemas.openxmlformats.org/officeDocument/2006/relationships/hyperlink" Target="https://www.bseindia.com/corporates/ScripWiseCorpAction.aspx?scrip_cd=532929" TargetMode="External"/><Relationship Id="rId5" Type="http://schemas.openxmlformats.org/officeDocument/2006/relationships/hyperlink" Target="https://www.bseindia.com/corporates/ScripWiseCorpAction.aspx?scrip_cd=532929" TargetMode="External"/><Relationship Id="rId10" Type="http://schemas.openxmlformats.org/officeDocument/2006/relationships/hyperlink" Target="https://www.bseindia.com/corporates/ScripWiseCorpAction.aspx?scrip_cd=532929" TargetMode="External"/><Relationship Id="rId4" Type="http://schemas.openxmlformats.org/officeDocument/2006/relationships/hyperlink" Target="https://www.bseindia.com/corporates/ScripWiseCorpAction.aspx?scrip_cd=532929" TargetMode="External"/><Relationship Id="rId9" Type="http://schemas.openxmlformats.org/officeDocument/2006/relationships/hyperlink" Target="https://www.bseindia.com/corporates/ScripWiseCorpAction.aspx?scrip_cd=532929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seindia.com/corporates/ScripWiseCorpAction.aspx?scrip_cd=512179" TargetMode="External"/><Relationship Id="rId3" Type="http://schemas.openxmlformats.org/officeDocument/2006/relationships/hyperlink" Target="https://www.bseindia.com/corporates/ScripWiseCorpAction.aspx?scrip_cd=512179" TargetMode="External"/><Relationship Id="rId7" Type="http://schemas.openxmlformats.org/officeDocument/2006/relationships/hyperlink" Target="https://www.bseindia.com/corporates/ScripWiseCorpAction.aspx?scrip_cd=512179" TargetMode="External"/><Relationship Id="rId2" Type="http://schemas.openxmlformats.org/officeDocument/2006/relationships/hyperlink" Target="https://www.bseindia.com/corporates/ScripWiseCorpAction.aspx?scrip_cd=512179" TargetMode="External"/><Relationship Id="rId1" Type="http://schemas.openxmlformats.org/officeDocument/2006/relationships/hyperlink" Target="https://www.bseindia.com/corporates/ScripWiseCorpAction.aspx?scrip_cd=512179" TargetMode="External"/><Relationship Id="rId6" Type="http://schemas.openxmlformats.org/officeDocument/2006/relationships/hyperlink" Target="https://www.bseindia.com/corporates/ScripWiseCorpAction.aspx?scrip_cd=512179" TargetMode="External"/><Relationship Id="rId5" Type="http://schemas.openxmlformats.org/officeDocument/2006/relationships/hyperlink" Target="https://www.bseindia.com/corporates/ScripWiseCorpAction.aspx?scrip_cd=512179" TargetMode="External"/><Relationship Id="rId10" Type="http://schemas.openxmlformats.org/officeDocument/2006/relationships/hyperlink" Target="https://www.bseindia.com/corporates/ScripWiseCorpAction.aspx?scrip_cd=512179" TargetMode="External"/><Relationship Id="rId4" Type="http://schemas.openxmlformats.org/officeDocument/2006/relationships/hyperlink" Target="https://www.bseindia.com/corporates/ScripWiseCorpAction.aspx?scrip_cd=512179" TargetMode="External"/><Relationship Id="rId9" Type="http://schemas.openxmlformats.org/officeDocument/2006/relationships/hyperlink" Target="https://www.bseindia.com/corporates/ScripWiseCorpAction.aspx?scrip_cd=512179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seindia.com/corporates/results.aspx?Code=532873&amp;Company=HOUSING%20DEVELOPMENT%20&amp;%20INFRASTRUCTURE%20LTD.&amp;qtr=85.50&amp;RType=c" TargetMode="External"/><Relationship Id="rId3" Type="http://schemas.openxmlformats.org/officeDocument/2006/relationships/hyperlink" Target="https://www.bseindia.com/corporates/results.aspx?Code=532873&amp;Company=HOUSING%20DEVELOPMENT%20&amp;%20INFRASTRUCTURE%20LTD.&amp;qtr=85.50&amp;RType=D" TargetMode="External"/><Relationship Id="rId7" Type="http://schemas.openxmlformats.org/officeDocument/2006/relationships/hyperlink" Target="https://www.bseindia.com/corporates/results.aspx?Code=532873&amp;Company=HOUSING%20DEVELOPMENT%20&amp;%20INFRASTRUCTURE%20LTD.&amp;qtr=89.50&amp;RType=c" TargetMode="External"/><Relationship Id="rId2" Type="http://schemas.openxmlformats.org/officeDocument/2006/relationships/hyperlink" Target="https://www.bseindia.com/corporates/results.aspx?Code=532873&amp;Company=HOUSING%20DEVELOPMENT%20&amp;%20INFRASTRUCTURE%20LTD.&amp;qtr=89.50&amp;RType=D" TargetMode="External"/><Relationship Id="rId1" Type="http://schemas.openxmlformats.org/officeDocument/2006/relationships/hyperlink" Target="https://www.bseindia.com/corporates/results.aspx?Code=532873&amp;Company=HOUSING%20DEVELOPMENT%20&amp;%20INFRASTRUCTURE%20LTD.&amp;qtr=93.50&amp;RType=D" TargetMode="External"/><Relationship Id="rId6" Type="http://schemas.openxmlformats.org/officeDocument/2006/relationships/hyperlink" Target="https://www.bseindia.com/corporates/results.aspx?Code=532873&amp;Company=HOUSING%20DEVELOPMENT%20&amp;%20INFRASTRUCTURE%20LTD.&amp;qtr=93.50&amp;RType=c" TargetMode="External"/><Relationship Id="rId5" Type="http://schemas.openxmlformats.org/officeDocument/2006/relationships/hyperlink" Target="https://www.bseindia.com/corporates/results.aspx?Code=532873&amp;Company=HOUSING%20DEVELOPMENT%20&amp;%20INFRASTRUCTURE%20LTD.&amp;qtr=77.50&amp;RType=D" TargetMode="External"/><Relationship Id="rId10" Type="http://schemas.openxmlformats.org/officeDocument/2006/relationships/hyperlink" Target="https://www.bseindia.com/corporates/results.aspx?Code=532873&amp;Company=HOUSING%20DEVELOPMENT%20&amp;%20INFRASTRUCTURE%20LTD.&amp;qtr=77.50&amp;RType=c" TargetMode="External"/><Relationship Id="rId4" Type="http://schemas.openxmlformats.org/officeDocument/2006/relationships/hyperlink" Target="https://www.bseindia.com/corporates/results.aspx?Code=532873&amp;Company=HOUSING%20DEVELOPMENT%20&amp;%20INFRASTRUCTURE%20LTD.&amp;qtr=81.50&amp;RType=D" TargetMode="External"/><Relationship Id="rId9" Type="http://schemas.openxmlformats.org/officeDocument/2006/relationships/hyperlink" Target="https://www.bseindia.com/corporates/results.aspx?Code=532873&amp;Company=HOUSING%20DEVELOPMENT%20&amp;%20INFRASTRUCTURE%20LTD.&amp;qtr=81.50&amp;RType=c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seindia.com/corporates/ScripWiseCorpAction.aspx?scrip_cd=532891" TargetMode="External"/><Relationship Id="rId3" Type="http://schemas.openxmlformats.org/officeDocument/2006/relationships/hyperlink" Target="https://www.bseindia.com/corporates/ScripWiseCorpAction.aspx?scrip_cd=532891" TargetMode="External"/><Relationship Id="rId7" Type="http://schemas.openxmlformats.org/officeDocument/2006/relationships/hyperlink" Target="https://www.bseindia.com/corporates/ScripWiseCorpAction.aspx?scrip_cd=532891" TargetMode="External"/><Relationship Id="rId2" Type="http://schemas.openxmlformats.org/officeDocument/2006/relationships/hyperlink" Target="https://www.bseindia.com/corporates/ScripWiseCorpAction.aspx?scrip_cd=532891" TargetMode="External"/><Relationship Id="rId1" Type="http://schemas.openxmlformats.org/officeDocument/2006/relationships/hyperlink" Target="https://www.bseindia.com/corporates/ScripWiseCorpAction.aspx?scrip_cd=532891" TargetMode="External"/><Relationship Id="rId6" Type="http://schemas.openxmlformats.org/officeDocument/2006/relationships/hyperlink" Target="https://www.bseindia.com/corporates/ScripWiseCorpAction.aspx?scrip_cd=532891" TargetMode="External"/><Relationship Id="rId5" Type="http://schemas.openxmlformats.org/officeDocument/2006/relationships/hyperlink" Target="https://www.bseindia.com/corporates/ScripWiseCorpAction.aspx?scrip_cd=532891" TargetMode="External"/><Relationship Id="rId10" Type="http://schemas.openxmlformats.org/officeDocument/2006/relationships/hyperlink" Target="https://www.bseindia.com/corporates/ScripWiseCorpAction.aspx?scrip_cd=532891" TargetMode="External"/><Relationship Id="rId4" Type="http://schemas.openxmlformats.org/officeDocument/2006/relationships/hyperlink" Target="https://www.bseindia.com/corporates/ScripWiseCorpAction.aspx?scrip_cd=532891" TargetMode="External"/><Relationship Id="rId9" Type="http://schemas.openxmlformats.org/officeDocument/2006/relationships/hyperlink" Target="https://www.bseindia.com/corporates/ScripWiseCorpAction.aspx?scrip_cd=532891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seindia.com/corporates/ScripWiseCorpAction.aspx?scrip_cd=503100" TargetMode="External"/><Relationship Id="rId13" Type="http://schemas.openxmlformats.org/officeDocument/2006/relationships/hyperlink" Target="https://www.bseindia.com/corporates/ScripWiseCorpAction.aspx?scrip_cd=503100" TargetMode="External"/><Relationship Id="rId3" Type="http://schemas.openxmlformats.org/officeDocument/2006/relationships/hyperlink" Target="https://www.bseindia.com/corporates/ScripWiseCorpAction.aspx?scrip_cd=503100" TargetMode="External"/><Relationship Id="rId7" Type="http://schemas.openxmlformats.org/officeDocument/2006/relationships/hyperlink" Target="https://www.bseindia.com/corporates/ScripWiseCorpAction.aspx?scrip_cd=503100" TargetMode="External"/><Relationship Id="rId12" Type="http://schemas.openxmlformats.org/officeDocument/2006/relationships/hyperlink" Target="https://www.bseindia.com/corporates/ScripWiseCorpAction.aspx?scrip_cd=503100" TargetMode="External"/><Relationship Id="rId2" Type="http://schemas.openxmlformats.org/officeDocument/2006/relationships/hyperlink" Target="https://www.bseindia.com/corporates/ScripWiseCorpAction.aspx?scrip_cd=503100" TargetMode="External"/><Relationship Id="rId1" Type="http://schemas.openxmlformats.org/officeDocument/2006/relationships/hyperlink" Target="https://www.bseindia.com/corporates/ScripWiseCorpAction.aspx?scrip_cd=503100" TargetMode="External"/><Relationship Id="rId6" Type="http://schemas.openxmlformats.org/officeDocument/2006/relationships/hyperlink" Target="https://www.bseindia.com/corporates/ScripWiseCorpAction.aspx?scrip_cd=503100" TargetMode="External"/><Relationship Id="rId11" Type="http://schemas.openxmlformats.org/officeDocument/2006/relationships/hyperlink" Target="https://www.bseindia.com/corporates/ScripWiseCorpAction.aspx?scrip_cd=503100" TargetMode="External"/><Relationship Id="rId5" Type="http://schemas.openxmlformats.org/officeDocument/2006/relationships/hyperlink" Target="https://www.bseindia.com/corporates/ScripWiseCorpAction.aspx?scrip_cd=503100" TargetMode="External"/><Relationship Id="rId10" Type="http://schemas.openxmlformats.org/officeDocument/2006/relationships/hyperlink" Target="https://www.bseindia.com/corporates/ScripWiseCorpAction.aspx?scrip_cd=503100" TargetMode="External"/><Relationship Id="rId4" Type="http://schemas.openxmlformats.org/officeDocument/2006/relationships/hyperlink" Target="https://www.bseindia.com/corporates/ScripWiseCorpAction.aspx?scrip_cd=503100" TargetMode="External"/><Relationship Id="rId9" Type="http://schemas.openxmlformats.org/officeDocument/2006/relationships/hyperlink" Target="https://www.bseindia.com/corporates/ScripWiseCorpAction.aspx?scrip_cd=503100" TargetMode="External"/><Relationship Id="rId14" Type="http://schemas.openxmlformats.org/officeDocument/2006/relationships/hyperlink" Target="https://www.bseindia.com/corporates/ScripWiseCorpAction.aspx?scrip_cd=503100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seindia.com/corporates/ScripWiseCorpAction.aspx?scrip_cd=532784" TargetMode="External"/><Relationship Id="rId13" Type="http://schemas.openxmlformats.org/officeDocument/2006/relationships/hyperlink" Target="https://www.bseindia.com/corporates/results.aspx?Code=532784&amp;Company=Sobha%20Limited&amp;qtr=93.50&amp;RType=D" TargetMode="External"/><Relationship Id="rId18" Type="http://schemas.openxmlformats.org/officeDocument/2006/relationships/hyperlink" Target="https://www.bseindia.com/corporates/results.aspx?Code=532784&amp;Company=Sobha%20Limited&amp;qtr=93.50&amp;RType=c" TargetMode="External"/><Relationship Id="rId3" Type="http://schemas.openxmlformats.org/officeDocument/2006/relationships/hyperlink" Target="https://www.bseindia.com/corporates/ScripWiseCorpAction.aspx?scrip_cd=532784" TargetMode="External"/><Relationship Id="rId21" Type="http://schemas.openxmlformats.org/officeDocument/2006/relationships/hyperlink" Target="https://www.bseindia.com/corporates/results.aspx?Code=532784&amp;Company=Sobha%20Limited&amp;qtr=81.50&amp;RType=c" TargetMode="External"/><Relationship Id="rId7" Type="http://schemas.openxmlformats.org/officeDocument/2006/relationships/hyperlink" Target="https://www.bseindia.com/corporates/ScripWiseCorpAction.aspx?scrip_cd=532784" TargetMode="External"/><Relationship Id="rId12" Type="http://schemas.openxmlformats.org/officeDocument/2006/relationships/hyperlink" Target="https://www.bseindia.com/corporates/results.aspx?Code=532784&amp;Company=Sobha%20Limited&amp;qtr=97.50&amp;RType=D" TargetMode="External"/><Relationship Id="rId17" Type="http://schemas.openxmlformats.org/officeDocument/2006/relationships/hyperlink" Target="https://www.bseindia.com/corporates/results.aspx?Code=532784&amp;Company=Sobha%20Limited&amp;qtr=97.50&amp;RType=c" TargetMode="External"/><Relationship Id="rId2" Type="http://schemas.openxmlformats.org/officeDocument/2006/relationships/hyperlink" Target="https://www.bseindia.com/corporates/ScripWiseCorpAction.aspx?scrip_cd=532784" TargetMode="External"/><Relationship Id="rId16" Type="http://schemas.openxmlformats.org/officeDocument/2006/relationships/hyperlink" Target="https://www.bseindia.com/corporates/results.aspx?Code=532784&amp;Company=Sobha%20Limited&amp;qtr=81.50&amp;RType=D" TargetMode="External"/><Relationship Id="rId20" Type="http://schemas.openxmlformats.org/officeDocument/2006/relationships/hyperlink" Target="https://www.bseindia.com/corporates/results.aspx?Code=532784&amp;Company=Sobha%20Limited&amp;qtr=85.50&amp;RType=c" TargetMode="External"/><Relationship Id="rId1" Type="http://schemas.openxmlformats.org/officeDocument/2006/relationships/hyperlink" Target="https://www.bseindia.com/corporates/ScripWiseCorpAction.aspx?scrip_cd=532784" TargetMode="External"/><Relationship Id="rId6" Type="http://schemas.openxmlformats.org/officeDocument/2006/relationships/hyperlink" Target="https://www.bseindia.com/corporates/ScripWiseCorpAction.aspx?scrip_cd=532784" TargetMode="External"/><Relationship Id="rId11" Type="http://schemas.openxmlformats.org/officeDocument/2006/relationships/hyperlink" Target="https://www.bseindia.com/corporates/ScripWiseCorpAction.aspx?scrip_cd=532784" TargetMode="External"/><Relationship Id="rId5" Type="http://schemas.openxmlformats.org/officeDocument/2006/relationships/hyperlink" Target="https://www.bseindia.com/corporates/ScripWiseCorpAction.aspx?scrip_cd=532784" TargetMode="External"/><Relationship Id="rId15" Type="http://schemas.openxmlformats.org/officeDocument/2006/relationships/hyperlink" Target="https://www.bseindia.com/corporates/results.aspx?Code=532784&amp;Company=Sobha%20Limited&amp;qtr=85.50&amp;RType=D" TargetMode="External"/><Relationship Id="rId23" Type="http://schemas.openxmlformats.org/officeDocument/2006/relationships/hyperlink" Target="https://www.bseindia.com/corporates/results.aspx?Code=532784&amp;Company=Sobha%20Limited&amp;qtr=93.50&amp;RType=Seg" TargetMode="External"/><Relationship Id="rId10" Type="http://schemas.openxmlformats.org/officeDocument/2006/relationships/hyperlink" Target="https://www.bseindia.com/corporates/ScripWiseCorpAction.aspx?scrip_cd=532784" TargetMode="External"/><Relationship Id="rId19" Type="http://schemas.openxmlformats.org/officeDocument/2006/relationships/hyperlink" Target="https://www.bseindia.com/corporates/results.aspx?Code=532784&amp;Company=Sobha%20Limited&amp;qtr=89.50&amp;RType=c" TargetMode="External"/><Relationship Id="rId4" Type="http://schemas.openxmlformats.org/officeDocument/2006/relationships/hyperlink" Target="https://www.bseindia.com/corporates/ScripWiseCorpAction.aspx?scrip_cd=532784" TargetMode="External"/><Relationship Id="rId9" Type="http://schemas.openxmlformats.org/officeDocument/2006/relationships/hyperlink" Target="https://www.bseindia.com/corporates/ScripWiseCorpAction.aspx?scrip_cd=532784" TargetMode="External"/><Relationship Id="rId14" Type="http://schemas.openxmlformats.org/officeDocument/2006/relationships/hyperlink" Target="https://www.bseindia.com/corporates/results.aspx?Code=532784&amp;Company=Sobha%20Limited&amp;qtr=89.50&amp;RType=D" TargetMode="External"/><Relationship Id="rId22" Type="http://schemas.openxmlformats.org/officeDocument/2006/relationships/hyperlink" Target="https://www.bseindia.com/corporates/results.aspx?Code=532784&amp;Company=Sobha%20Limited&amp;qtr=97.50&amp;RType=Seg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seindia.com/corporates/ScripWiseCorpAction.aspx?scrip_cd=532832" TargetMode="External"/><Relationship Id="rId2" Type="http://schemas.openxmlformats.org/officeDocument/2006/relationships/hyperlink" Target="https://www.bseindia.com/corporates/ScripWiseCorpAction.aspx?scrip_cd=532832" TargetMode="External"/><Relationship Id="rId1" Type="http://schemas.openxmlformats.org/officeDocument/2006/relationships/hyperlink" Target="https://www.bseindia.com/corporates/ScripWiseCorpAction.aspx?scrip_cd=532832" TargetMode="External"/><Relationship Id="rId6" Type="http://schemas.openxmlformats.org/officeDocument/2006/relationships/hyperlink" Target="https://www.bseindia.com/corporates/ScripWiseCorpAction.aspx?scrip_cd=532832" TargetMode="External"/><Relationship Id="rId5" Type="http://schemas.openxmlformats.org/officeDocument/2006/relationships/hyperlink" Target="https://www.bseindia.com/corporates/ScripWiseCorpAction.aspx?scrip_cd=532832" TargetMode="External"/><Relationship Id="rId4" Type="http://schemas.openxmlformats.org/officeDocument/2006/relationships/hyperlink" Target="https://www.bseindia.com/corporates/ScripWiseCorpAction.aspx?scrip_cd=532832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seindia.com/corporates/ScripWiseCorpAction.aspx?scrip_cd=533273" TargetMode="External"/><Relationship Id="rId3" Type="http://schemas.openxmlformats.org/officeDocument/2006/relationships/hyperlink" Target="https://www.bseindia.com/corporates/ScripWiseCorpAction.aspx?scrip_cd=533273" TargetMode="External"/><Relationship Id="rId7" Type="http://schemas.openxmlformats.org/officeDocument/2006/relationships/hyperlink" Target="https://www.bseindia.com/corporates/ScripWiseCorpAction.aspx?scrip_cd=533273" TargetMode="External"/><Relationship Id="rId2" Type="http://schemas.openxmlformats.org/officeDocument/2006/relationships/hyperlink" Target="https://www.bseindia.com/corporates/ScripWiseCorpAction.aspx?scrip_cd=533273" TargetMode="External"/><Relationship Id="rId1" Type="http://schemas.openxmlformats.org/officeDocument/2006/relationships/hyperlink" Target="https://www.bseindia.com/corporates/ScripWiseCorpAction.aspx?scrip_cd=533273" TargetMode="External"/><Relationship Id="rId6" Type="http://schemas.openxmlformats.org/officeDocument/2006/relationships/hyperlink" Target="https://www.bseindia.com/corporates/ScripWiseCorpAction.aspx?scrip_cd=533273" TargetMode="External"/><Relationship Id="rId5" Type="http://schemas.openxmlformats.org/officeDocument/2006/relationships/hyperlink" Target="https://www.bseindia.com/corporates/ScripWiseCorpAction.aspx?scrip_cd=533273" TargetMode="External"/><Relationship Id="rId4" Type="http://schemas.openxmlformats.org/officeDocument/2006/relationships/hyperlink" Target="https://www.bseindia.com/corporates/ScripWiseCorpAction.aspx?scrip_cd=5332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P1000"/>
  <sheetViews>
    <sheetView showGridLines="0" tabSelected="1" workbookViewId="0">
      <selection activeCell="G22" sqref="G22"/>
    </sheetView>
  </sheetViews>
  <sheetFormatPr defaultColWidth="12.59765625" defaultRowHeight="15" customHeight="1" x14ac:dyDescent="0.25"/>
  <cols>
    <col min="1" max="1" width="7.09765625" customWidth="1"/>
    <col min="2" max="6" width="12.59765625" customWidth="1"/>
  </cols>
  <sheetData>
    <row r="1" spans="2:13" ht="15.75" customHeight="1" x14ac:dyDescent="0.25"/>
    <row r="2" spans="2:13" ht="15.75" customHeight="1" x14ac:dyDescent="0.25">
      <c r="B2" s="287" t="s">
        <v>0</v>
      </c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8"/>
    </row>
    <row r="3" spans="2:13" ht="15.75" customHeight="1" x14ac:dyDescent="0.25">
      <c r="B3" s="269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1"/>
    </row>
    <row r="4" spans="2:13" ht="15.75" customHeight="1" x14ac:dyDescent="0.25">
      <c r="B4" s="272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4"/>
    </row>
    <row r="5" spans="2:13" ht="15.75" customHeight="1" x14ac:dyDescent="0.25"/>
    <row r="6" spans="2:13" ht="15.75" customHeight="1" x14ac:dyDescent="0.25">
      <c r="B6" s="1" t="s">
        <v>1</v>
      </c>
      <c r="K6" s="1" t="s">
        <v>2</v>
      </c>
    </row>
    <row r="7" spans="2:13" ht="15.75" customHeight="1" x14ac:dyDescent="0.25"/>
    <row r="8" spans="2:13" ht="15.75" customHeight="1" x14ac:dyDescent="0.25"/>
    <row r="9" spans="2:13" ht="15.75" customHeight="1" x14ac:dyDescent="0.25"/>
    <row r="10" spans="2:13" ht="15.75" customHeight="1" x14ac:dyDescent="0.25"/>
    <row r="11" spans="2:13" ht="15.75" customHeight="1" x14ac:dyDescent="0.25"/>
    <row r="12" spans="2:13" ht="15.75" customHeight="1" x14ac:dyDescent="0.25"/>
    <row r="13" spans="2:13" ht="15.75" customHeight="1" x14ac:dyDescent="0.25"/>
    <row r="14" spans="2:13" ht="15.75" customHeight="1" x14ac:dyDescent="0.25"/>
    <row r="15" spans="2:13" ht="15.75" customHeight="1" x14ac:dyDescent="0.25"/>
    <row r="16" spans="2:13" ht="15.75" customHeight="1" x14ac:dyDescent="0.25"/>
    <row r="17" spans="2:2" ht="15.75" customHeight="1" x14ac:dyDescent="0.25"/>
    <row r="18" spans="2:2" ht="15.75" customHeight="1" x14ac:dyDescent="0.25"/>
    <row r="19" spans="2:2" ht="15.75" customHeight="1" x14ac:dyDescent="0.25"/>
    <row r="20" spans="2:2" ht="15.75" customHeight="1" x14ac:dyDescent="0.25">
      <c r="B20" s="1" t="s">
        <v>3</v>
      </c>
    </row>
    <row r="21" spans="2:2" ht="15.75" customHeight="1" x14ac:dyDescent="0.25"/>
    <row r="22" spans="2:2" ht="15.75" customHeight="1" x14ac:dyDescent="0.25"/>
    <row r="23" spans="2:2" ht="15.75" customHeight="1" x14ac:dyDescent="0.25"/>
    <row r="24" spans="2:2" ht="15.75" customHeight="1" x14ac:dyDescent="0.25"/>
    <row r="25" spans="2:2" ht="15.75" customHeight="1" x14ac:dyDescent="0.25"/>
    <row r="26" spans="2:2" ht="15.75" customHeight="1" x14ac:dyDescent="0.25"/>
    <row r="27" spans="2:2" ht="15.75" customHeight="1" x14ac:dyDescent="0.25"/>
    <row r="28" spans="2:2" ht="15.75" customHeight="1" x14ac:dyDescent="0.25"/>
    <row r="29" spans="2:2" ht="15.75" customHeight="1" x14ac:dyDescent="0.25"/>
    <row r="30" spans="2:2" ht="15.75" customHeight="1" x14ac:dyDescent="0.25"/>
    <row r="31" spans="2:2" ht="15.75" customHeight="1" x14ac:dyDescent="0.25"/>
    <row r="32" spans="2:2" ht="15.75" customHeight="1" x14ac:dyDescent="0.25"/>
    <row r="33" spans="2:11" ht="15.75" customHeight="1" x14ac:dyDescent="0.25">
      <c r="B33" s="2" t="s">
        <v>4</v>
      </c>
    </row>
    <row r="34" spans="2:11" ht="15.75" customHeight="1" x14ac:dyDescent="0.25">
      <c r="B34" s="3" t="s">
        <v>5</v>
      </c>
      <c r="C34" s="3" t="s">
        <v>6</v>
      </c>
      <c r="F34" s="3" t="s">
        <v>5</v>
      </c>
      <c r="G34" s="3" t="s">
        <v>7</v>
      </c>
      <c r="J34" s="4" t="s">
        <v>5</v>
      </c>
      <c r="K34" s="4" t="s">
        <v>8</v>
      </c>
    </row>
    <row r="35" spans="2:11" ht="15.75" customHeight="1" x14ac:dyDescent="0.3">
      <c r="B35" s="5" t="s">
        <v>9</v>
      </c>
      <c r="C35" s="6">
        <v>211787.60311669999</v>
      </c>
      <c r="F35" s="5" t="s">
        <v>10</v>
      </c>
      <c r="G35" s="7">
        <v>9470</v>
      </c>
      <c r="J35" s="5" t="s">
        <v>9</v>
      </c>
      <c r="K35" s="7">
        <v>2033</v>
      </c>
    </row>
    <row r="36" spans="2:11" ht="15.75" customHeight="1" x14ac:dyDescent="0.3">
      <c r="B36" s="5" t="s">
        <v>10</v>
      </c>
      <c r="C36" s="6">
        <v>111822.540245</v>
      </c>
      <c r="F36" s="5" t="s">
        <v>11</v>
      </c>
      <c r="G36" s="7">
        <v>8315</v>
      </c>
      <c r="J36" s="5" t="s">
        <v>12</v>
      </c>
      <c r="K36" s="7">
        <v>1904</v>
      </c>
    </row>
    <row r="37" spans="2:11" ht="15.75" customHeight="1" x14ac:dyDescent="0.3">
      <c r="B37" s="5" t="s">
        <v>13</v>
      </c>
      <c r="C37" s="6">
        <v>62027.720399999998</v>
      </c>
      <c r="F37" s="5" t="s">
        <v>9</v>
      </c>
      <c r="G37" s="7">
        <v>5694</v>
      </c>
      <c r="J37" s="5" t="s">
        <v>14</v>
      </c>
      <c r="K37" s="7">
        <v>1477</v>
      </c>
    </row>
    <row r="38" spans="2:11" ht="15.75" customHeight="1" x14ac:dyDescent="0.3">
      <c r="B38" s="5" t="s">
        <v>12</v>
      </c>
      <c r="C38" s="6">
        <v>51813.313499999997</v>
      </c>
      <c r="F38" s="5" t="s">
        <v>12</v>
      </c>
      <c r="G38" s="7">
        <v>4192</v>
      </c>
      <c r="J38" s="5" t="s">
        <v>11</v>
      </c>
      <c r="K38" s="7">
        <v>1066</v>
      </c>
    </row>
    <row r="39" spans="2:11" ht="15.75" customHeight="1" x14ac:dyDescent="0.3">
      <c r="B39" s="5" t="s">
        <v>14</v>
      </c>
      <c r="C39" s="6">
        <v>45486.061985</v>
      </c>
      <c r="F39" s="5" t="s">
        <v>15</v>
      </c>
      <c r="G39" s="7">
        <v>3444</v>
      </c>
      <c r="J39" s="5" t="s">
        <v>13</v>
      </c>
      <c r="K39" s="7">
        <v>620</v>
      </c>
    </row>
    <row r="40" spans="2:11" ht="15.75" customHeight="1" x14ac:dyDescent="0.3">
      <c r="B40" s="5" t="s">
        <v>11</v>
      </c>
      <c r="C40" s="6">
        <v>41991.375502399998</v>
      </c>
      <c r="F40" s="5" t="s">
        <v>16</v>
      </c>
      <c r="G40" s="7">
        <v>3310</v>
      </c>
      <c r="J40" s="5" t="s">
        <v>10</v>
      </c>
      <c r="K40" s="7">
        <v>489</v>
      </c>
    </row>
    <row r="41" spans="2:11" ht="15.75" customHeight="1" x14ac:dyDescent="0.3">
      <c r="B41" s="5" t="s">
        <v>15</v>
      </c>
      <c r="C41" s="6">
        <v>20839.307237500001</v>
      </c>
      <c r="F41" s="5" t="s">
        <v>14</v>
      </c>
      <c r="G41" s="7">
        <v>2638</v>
      </c>
      <c r="J41" s="5" t="s">
        <v>15</v>
      </c>
      <c r="K41" s="7">
        <v>222</v>
      </c>
    </row>
    <row r="42" spans="2:11" ht="15.75" customHeight="1" x14ac:dyDescent="0.3">
      <c r="B42" s="5" t="s">
        <v>17</v>
      </c>
      <c r="C42" s="6">
        <v>19472.731899099999</v>
      </c>
      <c r="F42" s="5" t="s">
        <v>13</v>
      </c>
      <c r="G42" s="7">
        <v>2252</v>
      </c>
      <c r="J42" s="5" t="s">
        <v>18</v>
      </c>
      <c r="K42" s="7">
        <v>151</v>
      </c>
    </row>
    <row r="43" spans="2:11" ht="15.75" customHeight="1" x14ac:dyDescent="0.3">
      <c r="B43" s="5" t="s">
        <v>19</v>
      </c>
      <c r="C43" s="6">
        <v>18710.5661889</v>
      </c>
      <c r="F43" s="5" t="s">
        <v>19</v>
      </c>
      <c r="G43" s="7">
        <v>1585</v>
      </c>
      <c r="J43" s="5" t="s">
        <v>16</v>
      </c>
      <c r="K43" s="7">
        <v>104</v>
      </c>
    </row>
    <row r="44" spans="2:11" ht="15.75" customHeight="1" x14ac:dyDescent="0.3">
      <c r="B44" s="5" t="s">
        <v>16</v>
      </c>
      <c r="C44" s="6">
        <v>13297.386768</v>
      </c>
      <c r="F44" s="5" t="s">
        <v>17</v>
      </c>
      <c r="G44" s="7">
        <v>1438</v>
      </c>
      <c r="J44" s="5" t="s">
        <v>20</v>
      </c>
      <c r="K44" s="7">
        <v>-60</v>
      </c>
    </row>
    <row r="45" spans="2:11" ht="15.75" customHeight="1" x14ac:dyDescent="0.3">
      <c r="B45" s="5" t="s">
        <v>20</v>
      </c>
      <c r="C45" s="6">
        <v>11000.5086529</v>
      </c>
      <c r="F45" s="5" t="s">
        <v>18</v>
      </c>
      <c r="G45" s="7">
        <v>956</v>
      </c>
      <c r="J45" s="5" t="s">
        <v>17</v>
      </c>
      <c r="K45" s="7">
        <v>-61</v>
      </c>
    </row>
    <row r="46" spans="2:11" ht="15.75" customHeight="1" x14ac:dyDescent="0.3">
      <c r="B46" s="5" t="s">
        <v>18</v>
      </c>
      <c r="C46" s="6">
        <v>10475.5308393</v>
      </c>
      <c r="F46" s="8" t="s">
        <v>20</v>
      </c>
      <c r="G46" s="9">
        <v>698</v>
      </c>
      <c r="J46" s="8" t="s">
        <v>19</v>
      </c>
      <c r="K46" s="9">
        <v>-63</v>
      </c>
    </row>
    <row r="47" spans="2:11" ht="15.75" customHeight="1" x14ac:dyDescent="0.3">
      <c r="B47" s="5" t="s">
        <v>21</v>
      </c>
      <c r="C47" s="6">
        <v>9599.9951999999994</v>
      </c>
    </row>
    <row r="48" spans="2:11" ht="15.75" customHeight="1" x14ac:dyDescent="0.3">
      <c r="B48" s="5" t="s">
        <v>22</v>
      </c>
      <c r="C48" s="6">
        <v>8471.8946661999998</v>
      </c>
    </row>
    <row r="49" spans="2:11" ht="15.75" customHeight="1" x14ac:dyDescent="0.3">
      <c r="B49" s="5" t="s">
        <v>23</v>
      </c>
      <c r="C49" s="6">
        <v>7118.0124999999998</v>
      </c>
    </row>
    <row r="50" spans="2:11" ht="15.75" customHeight="1" x14ac:dyDescent="0.3">
      <c r="B50" s="5" t="s">
        <v>24</v>
      </c>
      <c r="C50" s="6">
        <v>6033.8896287999996</v>
      </c>
    </row>
    <row r="51" spans="2:11" ht="15.75" customHeight="1" x14ac:dyDescent="0.3">
      <c r="B51" s="5" t="s">
        <v>25</v>
      </c>
      <c r="C51" s="6">
        <v>5970.8171210999999</v>
      </c>
    </row>
    <row r="52" spans="2:11" ht="15.75" customHeight="1" x14ac:dyDescent="0.3">
      <c r="B52" s="5" t="s">
        <v>26</v>
      </c>
      <c r="C52" s="6">
        <v>5747.4195900000004</v>
      </c>
    </row>
    <row r="53" spans="2:11" ht="15.75" customHeight="1" x14ac:dyDescent="0.3">
      <c r="B53" s="5" t="s">
        <v>27</v>
      </c>
      <c r="C53" s="6">
        <v>5570.39761</v>
      </c>
    </row>
    <row r="54" spans="2:11" ht="15.75" customHeight="1" x14ac:dyDescent="0.25">
      <c r="B54" s="10" t="s">
        <v>28</v>
      </c>
      <c r="C54" s="10">
        <v>58205</v>
      </c>
    </row>
    <row r="55" spans="2:11" ht="15.75" customHeight="1" x14ac:dyDescent="0.25"/>
    <row r="56" spans="2:11" ht="15.75" customHeight="1" x14ac:dyDescent="0.25">
      <c r="B56" s="11" t="s">
        <v>4</v>
      </c>
      <c r="C56" s="12">
        <f>SUM(C33:C54)</f>
        <v>725442.07265089988</v>
      </c>
      <c r="F56" s="11" t="s">
        <v>4</v>
      </c>
      <c r="G56" s="12">
        <f>SUM(G33:G54)</f>
        <v>43992</v>
      </c>
      <c r="J56" s="11" t="s">
        <v>4</v>
      </c>
      <c r="K56" s="12">
        <f>SUM(K33:K54)</f>
        <v>7882</v>
      </c>
    </row>
    <row r="57" spans="2:11" ht="15.75" customHeight="1" x14ac:dyDescent="0.25"/>
    <row r="58" spans="2:11" ht="15.75" customHeight="1" x14ac:dyDescent="0.25"/>
    <row r="59" spans="2:11" ht="15.75" customHeight="1" x14ac:dyDescent="0.25"/>
    <row r="60" spans="2:11" ht="15.75" customHeight="1" x14ac:dyDescent="0.25"/>
    <row r="61" spans="2:11" ht="15.75" customHeight="1" x14ac:dyDescent="0.25"/>
    <row r="62" spans="2:11" ht="15.75" customHeight="1" x14ac:dyDescent="0.25"/>
    <row r="63" spans="2:11" ht="15.75" customHeight="1" x14ac:dyDescent="0.25"/>
    <row r="64" spans="2:11" ht="15.75" customHeight="1" x14ac:dyDescent="0.25"/>
    <row r="65" spans="2:7" ht="15.75" customHeight="1" x14ac:dyDescent="0.25"/>
    <row r="66" spans="2:7" ht="15.75" customHeight="1" x14ac:dyDescent="0.25"/>
    <row r="67" spans="2:7" ht="15.75" customHeight="1" x14ac:dyDescent="0.25"/>
    <row r="68" spans="2:7" ht="15.75" customHeight="1" x14ac:dyDescent="0.25"/>
    <row r="69" spans="2:7" ht="15.75" customHeight="1" x14ac:dyDescent="0.25"/>
    <row r="70" spans="2:7" ht="15.75" customHeight="1" x14ac:dyDescent="0.25"/>
    <row r="71" spans="2:7" ht="15.75" customHeight="1" x14ac:dyDescent="0.25"/>
    <row r="72" spans="2:7" ht="15.75" customHeight="1" x14ac:dyDescent="0.25"/>
    <row r="73" spans="2:7" ht="15.75" customHeight="1" x14ac:dyDescent="0.25">
      <c r="B73" s="13" t="s">
        <v>29</v>
      </c>
    </row>
    <row r="74" spans="2:7" ht="15.75" customHeight="1" x14ac:dyDescent="0.25">
      <c r="B74" s="13" t="s">
        <v>5</v>
      </c>
      <c r="C74" s="13" t="s">
        <v>30</v>
      </c>
      <c r="F74" s="13" t="s">
        <v>5</v>
      </c>
      <c r="G74" s="13" t="s">
        <v>31</v>
      </c>
    </row>
    <row r="75" spans="2:7" ht="15.75" customHeight="1" x14ac:dyDescent="0.3">
      <c r="B75" s="14" t="s">
        <v>9</v>
      </c>
      <c r="C75" s="15">
        <v>-3.2217351559135521E-2</v>
      </c>
      <c r="F75" s="14" t="s">
        <v>9</v>
      </c>
      <c r="G75" s="16">
        <v>1.2741859367626285E-2</v>
      </c>
    </row>
    <row r="76" spans="2:7" ht="15.75" customHeight="1" x14ac:dyDescent="0.3">
      <c r="B76" s="14" t="s">
        <v>10</v>
      </c>
      <c r="C76" s="15">
        <v>-4.3152680981494163E-3</v>
      </c>
      <c r="F76" s="14" t="s">
        <v>10</v>
      </c>
      <c r="G76" s="16">
        <v>1.3193885760257373E-2</v>
      </c>
    </row>
    <row r="77" spans="2:7" ht="15.75" customHeight="1" x14ac:dyDescent="0.3">
      <c r="B77" s="14" t="s">
        <v>13</v>
      </c>
      <c r="C77" s="15">
        <v>3.5779438894550486E-2</v>
      </c>
      <c r="F77" s="14" t="s">
        <v>13</v>
      </c>
      <c r="G77" s="16">
        <v>1.6551155115511551</v>
      </c>
    </row>
    <row r="78" spans="2:7" ht="15.75" customHeight="1" x14ac:dyDescent="0.3">
      <c r="B78" s="14" t="s">
        <v>12</v>
      </c>
      <c r="C78" s="15">
        <v>0.27076764781944052</v>
      </c>
      <c r="F78" s="14" t="s">
        <v>12</v>
      </c>
      <c r="G78" s="16">
        <v>-1.5475085112968134E-2</v>
      </c>
    </row>
    <row r="79" spans="2:7" ht="15.75" customHeight="1" x14ac:dyDescent="0.3">
      <c r="B79" s="14" t="s">
        <v>14</v>
      </c>
      <c r="C79" s="15">
        <v>-0.13662749434989396</v>
      </c>
      <c r="F79" s="14" t="s">
        <v>14</v>
      </c>
      <c r="G79" s="16">
        <v>0.39916186485070715</v>
      </c>
    </row>
    <row r="80" spans="2:7" ht="15.75" customHeight="1" x14ac:dyDescent="0.3">
      <c r="B80" s="14" t="s">
        <v>11</v>
      </c>
      <c r="C80" s="15">
        <v>0.38714889725035251</v>
      </c>
      <c r="F80" s="14" t="s">
        <v>11</v>
      </c>
      <c r="G80" s="16">
        <v>5.2789019883863197E-3</v>
      </c>
    </row>
    <row r="81" spans="2:7" ht="15.75" customHeight="1" x14ac:dyDescent="0.3">
      <c r="B81" s="14" t="s">
        <v>15</v>
      </c>
      <c r="C81" s="15">
        <v>0.12667630905442073</v>
      </c>
      <c r="F81" s="14" t="s">
        <v>15</v>
      </c>
      <c r="G81" s="16">
        <v>0.22751729438893165</v>
      </c>
    </row>
    <row r="82" spans="2:7" ht="15.75" customHeight="1" x14ac:dyDescent="0.3">
      <c r="B82" s="14" t="s">
        <v>17</v>
      </c>
      <c r="C82" s="15">
        <v>0.3296476105384496</v>
      </c>
      <c r="F82" s="14" t="s">
        <v>17</v>
      </c>
      <c r="G82" s="16">
        <v>6.1663366336633665</v>
      </c>
    </row>
    <row r="83" spans="2:7" ht="15.75" customHeight="1" x14ac:dyDescent="0.3">
      <c r="B83" s="14" t="s">
        <v>19</v>
      </c>
      <c r="C83" s="15">
        <v>0.45627294150497022</v>
      </c>
      <c r="F83" s="14" t="s">
        <v>19</v>
      </c>
      <c r="G83" s="16">
        <v>-0.3139269406392694</v>
      </c>
    </row>
    <row r="84" spans="2:7" ht="15.75" customHeight="1" x14ac:dyDescent="0.3">
      <c r="B84" s="14" t="s">
        <v>16</v>
      </c>
      <c r="C84" s="15">
        <v>3.5069177663808571E-2</v>
      </c>
      <c r="F84" s="14" t="s">
        <v>16</v>
      </c>
      <c r="G84" s="16">
        <v>0.11142857142857143</v>
      </c>
    </row>
    <row r="85" spans="2:7" ht="15.75" customHeight="1" x14ac:dyDescent="0.3">
      <c r="B85" s="14" t="s">
        <v>20</v>
      </c>
      <c r="C85" s="15">
        <v>0.42449750281714005</v>
      </c>
      <c r="F85" s="14" t="s">
        <v>20</v>
      </c>
      <c r="G85" s="16">
        <v>-0.66666666666666674</v>
      </c>
    </row>
    <row r="86" spans="2:7" ht="15.75" customHeight="1" x14ac:dyDescent="0.3">
      <c r="B86" s="14" t="s">
        <v>18</v>
      </c>
      <c r="C86" s="15">
        <v>0.14773950695328275</v>
      </c>
      <c r="F86" s="14" t="s">
        <v>18</v>
      </c>
      <c r="G86" s="16">
        <v>0.53846153846153855</v>
      </c>
    </row>
    <row r="87" spans="2:7" ht="15.75" customHeight="1" x14ac:dyDescent="0.25"/>
    <row r="88" spans="2:7" ht="15.75" customHeight="1" x14ac:dyDescent="0.25">
      <c r="B88" s="11" t="s">
        <v>4</v>
      </c>
      <c r="C88" s="17">
        <v>6.3E-2</v>
      </c>
      <c r="F88" s="11" t="s">
        <v>4</v>
      </c>
      <c r="G88" s="17">
        <v>0.27</v>
      </c>
    </row>
    <row r="89" spans="2:7" ht="15.75" customHeight="1" x14ac:dyDescent="0.25"/>
    <row r="90" spans="2:7" ht="15.75" customHeight="1" x14ac:dyDescent="0.25"/>
    <row r="91" spans="2:7" ht="15.75" customHeight="1" x14ac:dyDescent="0.25"/>
    <row r="92" spans="2:7" ht="15.75" customHeight="1" x14ac:dyDescent="0.25"/>
    <row r="93" spans="2:7" ht="15.75" customHeight="1" x14ac:dyDescent="0.25"/>
    <row r="94" spans="2:7" ht="15.75" customHeight="1" x14ac:dyDescent="0.25"/>
    <row r="95" spans="2:7" ht="15.75" customHeight="1" x14ac:dyDescent="0.25"/>
    <row r="96" spans="2:7" ht="15.75" customHeight="1" x14ac:dyDescent="0.25"/>
    <row r="97" spans="2:11" ht="15.75" customHeight="1" x14ac:dyDescent="0.25"/>
    <row r="98" spans="2:11" ht="15.75" customHeight="1" x14ac:dyDescent="0.25"/>
    <row r="99" spans="2:11" ht="15.75" customHeight="1" x14ac:dyDescent="0.25"/>
    <row r="100" spans="2:11" ht="15.75" customHeight="1" x14ac:dyDescent="0.25"/>
    <row r="101" spans="2:11" ht="15.75" customHeight="1" x14ac:dyDescent="0.25"/>
    <row r="102" spans="2:11" ht="15.75" customHeight="1" x14ac:dyDescent="0.25"/>
    <row r="103" spans="2:11" ht="15.75" customHeight="1" x14ac:dyDescent="0.25"/>
    <row r="104" spans="2:11" ht="15.75" customHeight="1" x14ac:dyDescent="0.25"/>
    <row r="105" spans="2:11" ht="15.75" customHeight="1" x14ac:dyDescent="0.25">
      <c r="B105" s="13" t="s">
        <v>32</v>
      </c>
    </row>
    <row r="106" spans="2:11" ht="15.75" customHeight="1" x14ac:dyDescent="0.25">
      <c r="B106" s="13" t="s">
        <v>5</v>
      </c>
      <c r="C106" s="13" t="s">
        <v>33</v>
      </c>
      <c r="F106" s="13" t="s">
        <v>5</v>
      </c>
      <c r="G106" s="13" t="s">
        <v>34</v>
      </c>
      <c r="J106" s="13" t="s">
        <v>5</v>
      </c>
      <c r="K106" s="13" t="s">
        <v>35</v>
      </c>
    </row>
    <row r="107" spans="2:11" ht="15.75" customHeight="1" x14ac:dyDescent="0.3">
      <c r="B107" s="14" t="s">
        <v>9</v>
      </c>
      <c r="C107" s="18">
        <v>8.0451822017314767E-2</v>
      </c>
      <c r="F107" s="14" t="s">
        <v>9</v>
      </c>
      <c r="G107" s="19">
        <v>4.0229591836734695</v>
      </c>
      <c r="J107" s="14" t="s">
        <v>9</v>
      </c>
      <c r="K107" s="18">
        <v>0.32113148558010751</v>
      </c>
    </row>
    <row r="108" spans="2:11" ht="15.75" customHeight="1" x14ac:dyDescent="0.3">
      <c r="B108" s="14" t="s">
        <v>10</v>
      </c>
      <c r="C108" s="18">
        <v>0.6222079497609363</v>
      </c>
      <c r="F108" s="14" t="s">
        <v>10</v>
      </c>
      <c r="G108" s="19">
        <v>4.1189979123173277</v>
      </c>
      <c r="J108" s="14" t="s">
        <v>10</v>
      </c>
      <c r="K108" s="18">
        <v>0.68187026157334052</v>
      </c>
    </row>
    <row r="109" spans="2:11" ht="15.75" customHeight="1" x14ac:dyDescent="0.3">
      <c r="B109" s="14" t="s">
        <v>13</v>
      </c>
      <c r="C109" s="18">
        <v>1.0648513822490127</v>
      </c>
      <c r="F109" s="14" t="s">
        <v>13</v>
      </c>
      <c r="G109" s="19">
        <v>1.2816091954022988</v>
      </c>
      <c r="J109" s="14" t="s">
        <v>13</v>
      </c>
      <c r="K109" s="18">
        <v>0.67779967382440875</v>
      </c>
    </row>
    <row r="110" spans="2:11" ht="15.75" customHeight="1" x14ac:dyDescent="0.3">
      <c r="B110" s="14" t="s">
        <v>12</v>
      </c>
      <c r="C110" s="18">
        <v>0.25422188564937526</v>
      </c>
      <c r="F110" s="14" t="s">
        <v>12</v>
      </c>
      <c r="G110" s="19">
        <v>12.254437869822485</v>
      </c>
      <c r="J110" s="14" t="s">
        <v>12</v>
      </c>
      <c r="K110" s="18">
        <v>0.30613788631942945</v>
      </c>
    </row>
    <row r="111" spans="2:11" ht="15.75" customHeight="1" x14ac:dyDescent="0.3">
      <c r="B111" s="14" t="s">
        <v>14</v>
      </c>
      <c r="C111" s="18">
        <v>0.38331383313833139</v>
      </c>
      <c r="F111" s="14" t="s">
        <v>14</v>
      </c>
      <c r="G111" s="19">
        <v>3.7859237536656893</v>
      </c>
      <c r="J111" s="14" t="s">
        <v>14</v>
      </c>
      <c r="K111" s="18">
        <v>0.37023139462163851</v>
      </c>
    </row>
    <row r="112" spans="2:11" ht="15.75" customHeight="1" x14ac:dyDescent="0.3">
      <c r="B112" s="14" t="s">
        <v>11</v>
      </c>
      <c r="C112" s="18">
        <v>0.80623570278742696</v>
      </c>
      <c r="F112" s="14" t="s">
        <v>11</v>
      </c>
      <c r="G112" s="19">
        <v>1.7853598014888337</v>
      </c>
      <c r="J112" s="14" t="s">
        <v>11</v>
      </c>
      <c r="K112" s="18">
        <v>0.72858400971127979</v>
      </c>
    </row>
    <row r="113" spans="2:11" ht="15.75" customHeight="1" x14ac:dyDescent="0.3">
      <c r="B113" s="14" t="s">
        <v>15</v>
      </c>
      <c r="C113" s="18">
        <v>1.359920522282146</v>
      </c>
      <c r="F113" s="14" t="s">
        <v>15</v>
      </c>
      <c r="G113" s="19">
        <v>1.2534562211981566</v>
      </c>
      <c r="J113" s="14" t="s">
        <v>15</v>
      </c>
      <c r="K113" s="18">
        <v>0.80594374668317703</v>
      </c>
    </row>
    <row r="114" spans="2:11" ht="15.75" customHeight="1" x14ac:dyDescent="0.3">
      <c r="B114" s="14" t="s">
        <v>17</v>
      </c>
      <c r="C114" s="18">
        <v>1.2378547378547378</v>
      </c>
      <c r="F114" s="14" t="s">
        <v>17</v>
      </c>
      <c r="G114" s="19">
        <v>0.6711711711711712</v>
      </c>
      <c r="J114" s="14" t="s">
        <v>17</v>
      </c>
      <c r="K114" s="18">
        <v>0.62271731190650115</v>
      </c>
    </row>
    <row r="115" spans="2:11" ht="15.75" customHeight="1" x14ac:dyDescent="0.3">
      <c r="B115" s="14" t="s">
        <v>19</v>
      </c>
      <c r="C115" s="18">
        <v>1.9064625850340136</v>
      </c>
      <c r="F115" s="14" t="s">
        <v>19</v>
      </c>
      <c r="G115" s="19">
        <v>1.5205479452054795</v>
      </c>
      <c r="J115" s="14" t="s">
        <v>19</v>
      </c>
      <c r="K115" s="18">
        <v>0.91534391534391535</v>
      </c>
    </row>
    <row r="116" spans="2:11" ht="15.75" customHeight="1" x14ac:dyDescent="0.3">
      <c r="B116" s="14" t="s">
        <v>16</v>
      </c>
      <c r="C116" s="18">
        <v>0.7733075435203095</v>
      </c>
      <c r="F116" s="14" t="s">
        <v>16</v>
      </c>
      <c r="G116" s="19">
        <v>1.2128514056224899</v>
      </c>
      <c r="J116" s="14" t="s">
        <v>16</v>
      </c>
      <c r="K116" s="18">
        <v>0.80955292319449756</v>
      </c>
    </row>
    <row r="117" spans="2:11" ht="15.75" customHeight="1" x14ac:dyDescent="0.3">
      <c r="B117" s="14" t="s">
        <v>20</v>
      </c>
      <c r="C117" s="18">
        <v>0.36467302769373983</v>
      </c>
      <c r="F117" s="14" t="s">
        <v>20</v>
      </c>
      <c r="G117" s="19">
        <v>-13.296296296296296</v>
      </c>
      <c r="J117" s="14" t="s">
        <v>20</v>
      </c>
      <c r="K117" s="18">
        <v>0.63906056860321381</v>
      </c>
    </row>
    <row r="118" spans="2:11" ht="15.75" customHeight="1" x14ac:dyDescent="0.3">
      <c r="B118" s="14" t="s">
        <v>18</v>
      </c>
      <c r="C118" s="18">
        <v>0.28116710875331563</v>
      </c>
      <c r="F118" s="14" t="s">
        <v>18</v>
      </c>
      <c r="G118" s="19">
        <v>5.625</v>
      </c>
      <c r="J118" s="14" t="s">
        <v>18</v>
      </c>
      <c r="K118" s="18">
        <v>0.33461018476791349</v>
      </c>
    </row>
    <row r="119" spans="2:11" ht="15.75" customHeight="1" x14ac:dyDescent="0.25"/>
    <row r="120" spans="2:11" ht="15.75" customHeight="1" x14ac:dyDescent="0.25">
      <c r="B120" s="11" t="s">
        <v>4</v>
      </c>
      <c r="C120" s="11">
        <v>0.5</v>
      </c>
      <c r="F120" s="11" t="s">
        <v>4</v>
      </c>
      <c r="G120" s="11">
        <v>3</v>
      </c>
      <c r="J120" s="11" t="s">
        <v>4</v>
      </c>
      <c r="K120" s="11">
        <v>0.6</v>
      </c>
    </row>
    <row r="121" spans="2:11" ht="15.75" customHeight="1" x14ac:dyDescent="0.25"/>
    <row r="122" spans="2:11" ht="15.75" customHeight="1" x14ac:dyDescent="0.25"/>
    <row r="123" spans="2:11" ht="15.75" customHeight="1" x14ac:dyDescent="0.25"/>
    <row r="124" spans="2:11" ht="15.75" customHeight="1" x14ac:dyDescent="0.25"/>
    <row r="125" spans="2:11" ht="15.75" customHeight="1" x14ac:dyDescent="0.25"/>
    <row r="126" spans="2:11" ht="15.75" customHeight="1" x14ac:dyDescent="0.25"/>
    <row r="127" spans="2:11" ht="15.75" customHeight="1" x14ac:dyDescent="0.25"/>
    <row r="128" spans="2:11" ht="15.75" customHeight="1" x14ac:dyDescent="0.25"/>
    <row r="129" spans="2:12" ht="15.75" customHeight="1" x14ac:dyDescent="0.25"/>
    <row r="130" spans="2:12" ht="15.75" customHeight="1" x14ac:dyDescent="0.25"/>
    <row r="131" spans="2:12" ht="15.75" customHeight="1" x14ac:dyDescent="0.25"/>
    <row r="132" spans="2:12" ht="15.75" customHeight="1" x14ac:dyDescent="0.25"/>
    <row r="133" spans="2:12" ht="15.75" customHeight="1" x14ac:dyDescent="0.25"/>
    <row r="134" spans="2:12" ht="15.75" customHeight="1" x14ac:dyDescent="0.25"/>
    <row r="135" spans="2:12" ht="15.75" customHeight="1" x14ac:dyDescent="0.25"/>
    <row r="136" spans="2:12" ht="15.75" customHeight="1" x14ac:dyDescent="0.25"/>
    <row r="137" spans="2:12" ht="15.75" customHeight="1" x14ac:dyDescent="0.25">
      <c r="B137" s="13" t="s">
        <v>36</v>
      </c>
    </row>
    <row r="138" spans="2:12" ht="15.75" customHeight="1" x14ac:dyDescent="0.25">
      <c r="B138" s="13" t="s">
        <v>5</v>
      </c>
      <c r="C138" s="13" t="s">
        <v>37</v>
      </c>
      <c r="D138" s="13" t="s">
        <v>38</v>
      </c>
      <c r="G138" s="13" t="s">
        <v>5</v>
      </c>
      <c r="H138" s="13" t="s">
        <v>39</v>
      </c>
      <c r="K138" s="13" t="s">
        <v>5</v>
      </c>
      <c r="L138" s="13" t="s">
        <v>40</v>
      </c>
    </row>
    <row r="139" spans="2:12" ht="15.75" customHeight="1" x14ac:dyDescent="0.3">
      <c r="B139" s="14" t="s">
        <v>9</v>
      </c>
      <c r="C139" s="20">
        <v>0.35704250087811734</v>
      </c>
      <c r="D139" s="16">
        <v>0.42008387698042871</v>
      </c>
      <c r="G139" s="14" t="s">
        <v>9</v>
      </c>
      <c r="H139" s="19">
        <v>34.704487179487181</v>
      </c>
      <c r="K139" s="14" t="s">
        <v>9</v>
      </c>
      <c r="L139" s="18">
        <v>2.077187828627975</v>
      </c>
    </row>
    <row r="140" spans="2:12" ht="15.75" customHeight="1" x14ac:dyDescent="0.3">
      <c r="B140" s="14" t="s">
        <v>10</v>
      </c>
      <c r="C140" s="20">
        <v>5.1636747624076031E-2</v>
      </c>
      <c r="D140" s="16">
        <v>0.14086072733047483</v>
      </c>
      <c r="G140" s="14" t="s">
        <v>10</v>
      </c>
      <c r="H140" s="19">
        <v>26.286166842661032</v>
      </c>
      <c r="K140" s="14" t="s">
        <v>10</v>
      </c>
      <c r="L140" s="18">
        <v>1.5145623267585264</v>
      </c>
    </row>
    <row r="141" spans="2:12" ht="15.75" customHeight="1" x14ac:dyDescent="0.3">
      <c r="B141" s="14" t="s">
        <v>13</v>
      </c>
      <c r="C141" s="20">
        <v>0.27531083481349911</v>
      </c>
      <c r="D141" s="16">
        <v>0.16718458669981354</v>
      </c>
      <c r="G141" s="14" t="s">
        <v>13</v>
      </c>
      <c r="H141" s="19">
        <v>64.993339253996439</v>
      </c>
      <c r="K141" s="14" t="s">
        <v>13</v>
      </c>
      <c r="L141" s="18">
        <v>1.5340711554061883</v>
      </c>
    </row>
    <row r="142" spans="2:12" ht="15.75" customHeight="1" x14ac:dyDescent="0.3">
      <c r="B142" s="14" t="s">
        <v>12</v>
      </c>
      <c r="C142" s="20">
        <v>0.45419847328244273</v>
      </c>
      <c r="D142" s="16">
        <v>0.35774913549198367</v>
      </c>
      <c r="G142" s="14" t="s">
        <v>12</v>
      </c>
      <c r="H142" s="19">
        <v>38.833492366412216</v>
      </c>
      <c r="K142" s="14" t="s">
        <v>12</v>
      </c>
      <c r="L142" s="18">
        <v>4.7149088025376686</v>
      </c>
    </row>
    <row r="143" spans="2:12" ht="15.75" customHeight="1" x14ac:dyDescent="0.3">
      <c r="B143" s="14" t="s">
        <v>14</v>
      </c>
      <c r="C143" s="20">
        <v>0.55989385898407884</v>
      </c>
      <c r="D143" s="16">
        <v>0.35230250842381133</v>
      </c>
      <c r="G143" s="14" t="s">
        <v>14</v>
      </c>
      <c r="H143" s="19">
        <v>32.930250189537531</v>
      </c>
      <c r="K143" s="14" t="s">
        <v>14</v>
      </c>
      <c r="L143" s="18">
        <v>1.3436772692009309</v>
      </c>
    </row>
    <row r="144" spans="2:12" ht="15.75" customHeight="1" x14ac:dyDescent="0.3">
      <c r="B144" s="14" t="s">
        <v>11</v>
      </c>
      <c r="C144" s="20">
        <v>0.12820204449789538</v>
      </c>
      <c r="D144" s="16">
        <v>0.24365482233502539</v>
      </c>
      <c r="G144" s="14" t="s">
        <v>11</v>
      </c>
      <c r="H144" s="19">
        <v>43.018641010222488</v>
      </c>
      <c r="K144" s="14" t="s">
        <v>11</v>
      </c>
      <c r="L144" s="18">
        <v>1.1404882357664821</v>
      </c>
    </row>
    <row r="145" spans="2:12" ht="15.75" customHeight="1" x14ac:dyDescent="0.3">
      <c r="B145" s="14" t="s">
        <v>15</v>
      </c>
      <c r="C145" s="20">
        <v>6.4459930313588848E-2</v>
      </c>
      <c r="D145" s="16">
        <v>5.9486537257357544E-2</v>
      </c>
      <c r="G145" s="14" t="s">
        <v>15</v>
      </c>
      <c r="H145" s="19">
        <v>54.15650406504065</v>
      </c>
      <c r="K145" s="14" t="s">
        <v>15</v>
      </c>
      <c r="L145" s="18">
        <v>1.1540364290532943</v>
      </c>
    </row>
    <row r="146" spans="2:12" ht="15.75" customHeight="1" x14ac:dyDescent="0.3">
      <c r="B146" s="14" t="s">
        <v>17</v>
      </c>
      <c r="C146" s="20">
        <v>-4.242002781641168E-2</v>
      </c>
      <c r="D146" s="16">
        <v>0.14644929538546561</v>
      </c>
      <c r="G146" s="14" t="s">
        <v>17</v>
      </c>
      <c r="H146" s="19">
        <v>458.153685674548</v>
      </c>
      <c r="K146" s="14" t="s">
        <v>17</v>
      </c>
      <c r="L146" s="18">
        <v>1.3311008790288823</v>
      </c>
    </row>
    <row r="147" spans="2:12" ht="15.75" customHeight="1" x14ac:dyDescent="0.3">
      <c r="B147" s="14" t="s">
        <v>19</v>
      </c>
      <c r="C147" s="20">
        <v>-3.9747634069400628E-2</v>
      </c>
      <c r="D147" s="16">
        <v>-4.1597337770382693E-2</v>
      </c>
      <c r="G147" s="14" t="s">
        <v>19</v>
      </c>
      <c r="H147" s="19">
        <v>3.6845425867507888</v>
      </c>
      <c r="K147" s="14" t="s">
        <v>19</v>
      </c>
      <c r="L147" s="18">
        <v>1.2001449012859988</v>
      </c>
    </row>
    <row r="148" spans="2:12" ht="15.75" customHeight="1" x14ac:dyDescent="0.3">
      <c r="B148" s="14" t="s">
        <v>16</v>
      </c>
      <c r="C148" s="20">
        <v>3.1419939577039278E-2</v>
      </c>
      <c r="D148" s="16">
        <v>1.7994858611825194E-2</v>
      </c>
      <c r="G148" s="14" t="s">
        <v>16</v>
      </c>
      <c r="H148" s="19">
        <v>26.024169184290027</v>
      </c>
      <c r="K148" s="14" t="s">
        <v>16</v>
      </c>
      <c r="L148" s="18">
        <v>1.1182949214766469</v>
      </c>
    </row>
    <row r="149" spans="2:12" ht="15.75" customHeight="1" x14ac:dyDescent="0.3">
      <c r="B149" s="14" t="s">
        <v>20</v>
      </c>
      <c r="C149" s="20">
        <v>-8.5959885386819479E-2</v>
      </c>
      <c r="D149" s="16">
        <v>6.244131455399061</v>
      </c>
      <c r="G149" s="14" t="s">
        <v>20</v>
      </c>
      <c r="H149" s="19">
        <v>49.154727793696281</v>
      </c>
      <c r="K149" s="14" t="s">
        <v>20</v>
      </c>
      <c r="L149" s="18">
        <v>1.1452742123687281</v>
      </c>
    </row>
    <row r="150" spans="2:12" ht="15.75" customHeight="1" x14ac:dyDescent="0.3">
      <c r="B150" s="14" t="s">
        <v>18</v>
      </c>
      <c r="C150" s="20">
        <v>0.15794979079497909</v>
      </c>
      <c r="D150" s="16">
        <v>0.17499999999999999</v>
      </c>
      <c r="G150" s="14" t="s">
        <v>18</v>
      </c>
      <c r="H150" s="19">
        <v>30.92573221757322</v>
      </c>
      <c r="K150" s="14" t="s">
        <v>18</v>
      </c>
      <c r="L150" s="18">
        <v>5.3487804878048779</v>
      </c>
    </row>
    <row r="151" spans="2:12" ht="15.75" customHeight="1" x14ac:dyDescent="0.25"/>
    <row r="152" spans="2:12" ht="15.75" customHeight="1" x14ac:dyDescent="0.25">
      <c r="B152" s="11" t="s">
        <v>4</v>
      </c>
      <c r="C152" s="21">
        <v>0.18</v>
      </c>
      <c r="D152" s="21">
        <v>0.23</v>
      </c>
      <c r="G152" s="11" t="s">
        <v>4</v>
      </c>
      <c r="H152" s="11">
        <v>50</v>
      </c>
      <c r="K152" s="11" t="s">
        <v>4</v>
      </c>
      <c r="L152" s="11">
        <v>1.5</v>
      </c>
    </row>
    <row r="153" spans="2:12" ht="15.75" customHeight="1" x14ac:dyDescent="0.25"/>
    <row r="154" spans="2:12" ht="15.75" customHeight="1" x14ac:dyDescent="0.25"/>
    <row r="155" spans="2:12" ht="15.75" customHeight="1" x14ac:dyDescent="0.25"/>
    <row r="156" spans="2:12" ht="15.75" customHeight="1" x14ac:dyDescent="0.25"/>
    <row r="157" spans="2:12" ht="15.75" customHeight="1" x14ac:dyDescent="0.25"/>
    <row r="158" spans="2:12" ht="15.75" customHeight="1" x14ac:dyDescent="0.25"/>
    <row r="159" spans="2:12" ht="15.75" customHeight="1" x14ac:dyDescent="0.25"/>
    <row r="160" spans="2:12" ht="15.75" customHeight="1" x14ac:dyDescent="0.25"/>
    <row r="161" spans="1:42" ht="15.75" customHeight="1" x14ac:dyDescent="0.25"/>
    <row r="162" spans="1:42" ht="15.75" customHeight="1" x14ac:dyDescent="0.25"/>
    <row r="163" spans="1:42" ht="15.75" customHeight="1" x14ac:dyDescent="0.25"/>
    <row r="164" spans="1:42" ht="15.75" customHeight="1" x14ac:dyDescent="0.25"/>
    <row r="165" spans="1:42" ht="15.75" customHeight="1" x14ac:dyDescent="0.25"/>
    <row r="166" spans="1:42" ht="15.75" customHeight="1" x14ac:dyDescent="0.25"/>
    <row r="167" spans="1:42" ht="15.75" customHeight="1" x14ac:dyDescent="0.25"/>
    <row r="168" spans="1:42" ht="15.75" customHeight="1" x14ac:dyDescent="0.25"/>
    <row r="169" spans="1:42" ht="15.75" customHeight="1" x14ac:dyDescent="0.25"/>
    <row r="170" spans="1:42" ht="15.75" customHeight="1" x14ac:dyDescent="0.25"/>
    <row r="171" spans="1:42" ht="15.75" customHeight="1" x14ac:dyDescent="0.25">
      <c r="A171" s="13" t="s">
        <v>41</v>
      </c>
      <c r="B171" s="13" t="s">
        <v>5</v>
      </c>
      <c r="C171" s="13" t="s">
        <v>42</v>
      </c>
      <c r="D171" s="13" t="s">
        <v>43</v>
      </c>
      <c r="E171" s="13" t="s">
        <v>44</v>
      </c>
      <c r="F171" s="13" t="s">
        <v>45</v>
      </c>
      <c r="G171" s="13" t="s">
        <v>46</v>
      </c>
      <c r="H171" s="13" t="s">
        <v>47</v>
      </c>
      <c r="I171" s="13" t="s">
        <v>48</v>
      </c>
      <c r="J171" s="13" t="s">
        <v>49</v>
      </c>
      <c r="K171" s="13" t="s">
        <v>50</v>
      </c>
      <c r="L171" s="13" t="s">
        <v>51</v>
      </c>
      <c r="M171" s="13" t="s">
        <v>52</v>
      </c>
      <c r="N171" s="13" t="s">
        <v>53</v>
      </c>
      <c r="O171" s="13" t="s">
        <v>54</v>
      </c>
      <c r="P171" s="13" t="s">
        <v>55</v>
      </c>
      <c r="Q171" s="13" t="s">
        <v>56</v>
      </c>
      <c r="R171" s="13" t="s">
        <v>7</v>
      </c>
      <c r="S171" s="13" t="s">
        <v>8</v>
      </c>
      <c r="T171" s="13" t="s">
        <v>57</v>
      </c>
      <c r="U171" s="13" t="s">
        <v>58</v>
      </c>
      <c r="V171" s="13" t="s">
        <v>59</v>
      </c>
      <c r="W171" s="13" t="s">
        <v>60</v>
      </c>
      <c r="X171" s="13" t="s">
        <v>61</v>
      </c>
      <c r="Y171" s="13" t="s">
        <v>62</v>
      </c>
      <c r="Z171" s="22" t="s">
        <v>31</v>
      </c>
      <c r="AA171" s="22" t="s">
        <v>63</v>
      </c>
      <c r="AB171" s="22" t="s">
        <v>30</v>
      </c>
      <c r="AC171" s="22" t="s">
        <v>37</v>
      </c>
      <c r="AD171" s="22" t="s">
        <v>38</v>
      </c>
      <c r="AE171" s="22" t="s">
        <v>34</v>
      </c>
      <c r="AF171" s="22" t="s">
        <v>40</v>
      </c>
      <c r="AG171" s="22" t="s">
        <v>39</v>
      </c>
      <c r="AH171" s="22" t="s">
        <v>33</v>
      </c>
      <c r="AI171" s="22" t="s">
        <v>35</v>
      </c>
      <c r="AJ171" s="22" t="s">
        <v>64</v>
      </c>
      <c r="AK171" s="22" t="s">
        <v>65</v>
      </c>
      <c r="AL171" s="22" t="s">
        <v>66</v>
      </c>
      <c r="AM171" s="22" t="s">
        <v>67</v>
      </c>
      <c r="AN171" s="22" t="s">
        <v>68</v>
      </c>
      <c r="AO171" s="22" t="s">
        <v>69</v>
      </c>
      <c r="AP171" s="22" t="s">
        <v>70</v>
      </c>
    </row>
    <row r="172" spans="1:42" ht="15.75" customHeight="1" x14ac:dyDescent="0.3">
      <c r="A172" s="23">
        <v>532868</v>
      </c>
      <c r="B172" s="24" t="s">
        <v>9</v>
      </c>
      <c r="C172" s="25">
        <f ca="1">IFERROR(__xludf.DUMMYFUNCTION("GOOGLEFINANCE(""bom:""&amp;A172,""price"")"),858)</f>
        <v>858</v>
      </c>
      <c r="D172" s="26">
        <f ca="1">IFERROR(__xludf.DUMMYFUNCTION("GOOGLEFINANCE(""bom:""&amp;A172,""marketcap"")/10000000"),211787.6031167)</f>
        <v>211787.60311669999</v>
      </c>
      <c r="E172" s="27">
        <v>26784</v>
      </c>
      <c r="F172" s="27">
        <v>12895</v>
      </c>
      <c r="G172" s="27">
        <v>56058</v>
      </c>
      <c r="H172" s="27">
        <v>18002</v>
      </c>
      <c r="I172" s="27">
        <v>495</v>
      </c>
      <c r="J172" s="27">
        <v>37857</v>
      </c>
      <c r="K172" s="27">
        <v>3086</v>
      </c>
      <c r="L172" s="27">
        <v>541</v>
      </c>
      <c r="M172" s="27">
        <v>2</v>
      </c>
      <c r="N172" s="25"/>
      <c r="O172" s="25">
        <f ca="1">IFERROR(__xludf.DUMMYFUNCTION("GOOGLEFINANCE(""bom:""&amp;A172,""eps"")"),9.6)</f>
        <v>9.6</v>
      </c>
      <c r="P172" s="28">
        <f t="shared" ref="P172:P183" ca="1" si="0">D172/$D$309</f>
        <v>0.29194249606993838</v>
      </c>
      <c r="Q172" s="25">
        <v>6707</v>
      </c>
      <c r="R172" s="25">
        <v>5694</v>
      </c>
      <c r="S172" s="25">
        <v>2033</v>
      </c>
      <c r="T172" s="25">
        <v>4292</v>
      </c>
      <c r="U172" s="25">
        <v>4238</v>
      </c>
      <c r="V172" s="25">
        <v>1803</v>
      </c>
      <c r="W172" s="25">
        <v>1464</v>
      </c>
      <c r="X172" s="25">
        <v>392</v>
      </c>
      <c r="Y172" s="25">
        <v>4509</v>
      </c>
      <c r="Z172" s="28">
        <f t="shared" ref="Z172:Z183" si="1">(T172/U172)-1</f>
        <v>1.2741859367626285E-2</v>
      </c>
      <c r="AA172" s="28">
        <f t="shared" ref="AA172:AA183" si="2">(V172/W172)-1</f>
        <v>0.23155737704918034</v>
      </c>
      <c r="AB172" s="28">
        <f t="shared" ref="AB172:AB183" si="3">(R172/Q172)^(1/5)-1</f>
        <v>-3.2217351559135521E-2</v>
      </c>
      <c r="AC172" s="20">
        <f t="shared" ref="AC172:AC183" si="4">S172/R172</f>
        <v>0.35704250087811734</v>
      </c>
      <c r="AD172" s="28">
        <f t="shared" ref="AD172:AD183" si="5">V172/T172</f>
        <v>0.42008387698042871</v>
      </c>
      <c r="AE172" s="26">
        <f t="shared" ref="AE172:AE183" si="6">(R172-Y172+X172)/X172</f>
        <v>4.0229591836734695</v>
      </c>
      <c r="AF172" s="29">
        <f t="shared" ref="AF172:AF183" si="7">E172/F172</f>
        <v>2.0770841411399767</v>
      </c>
      <c r="AG172" s="26">
        <f t="shared" ref="AG172:AG183" si="8">(L172/R172)*365</f>
        <v>34.679487179487182</v>
      </c>
      <c r="AH172" s="29">
        <f t="shared" ref="AH172:AH183" si="9">K172/(I172+J172)</f>
        <v>8.046516478931999E-2</v>
      </c>
      <c r="AI172" s="29">
        <f t="shared" ref="AI172:AI183" si="10">H172/G172</f>
        <v>0.32113168504049378</v>
      </c>
      <c r="AJ172" s="28">
        <f t="shared" ref="AJ172:AJ183" si="11">S172/J172</f>
        <v>5.3702089441846949E-2</v>
      </c>
      <c r="AK172" s="29">
        <f t="shared" ref="AK172:AK183" si="12">S172/I172</f>
        <v>4.1070707070707071</v>
      </c>
      <c r="AL172" s="28">
        <f t="shared" ref="AL172:AL183" si="13">S172/G172</f>
        <v>3.6266010203717579E-2</v>
      </c>
      <c r="AM172" s="26">
        <f t="shared" ref="AM172:AM183" ca="1" si="14">C172/O172</f>
        <v>89.375</v>
      </c>
      <c r="AN172" s="28">
        <f t="shared" ref="AN172:AN183" ca="1" si="15">O172/C172</f>
        <v>1.1188811188811189E-2</v>
      </c>
      <c r="AO172" s="26">
        <f t="shared" ref="AO172:AO183" si="16">(I172+J172)/(I172/M172)</f>
        <v>154.95757575757577</v>
      </c>
      <c r="AP172" s="26">
        <f t="shared" ref="AP172:AP183" ca="1" si="17">C172/AO172</f>
        <v>5.5369993742177721</v>
      </c>
    </row>
    <row r="173" spans="1:42" ht="15.75" customHeight="1" x14ac:dyDescent="0.3">
      <c r="A173" s="23">
        <v>543287</v>
      </c>
      <c r="B173" s="24" t="s">
        <v>10</v>
      </c>
      <c r="C173" s="25">
        <f ca="1">IFERROR(__xludf.DUMMYFUNCTION("GOOGLEFINANCE(""bom:""&amp;A173,""price"")"),1124.25)</f>
        <v>1124.25</v>
      </c>
      <c r="D173" s="26">
        <f ca="1">IFERROR(__xludf.DUMMYFUNCTION("GOOGLEFINANCE(""bom:""&amp;A173,""marketcap"")/10000000"),111822.540245)</f>
        <v>111822.540245</v>
      </c>
      <c r="E173" s="27">
        <v>37702</v>
      </c>
      <c r="F173" s="27">
        <v>24893</v>
      </c>
      <c r="G173" s="27">
        <v>41021</v>
      </c>
      <c r="H173" s="27">
        <v>27971</v>
      </c>
      <c r="I173" s="27">
        <v>964</v>
      </c>
      <c r="J173" s="27">
        <v>13049</v>
      </c>
      <c r="K173" s="27">
        <v>8719</v>
      </c>
      <c r="L173" s="27">
        <v>682</v>
      </c>
      <c r="M173" s="27">
        <v>10</v>
      </c>
      <c r="N173" s="25"/>
      <c r="O173" s="25">
        <f ca="1">IFERROR(__xludf.DUMMYFUNCTION("GOOGLEFINANCE(""bom:""&amp;A173,""eps"")"),16.83)</f>
        <v>16.829999999999998</v>
      </c>
      <c r="P173" s="28">
        <f t="shared" ca="1" si="0"/>
        <v>0.15414382634104348</v>
      </c>
      <c r="Q173" s="25">
        <v>9677</v>
      </c>
      <c r="R173" s="25">
        <v>9470</v>
      </c>
      <c r="S173" s="25">
        <v>489</v>
      </c>
      <c r="T173" s="25">
        <v>6297</v>
      </c>
      <c r="U173" s="25">
        <v>6215</v>
      </c>
      <c r="V173" s="25">
        <v>887</v>
      </c>
      <c r="W173" s="25">
        <v>-256</v>
      </c>
      <c r="X173" s="25">
        <v>479</v>
      </c>
      <c r="Y173" s="25">
        <v>7976</v>
      </c>
      <c r="Z173" s="28">
        <f t="shared" si="1"/>
        <v>1.3193885760257373E-2</v>
      </c>
      <c r="AA173" s="28">
        <f t="shared" si="2"/>
        <v>-4.46484375</v>
      </c>
      <c r="AB173" s="28">
        <f t="shared" si="3"/>
        <v>-4.3152680981494163E-3</v>
      </c>
      <c r="AC173" s="20">
        <f t="shared" si="4"/>
        <v>5.1636747624076031E-2</v>
      </c>
      <c r="AD173" s="28">
        <f t="shared" si="5"/>
        <v>0.14086072733047483</v>
      </c>
      <c r="AE173" s="26">
        <f t="shared" si="6"/>
        <v>4.1189979123173277</v>
      </c>
      <c r="AF173" s="29">
        <f t="shared" si="7"/>
        <v>1.5145623267585264</v>
      </c>
      <c r="AG173" s="26">
        <f t="shared" si="8"/>
        <v>26.286166842661032</v>
      </c>
      <c r="AH173" s="29">
        <f t="shared" si="9"/>
        <v>0.6222079497609363</v>
      </c>
      <c r="AI173" s="29">
        <f t="shared" si="10"/>
        <v>0.68187026157334052</v>
      </c>
      <c r="AJ173" s="28">
        <f t="shared" si="11"/>
        <v>3.7474135949114876E-2</v>
      </c>
      <c r="AK173" s="29">
        <f t="shared" si="12"/>
        <v>0.50726141078838172</v>
      </c>
      <c r="AL173" s="28">
        <f t="shared" si="13"/>
        <v>1.1920723531849541E-2</v>
      </c>
      <c r="AM173" s="26">
        <f t="shared" ca="1" si="14"/>
        <v>66.80035650623887</v>
      </c>
      <c r="AN173" s="28">
        <f t="shared" ca="1" si="15"/>
        <v>1.4969979986657771E-2</v>
      </c>
      <c r="AO173" s="26">
        <f t="shared" si="16"/>
        <v>145.36307053941908</v>
      </c>
      <c r="AP173" s="26">
        <f t="shared" ca="1" si="17"/>
        <v>7.7340826375508458</v>
      </c>
    </row>
    <row r="174" spans="1:42" ht="15.75" customHeight="1" x14ac:dyDescent="0.3">
      <c r="A174" s="23">
        <v>533150</v>
      </c>
      <c r="B174" s="24" t="s">
        <v>13</v>
      </c>
      <c r="C174" s="25">
        <f ca="1">IFERROR(__xludf.DUMMYFUNCTION("GOOGLEFINANCE(""bom:""&amp;A174,""price"")"),2229)</f>
        <v>2229</v>
      </c>
      <c r="D174" s="26">
        <f ca="1">IFERROR(__xludf.DUMMYFUNCTION("GOOGLEFINANCE(""bom:""&amp;A174,""marketcap"")/10000000"),62027.7204)</f>
        <v>62027.720399999998</v>
      </c>
      <c r="E174" s="27">
        <v>26475</v>
      </c>
      <c r="F174" s="27">
        <v>17258</v>
      </c>
      <c r="G174" s="27">
        <v>29432</v>
      </c>
      <c r="H174" s="27">
        <v>19949</v>
      </c>
      <c r="I174" s="27">
        <v>139</v>
      </c>
      <c r="J174" s="27">
        <v>9483</v>
      </c>
      <c r="K174" s="27">
        <v>10246</v>
      </c>
      <c r="L174" s="27">
        <v>401</v>
      </c>
      <c r="M174" s="27">
        <v>5</v>
      </c>
      <c r="N174" s="25"/>
      <c r="O174" s="25">
        <f ca="1">IFERROR(__xludf.DUMMYFUNCTION("GOOGLEFINANCE(""bom:""&amp;A174,""eps"")"),24.04)</f>
        <v>24.04</v>
      </c>
      <c r="P174" s="28">
        <f t="shared" ca="1" si="0"/>
        <v>8.550324595309769E-2</v>
      </c>
      <c r="Q174" s="25">
        <v>1889</v>
      </c>
      <c r="R174" s="25">
        <v>2252</v>
      </c>
      <c r="S174" s="25">
        <v>620</v>
      </c>
      <c r="T174" s="25">
        <v>1609</v>
      </c>
      <c r="U174" s="25">
        <v>606</v>
      </c>
      <c r="V174" s="25">
        <v>269</v>
      </c>
      <c r="W174" s="25">
        <v>167</v>
      </c>
      <c r="X174" s="25">
        <v>174</v>
      </c>
      <c r="Y174" s="25">
        <v>2203</v>
      </c>
      <c r="Z174" s="28">
        <f t="shared" si="1"/>
        <v>1.6551155115511551</v>
      </c>
      <c r="AA174" s="28">
        <f t="shared" si="2"/>
        <v>0.61077844311377238</v>
      </c>
      <c r="AB174" s="28">
        <f t="shared" si="3"/>
        <v>3.5779438894550486E-2</v>
      </c>
      <c r="AC174" s="20">
        <f t="shared" si="4"/>
        <v>0.27531083481349911</v>
      </c>
      <c r="AD174" s="28">
        <f t="shared" si="5"/>
        <v>0.16718458669981354</v>
      </c>
      <c r="AE174" s="26">
        <f t="shared" si="6"/>
        <v>1.2816091954022988</v>
      </c>
      <c r="AF174" s="29">
        <f t="shared" si="7"/>
        <v>1.5340711554061883</v>
      </c>
      <c r="AG174" s="26">
        <f t="shared" si="8"/>
        <v>64.993339253996439</v>
      </c>
      <c r="AH174" s="29">
        <f t="shared" si="9"/>
        <v>1.0648513822490127</v>
      </c>
      <c r="AI174" s="29">
        <f t="shared" si="10"/>
        <v>0.67779967382440875</v>
      </c>
      <c r="AJ174" s="28">
        <f t="shared" si="11"/>
        <v>6.5380153959717385E-2</v>
      </c>
      <c r="AK174" s="29">
        <f t="shared" si="12"/>
        <v>4.4604316546762588</v>
      </c>
      <c r="AL174" s="28">
        <f t="shared" si="13"/>
        <v>2.1065506931231312E-2</v>
      </c>
      <c r="AM174" s="26">
        <f t="shared" ca="1" si="14"/>
        <v>92.720465890183036</v>
      </c>
      <c r="AN174" s="28">
        <f t="shared" ca="1" si="15"/>
        <v>1.0785105428443248E-2</v>
      </c>
      <c r="AO174" s="26">
        <f t="shared" si="16"/>
        <v>346.11510791366908</v>
      </c>
      <c r="AP174" s="26">
        <f t="shared" ca="1" si="17"/>
        <v>6.4400540428185407</v>
      </c>
    </row>
    <row r="175" spans="1:42" ht="15.75" customHeight="1" x14ac:dyDescent="0.3">
      <c r="A175" s="23">
        <v>533273</v>
      </c>
      <c r="B175" s="24" t="s">
        <v>12</v>
      </c>
      <c r="C175" s="25">
        <f ca="1">IFERROR(__xludf.DUMMYFUNCTION("GOOGLEFINANCE(""bom:""&amp;A175,""price"")"),1426.1)</f>
        <v>1426.1</v>
      </c>
      <c r="D175" s="26">
        <f ca="1">IFERROR(__xludf.DUMMYFUNCTION("GOOGLEFINANCE(""bom:""&amp;A175,""marketcap"")/10000000"),51813.3135)</f>
        <v>51813.313499999997</v>
      </c>
      <c r="E175" s="27">
        <v>11891</v>
      </c>
      <c r="F175" s="27">
        <v>2522</v>
      </c>
      <c r="G175" s="27">
        <v>18508</v>
      </c>
      <c r="H175" s="27">
        <v>5666</v>
      </c>
      <c r="I175" s="27">
        <v>363</v>
      </c>
      <c r="J175" s="27">
        <v>12842</v>
      </c>
      <c r="K175" s="27">
        <v>3357</v>
      </c>
      <c r="L175" s="27">
        <v>446</v>
      </c>
      <c r="M175" s="27">
        <v>10</v>
      </c>
      <c r="N175" s="25"/>
      <c r="O175" s="25">
        <f ca="1">IFERROR(__xludf.DUMMYFUNCTION("GOOGLEFINANCE(""bom:""&amp;A175,""eps"")"),44.53)</f>
        <v>44.53</v>
      </c>
      <c r="P175" s="28">
        <f t="shared" ca="1" si="0"/>
        <v>7.1423009894064346E-2</v>
      </c>
      <c r="Q175" s="25">
        <v>1265</v>
      </c>
      <c r="R175" s="25">
        <v>4192</v>
      </c>
      <c r="S175" s="25">
        <v>1904</v>
      </c>
      <c r="T175" s="25">
        <v>3181</v>
      </c>
      <c r="U175" s="25">
        <v>3231</v>
      </c>
      <c r="V175" s="25">
        <v>1138</v>
      </c>
      <c r="W175" s="25">
        <v>1424</v>
      </c>
      <c r="X175" s="25">
        <v>169</v>
      </c>
      <c r="Y175" s="25">
        <v>2290</v>
      </c>
      <c r="Z175" s="28">
        <f t="shared" si="1"/>
        <v>-1.5475085112968134E-2</v>
      </c>
      <c r="AA175" s="28">
        <f t="shared" si="2"/>
        <v>-0.2008426966292135</v>
      </c>
      <c r="AB175" s="28">
        <f t="shared" si="3"/>
        <v>0.27076764781944052</v>
      </c>
      <c r="AC175" s="20">
        <f t="shared" si="4"/>
        <v>0.45419847328244273</v>
      </c>
      <c r="AD175" s="28">
        <f t="shared" si="5"/>
        <v>0.35774913549198367</v>
      </c>
      <c r="AE175" s="26">
        <f t="shared" si="6"/>
        <v>12.254437869822485</v>
      </c>
      <c r="AF175" s="29">
        <f t="shared" si="7"/>
        <v>4.7149088025376686</v>
      </c>
      <c r="AG175" s="26">
        <f t="shared" si="8"/>
        <v>38.833492366412216</v>
      </c>
      <c r="AH175" s="29">
        <f t="shared" si="9"/>
        <v>0.25422188564937526</v>
      </c>
      <c r="AI175" s="29">
        <f t="shared" si="10"/>
        <v>0.30613788631942945</v>
      </c>
      <c r="AJ175" s="28">
        <f t="shared" si="11"/>
        <v>0.14826351035664226</v>
      </c>
      <c r="AK175" s="29">
        <f t="shared" si="12"/>
        <v>5.2451790633608812</v>
      </c>
      <c r="AL175" s="28">
        <f t="shared" si="13"/>
        <v>0.10287443267776097</v>
      </c>
      <c r="AM175" s="26">
        <f t="shared" ca="1" si="14"/>
        <v>32.025600718616658</v>
      </c>
      <c r="AN175" s="28">
        <f t="shared" ca="1" si="15"/>
        <v>3.1225019283360217E-2</v>
      </c>
      <c r="AO175" s="26">
        <f t="shared" si="16"/>
        <v>363.77410468319562</v>
      </c>
      <c r="AP175" s="26">
        <f t="shared" ca="1" si="17"/>
        <v>3.9202900416508895</v>
      </c>
    </row>
    <row r="176" spans="1:42" ht="15.75" customHeight="1" x14ac:dyDescent="0.3">
      <c r="A176" s="23">
        <v>503100</v>
      </c>
      <c r="B176" s="24" t="s">
        <v>14</v>
      </c>
      <c r="C176" s="25">
        <f ca="1">IFERROR(__xludf.DUMMYFUNCTION("GOOGLEFINANCE(""bom:""&amp;A176,""price"")"),2558.5)</f>
        <v>2558.5</v>
      </c>
      <c r="D176" s="26">
        <f ca="1">IFERROR(__xludf.DUMMYFUNCTION("GOOGLEFINANCE(""bom:""&amp;A176,""marketcap"")/10000000"),45486.061985)</f>
        <v>45486.061985</v>
      </c>
      <c r="E176" s="27">
        <v>3464</v>
      </c>
      <c r="F176" s="27">
        <v>2578</v>
      </c>
      <c r="G176" s="27">
        <v>17589</v>
      </c>
      <c r="H176" s="27">
        <v>6512</v>
      </c>
      <c r="I176" s="27">
        <v>36</v>
      </c>
      <c r="J176" s="27">
        <v>11075</v>
      </c>
      <c r="K176" s="27">
        <v>4259</v>
      </c>
      <c r="L176" s="27">
        <v>238</v>
      </c>
      <c r="M176" s="27">
        <v>2</v>
      </c>
      <c r="N176" s="25"/>
      <c r="O176" s="25">
        <f ca="1">IFERROR(__xludf.DUMMYFUNCTION("GOOGLEFINANCE(""bom:""&amp;A176,""eps"")"),57.48)</f>
        <v>57.48</v>
      </c>
      <c r="P176" s="28">
        <f t="shared" ca="1" si="0"/>
        <v>6.2701094289147885E-2</v>
      </c>
      <c r="Q176" s="25">
        <v>5499</v>
      </c>
      <c r="R176" s="25">
        <v>2638</v>
      </c>
      <c r="S176" s="25">
        <v>1477</v>
      </c>
      <c r="T176" s="25">
        <v>2671</v>
      </c>
      <c r="U176" s="25">
        <v>1909</v>
      </c>
      <c r="V176" s="25">
        <v>941</v>
      </c>
      <c r="W176" s="25">
        <v>1185</v>
      </c>
      <c r="X176" s="25">
        <v>341</v>
      </c>
      <c r="Y176" s="25">
        <v>1688</v>
      </c>
      <c r="Z176" s="28">
        <f t="shared" si="1"/>
        <v>0.39916186485070715</v>
      </c>
      <c r="AA176" s="28">
        <f t="shared" si="2"/>
        <v>-0.20590717299578054</v>
      </c>
      <c r="AB176" s="28">
        <f t="shared" si="3"/>
        <v>-0.13662749434989396</v>
      </c>
      <c r="AC176" s="20">
        <f t="shared" si="4"/>
        <v>0.55989385898407884</v>
      </c>
      <c r="AD176" s="28">
        <f t="shared" si="5"/>
        <v>0.35230250842381133</v>
      </c>
      <c r="AE176" s="26">
        <f t="shared" si="6"/>
        <v>3.7859237536656893</v>
      </c>
      <c r="AF176" s="29">
        <f t="shared" si="7"/>
        <v>1.3436772692009309</v>
      </c>
      <c r="AG176" s="26">
        <f t="shared" si="8"/>
        <v>32.930250189537531</v>
      </c>
      <c r="AH176" s="29">
        <f t="shared" si="9"/>
        <v>0.38331383313833139</v>
      </c>
      <c r="AI176" s="29">
        <f t="shared" si="10"/>
        <v>0.37023139462163851</v>
      </c>
      <c r="AJ176" s="28">
        <f t="shared" si="11"/>
        <v>0.13336343115124152</v>
      </c>
      <c r="AK176" s="29">
        <f t="shared" si="12"/>
        <v>41.027777777777779</v>
      </c>
      <c r="AL176" s="28">
        <f t="shared" si="13"/>
        <v>8.3972937631474218E-2</v>
      </c>
      <c r="AM176" s="26">
        <f t="shared" ca="1" si="14"/>
        <v>44.511134307585252</v>
      </c>
      <c r="AN176" s="28">
        <f t="shared" ca="1" si="15"/>
        <v>2.2466288841117843E-2</v>
      </c>
      <c r="AO176" s="26">
        <f t="shared" si="16"/>
        <v>617.27777777777783</v>
      </c>
      <c r="AP176" s="26">
        <f t="shared" ca="1" si="17"/>
        <v>4.1448114481144804</v>
      </c>
    </row>
    <row r="177" spans="1:42" ht="15.75" customHeight="1" x14ac:dyDescent="0.3">
      <c r="A177" s="23">
        <v>533274</v>
      </c>
      <c r="B177" s="24" t="s">
        <v>11</v>
      </c>
      <c r="C177" s="25">
        <f ca="1">IFERROR(__xludf.DUMMYFUNCTION("GOOGLEFINANCE(""bom:""&amp;A177,""price"")"),1047.95)</f>
        <v>1047.95</v>
      </c>
      <c r="D177" s="26">
        <f ca="1">IFERROR(__xludf.DUMMYFUNCTION("GOOGLEFINANCE(""bom:""&amp;A177,""marketcap"")/10000000"),41991.3755024)</f>
        <v>41991.375502399998</v>
      </c>
      <c r="E177" s="27">
        <v>28405</v>
      </c>
      <c r="F177" s="27">
        <v>24906</v>
      </c>
      <c r="G177" s="27">
        <v>42013</v>
      </c>
      <c r="H177" s="27">
        <v>30610</v>
      </c>
      <c r="I177" s="27">
        <v>400</v>
      </c>
      <c r="J177" s="27">
        <v>11403</v>
      </c>
      <c r="K177" s="27">
        <v>9516</v>
      </c>
      <c r="L177" s="27">
        <v>980</v>
      </c>
      <c r="M177" s="27">
        <v>10</v>
      </c>
      <c r="N177" s="25"/>
      <c r="O177" s="25">
        <f ca="1">IFERROR(__xludf.DUMMYFUNCTION("GOOGLEFINANCE(""bom:""&amp;A177,""eps"")"),42.46)</f>
        <v>42.46</v>
      </c>
      <c r="P177" s="28">
        <f t="shared" ca="1" si="0"/>
        <v>5.7883779773576657E-2</v>
      </c>
      <c r="Q177" s="25">
        <v>1619</v>
      </c>
      <c r="R177" s="25">
        <v>8315</v>
      </c>
      <c r="S177" s="25">
        <v>1066</v>
      </c>
      <c r="T177" s="25">
        <v>5713</v>
      </c>
      <c r="U177" s="25">
        <v>5683</v>
      </c>
      <c r="V177" s="25">
        <v>1392</v>
      </c>
      <c r="W177" s="25">
        <v>561</v>
      </c>
      <c r="X177" s="25">
        <v>806</v>
      </c>
      <c r="Y177" s="25">
        <v>7682</v>
      </c>
      <c r="Z177" s="28">
        <f t="shared" si="1"/>
        <v>5.2789019883863197E-3</v>
      </c>
      <c r="AA177" s="28">
        <f t="shared" si="2"/>
        <v>1.4812834224598932</v>
      </c>
      <c r="AB177" s="28">
        <f t="shared" si="3"/>
        <v>0.38714889725035251</v>
      </c>
      <c r="AC177" s="20">
        <f t="shared" si="4"/>
        <v>0.12820204449789538</v>
      </c>
      <c r="AD177" s="28">
        <f t="shared" si="5"/>
        <v>0.24365482233502539</v>
      </c>
      <c r="AE177" s="26">
        <f t="shared" si="6"/>
        <v>1.7853598014888337</v>
      </c>
      <c r="AF177" s="29">
        <f t="shared" si="7"/>
        <v>1.1404882357664821</v>
      </c>
      <c r="AG177" s="26">
        <f t="shared" si="8"/>
        <v>43.018641010222488</v>
      </c>
      <c r="AH177" s="29">
        <f t="shared" si="9"/>
        <v>0.80623570278742696</v>
      </c>
      <c r="AI177" s="29">
        <f t="shared" si="10"/>
        <v>0.72858400971127979</v>
      </c>
      <c r="AJ177" s="28">
        <f t="shared" si="11"/>
        <v>9.3484170832237132E-2</v>
      </c>
      <c r="AK177" s="29">
        <f t="shared" si="12"/>
        <v>2.665</v>
      </c>
      <c r="AL177" s="28">
        <f t="shared" si="13"/>
        <v>2.5373098802751529E-2</v>
      </c>
      <c r="AM177" s="26">
        <f t="shared" ca="1" si="14"/>
        <v>24.680876118699953</v>
      </c>
      <c r="AN177" s="28">
        <f t="shared" ca="1" si="15"/>
        <v>4.0517200248103437E-2</v>
      </c>
      <c r="AO177" s="26">
        <f t="shared" si="16"/>
        <v>295.07499999999999</v>
      </c>
      <c r="AP177" s="26">
        <f t="shared" ca="1" si="17"/>
        <v>3.551469965263069</v>
      </c>
    </row>
    <row r="178" spans="1:42" ht="15.75" customHeight="1" x14ac:dyDescent="0.3">
      <c r="A178" s="23">
        <v>532929</v>
      </c>
      <c r="B178" s="24" t="s">
        <v>15</v>
      </c>
      <c r="C178" s="25">
        <f ca="1">IFERROR(__xludf.DUMMYFUNCTION("GOOGLEFINANCE(""bom:""&amp;A178,""price"")"),906)</f>
        <v>906</v>
      </c>
      <c r="D178" s="26">
        <f ca="1">IFERROR(__xludf.DUMMYFUNCTION("GOOGLEFINANCE(""bom:""&amp;A178,""marketcap"")/10000000"),20839.3072375)</f>
        <v>20839.307237500001</v>
      </c>
      <c r="E178" s="27">
        <v>10264</v>
      </c>
      <c r="F178" s="27">
        <v>8894</v>
      </c>
      <c r="G178" s="27">
        <v>16959</v>
      </c>
      <c r="H178" s="27">
        <v>13668</v>
      </c>
      <c r="I178" s="27">
        <v>231</v>
      </c>
      <c r="J178" s="27">
        <v>3292</v>
      </c>
      <c r="K178" s="27">
        <v>4791</v>
      </c>
      <c r="L178" s="27">
        <v>511</v>
      </c>
      <c r="M178" s="27">
        <v>10</v>
      </c>
      <c r="N178" s="25"/>
      <c r="O178" s="25">
        <f ca="1">IFERROR(__xludf.DUMMYFUNCTION("GOOGLEFINANCE(""bom:""&amp;A178,""eps"")"),13.59)</f>
        <v>13.59</v>
      </c>
      <c r="P178" s="28">
        <f t="shared" ca="1" si="0"/>
        <v>2.8726324306771259E-2</v>
      </c>
      <c r="Q178" s="25">
        <v>1897</v>
      </c>
      <c r="R178" s="25">
        <v>3444</v>
      </c>
      <c r="S178" s="25">
        <v>222</v>
      </c>
      <c r="T178" s="25">
        <v>3194</v>
      </c>
      <c r="U178" s="25">
        <v>2602</v>
      </c>
      <c r="V178" s="25">
        <v>190</v>
      </c>
      <c r="W178" s="25">
        <v>159</v>
      </c>
      <c r="X178" s="25">
        <v>434</v>
      </c>
      <c r="Y178" s="25">
        <v>3334</v>
      </c>
      <c r="Z178" s="28">
        <f t="shared" si="1"/>
        <v>0.22751729438893165</v>
      </c>
      <c r="AA178" s="28">
        <f t="shared" si="2"/>
        <v>0.19496855345911945</v>
      </c>
      <c r="AB178" s="28">
        <f t="shared" si="3"/>
        <v>0.12667630905442073</v>
      </c>
      <c r="AC178" s="20">
        <f t="shared" si="4"/>
        <v>6.4459930313588848E-2</v>
      </c>
      <c r="AD178" s="28">
        <f t="shared" si="5"/>
        <v>5.9486537257357544E-2</v>
      </c>
      <c r="AE178" s="26">
        <f t="shared" si="6"/>
        <v>1.2534562211981566</v>
      </c>
      <c r="AF178" s="29">
        <f t="shared" si="7"/>
        <v>1.1540364290532943</v>
      </c>
      <c r="AG178" s="26">
        <f t="shared" si="8"/>
        <v>54.15650406504065</v>
      </c>
      <c r="AH178" s="29">
        <f t="shared" si="9"/>
        <v>1.359920522282146</v>
      </c>
      <c r="AI178" s="29">
        <f t="shared" si="10"/>
        <v>0.80594374668317703</v>
      </c>
      <c r="AJ178" s="28">
        <f t="shared" si="11"/>
        <v>6.7436208991494537E-2</v>
      </c>
      <c r="AK178" s="29">
        <f t="shared" si="12"/>
        <v>0.96103896103896103</v>
      </c>
      <c r="AL178" s="28">
        <f t="shared" si="13"/>
        <v>1.3090394480806651E-2</v>
      </c>
      <c r="AM178" s="26">
        <f t="shared" ca="1" si="14"/>
        <v>66.666666666666671</v>
      </c>
      <c r="AN178" s="28">
        <f t="shared" ca="1" si="15"/>
        <v>1.4999999999999999E-2</v>
      </c>
      <c r="AO178" s="26">
        <f t="shared" si="16"/>
        <v>152.51082251082249</v>
      </c>
      <c r="AP178" s="26">
        <f t="shared" ca="1" si="17"/>
        <v>5.9405620210048262</v>
      </c>
    </row>
    <row r="179" spans="1:42" ht="15.75" customHeight="1" x14ac:dyDescent="0.3">
      <c r="A179" s="23">
        <v>503310</v>
      </c>
      <c r="B179" s="24" t="s">
        <v>17</v>
      </c>
      <c r="C179" s="25">
        <f ca="1">IFERROR(__xludf.DUMMYFUNCTION("GOOGLEFINANCE(""bom:""&amp;A179,""price"")"),621.6)</f>
        <v>621.6</v>
      </c>
      <c r="D179" s="26">
        <f ca="1">IFERROR(__xludf.DUMMYFUNCTION("GOOGLEFINANCE(""bom:""&amp;A179,""marketcap"")/10000000"),19472.7318991)</f>
        <v>19472.731899099999</v>
      </c>
      <c r="E179" s="27">
        <v>3180</v>
      </c>
      <c r="F179" s="27">
        <v>2389</v>
      </c>
      <c r="G179" s="27">
        <v>10952</v>
      </c>
      <c r="H179" s="27">
        <v>6820</v>
      </c>
      <c r="I179" s="27">
        <v>26</v>
      </c>
      <c r="J179" s="27">
        <v>4132</v>
      </c>
      <c r="K179" s="27">
        <v>5147</v>
      </c>
      <c r="L179" s="27">
        <v>1805</v>
      </c>
      <c r="M179" s="27">
        <v>1</v>
      </c>
      <c r="N179" s="25"/>
      <c r="O179" s="25">
        <f ca="1">IFERROR(__xludf.DUMMYFUNCTION("GOOGLEFINANCE(""bom:""&amp;A179,""eps"")"),20.79)</f>
        <v>20.79</v>
      </c>
      <c r="P179" s="28">
        <f t="shared" ca="1" si="0"/>
        <v>2.6842543530706284E-2</v>
      </c>
      <c r="Q179" s="25">
        <v>346</v>
      </c>
      <c r="R179" s="25">
        <v>1438</v>
      </c>
      <c r="S179" s="25">
        <v>-61</v>
      </c>
      <c r="T179" s="25">
        <v>3619</v>
      </c>
      <c r="U179" s="25">
        <v>505</v>
      </c>
      <c r="V179" s="25">
        <v>530</v>
      </c>
      <c r="W179" s="25">
        <v>-123</v>
      </c>
      <c r="X179" s="25">
        <v>222</v>
      </c>
      <c r="Y179" s="25">
        <v>1511</v>
      </c>
      <c r="Z179" s="28">
        <f t="shared" si="1"/>
        <v>6.1663366336633665</v>
      </c>
      <c r="AA179" s="28">
        <f t="shared" si="2"/>
        <v>-5.308943089430894</v>
      </c>
      <c r="AB179" s="28">
        <f t="shared" si="3"/>
        <v>0.3296476105384496</v>
      </c>
      <c r="AC179" s="20">
        <f t="shared" si="4"/>
        <v>-4.242002781641168E-2</v>
      </c>
      <c r="AD179" s="28">
        <f t="shared" si="5"/>
        <v>0.14644929538546561</v>
      </c>
      <c r="AE179" s="26">
        <f t="shared" si="6"/>
        <v>0.6711711711711712</v>
      </c>
      <c r="AF179" s="29">
        <f t="shared" si="7"/>
        <v>1.3311008790288823</v>
      </c>
      <c r="AG179" s="26">
        <f t="shared" si="8"/>
        <v>458.153685674548</v>
      </c>
      <c r="AH179" s="29">
        <f t="shared" si="9"/>
        <v>1.2378547378547378</v>
      </c>
      <c r="AI179" s="29">
        <f t="shared" si="10"/>
        <v>0.62271731190650115</v>
      </c>
      <c r="AJ179" s="28">
        <f t="shared" si="11"/>
        <v>-1.4762826718296224E-2</v>
      </c>
      <c r="AK179" s="29">
        <f t="shared" si="12"/>
        <v>-2.3461538461538463</v>
      </c>
      <c r="AL179" s="28">
        <f t="shared" si="13"/>
        <v>-5.5697589481373266E-3</v>
      </c>
      <c r="AM179" s="26">
        <f t="shared" ca="1" si="14"/>
        <v>29.8989898989899</v>
      </c>
      <c r="AN179" s="28">
        <f t="shared" ca="1" si="15"/>
        <v>3.3445945945945944E-2</v>
      </c>
      <c r="AO179" s="26">
        <f t="shared" si="16"/>
        <v>159.92307692307693</v>
      </c>
      <c r="AP179" s="26">
        <f t="shared" ca="1" si="17"/>
        <v>3.8868686868686866</v>
      </c>
    </row>
    <row r="180" spans="1:42" ht="15.75" customHeight="1" x14ac:dyDescent="0.3">
      <c r="A180" s="23">
        <v>543990</v>
      </c>
      <c r="B180" s="24" t="s">
        <v>19</v>
      </c>
      <c r="C180" s="25">
        <f ca="1">IFERROR(__xludf.DUMMYFUNCTION("GOOGLEFINANCE(""bom:""&amp;A180,""price"")"),1326.05)</f>
        <v>1326.05</v>
      </c>
      <c r="D180" s="26">
        <f ca="1">IFERROR(__xludf.DUMMYFUNCTION("GOOGLEFINANCE(""bom:""&amp;A180,""marketcap"")/10000000"),18710.5661889)</f>
        <v>18710.5661889</v>
      </c>
      <c r="E180" s="27">
        <v>6626</v>
      </c>
      <c r="F180" s="27">
        <v>5521</v>
      </c>
      <c r="G180" s="27">
        <v>6993</v>
      </c>
      <c r="H180" s="27">
        <v>6401</v>
      </c>
      <c r="I180" s="27">
        <v>14</v>
      </c>
      <c r="J180" s="27">
        <v>574</v>
      </c>
      <c r="K180" s="27">
        <v>1121</v>
      </c>
      <c r="L180" s="27">
        <v>16</v>
      </c>
      <c r="M180" s="27">
        <v>1</v>
      </c>
      <c r="N180" s="25"/>
      <c r="O180" s="25">
        <v>1.93</v>
      </c>
      <c r="P180" s="28">
        <f t="shared" ca="1" si="0"/>
        <v>2.5791922264021015E-2</v>
      </c>
      <c r="Q180" s="25">
        <v>242</v>
      </c>
      <c r="R180" s="25">
        <v>1585</v>
      </c>
      <c r="S180" s="25">
        <v>-63</v>
      </c>
      <c r="T180" s="25">
        <v>601</v>
      </c>
      <c r="U180" s="25">
        <v>876</v>
      </c>
      <c r="V180" s="25">
        <v>-25</v>
      </c>
      <c r="W180" s="25">
        <v>-71</v>
      </c>
      <c r="X180" s="25">
        <v>73</v>
      </c>
      <c r="Y180" s="25">
        <v>1547</v>
      </c>
      <c r="Z180" s="28">
        <f t="shared" si="1"/>
        <v>-0.3139269406392694</v>
      </c>
      <c r="AA180" s="28">
        <f t="shared" si="2"/>
        <v>-0.647887323943662</v>
      </c>
      <c r="AB180" s="28">
        <f t="shared" si="3"/>
        <v>0.45627294150497022</v>
      </c>
      <c r="AC180" s="20">
        <f t="shared" si="4"/>
        <v>-3.9747634069400628E-2</v>
      </c>
      <c r="AD180" s="28">
        <f t="shared" si="5"/>
        <v>-4.1597337770382693E-2</v>
      </c>
      <c r="AE180" s="26">
        <f t="shared" si="6"/>
        <v>1.5205479452054795</v>
      </c>
      <c r="AF180" s="29">
        <f t="shared" si="7"/>
        <v>1.2001449012859988</v>
      </c>
      <c r="AG180" s="26">
        <f t="shared" si="8"/>
        <v>3.6845425867507888</v>
      </c>
      <c r="AH180" s="29">
        <f t="shared" si="9"/>
        <v>1.9064625850340136</v>
      </c>
      <c r="AI180" s="29">
        <f t="shared" si="10"/>
        <v>0.91534391534391535</v>
      </c>
      <c r="AJ180" s="28">
        <f t="shared" si="11"/>
        <v>-0.10975609756097561</v>
      </c>
      <c r="AK180" s="29">
        <f t="shared" si="12"/>
        <v>-4.5</v>
      </c>
      <c r="AL180" s="28">
        <f t="shared" si="13"/>
        <v>-9.0090090090090089E-3</v>
      </c>
      <c r="AM180" s="26">
        <f t="shared" ca="1" si="14"/>
        <v>687.07253886010358</v>
      </c>
      <c r="AN180" s="28">
        <f t="shared" ca="1" si="15"/>
        <v>1.4554503977979715E-3</v>
      </c>
      <c r="AO180" s="26">
        <f t="shared" si="16"/>
        <v>42</v>
      </c>
      <c r="AP180" s="26">
        <f t="shared" ca="1" si="17"/>
        <v>31.572619047619046</v>
      </c>
    </row>
    <row r="181" spans="1:42" ht="15.75" customHeight="1" x14ac:dyDescent="0.3">
      <c r="A181" s="23">
        <v>532784</v>
      </c>
      <c r="B181" s="24" t="s">
        <v>16</v>
      </c>
      <c r="C181" s="25">
        <f ca="1">IFERROR(__xludf.DUMMYFUNCTION("GOOGLEFINANCE(""bom:""&amp;A181,""price"")"),1410)</f>
        <v>1410</v>
      </c>
      <c r="D181" s="26">
        <f ca="1">IFERROR(__xludf.DUMMYFUNCTION("GOOGLEFINANCE(""bom:""&amp;A181,""marketcap"")/10000000"),13297.386768)</f>
        <v>13297.386768</v>
      </c>
      <c r="E181" s="27">
        <v>10966</v>
      </c>
      <c r="F181" s="27">
        <v>9806</v>
      </c>
      <c r="G181" s="27">
        <v>13085</v>
      </c>
      <c r="H181" s="27">
        <v>10593</v>
      </c>
      <c r="I181" s="27">
        <v>94</v>
      </c>
      <c r="J181" s="27">
        <v>2491</v>
      </c>
      <c r="K181" s="27">
        <v>1999</v>
      </c>
      <c r="L181" s="27">
        <v>236</v>
      </c>
      <c r="M181" s="27">
        <v>10</v>
      </c>
      <c r="N181" s="25"/>
      <c r="O181" s="25">
        <f ca="1">IFERROR(__xludf.DUMMYFUNCTION("GOOGLEFINANCE(""bom:""&amp;A181,""eps"")"),9.57)</f>
        <v>9.57</v>
      </c>
      <c r="P181" s="28">
        <f t="shared" ca="1" si="0"/>
        <v>1.833002605973201E-2</v>
      </c>
      <c r="Q181" s="25">
        <v>2786</v>
      </c>
      <c r="R181" s="25">
        <v>3310</v>
      </c>
      <c r="S181" s="25">
        <v>104</v>
      </c>
      <c r="T181" s="25">
        <v>2334</v>
      </c>
      <c r="U181" s="25">
        <v>2100</v>
      </c>
      <c r="V181" s="25">
        <v>42</v>
      </c>
      <c r="W181" s="25">
        <v>55</v>
      </c>
      <c r="X181" s="25">
        <v>249</v>
      </c>
      <c r="Y181" s="25">
        <v>3257</v>
      </c>
      <c r="Z181" s="28">
        <f t="shared" si="1"/>
        <v>0.11142857142857143</v>
      </c>
      <c r="AA181" s="28">
        <f t="shared" si="2"/>
        <v>-0.23636363636363633</v>
      </c>
      <c r="AB181" s="28">
        <f t="shared" si="3"/>
        <v>3.5069177663808571E-2</v>
      </c>
      <c r="AC181" s="20">
        <f t="shared" si="4"/>
        <v>3.1419939577039278E-2</v>
      </c>
      <c r="AD181" s="28">
        <f t="shared" si="5"/>
        <v>1.7994858611825194E-2</v>
      </c>
      <c r="AE181" s="26">
        <f t="shared" si="6"/>
        <v>1.2128514056224899</v>
      </c>
      <c r="AF181" s="29">
        <f t="shared" si="7"/>
        <v>1.1182949214766469</v>
      </c>
      <c r="AG181" s="26">
        <f t="shared" si="8"/>
        <v>26.024169184290027</v>
      </c>
      <c r="AH181" s="29">
        <f t="shared" si="9"/>
        <v>0.7733075435203095</v>
      </c>
      <c r="AI181" s="29">
        <f t="shared" si="10"/>
        <v>0.80955292319449756</v>
      </c>
      <c r="AJ181" s="28">
        <f t="shared" si="11"/>
        <v>4.1750301083902049E-2</v>
      </c>
      <c r="AK181" s="29">
        <f t="shared" si="12"/>
        <v>1.1063829787234043</v>
      </c>
      <c r="AL181" s="28">
        <f t="shared" si="13"/>
        <v>7.9480320978219336E-3</v>
      </c>
      <c r="AM181" s="26">
        <f t="shared" ca="1" si="14"/>
        <v>147.33542319749216</v>
      </c>
      <c r="AN181" s="28">
        <f t="shared" ca="1" si="15"/>
        <v>6.7872340425531915E-3</v>
      </c>
      <c r="AO181" s="26">
        <f t="shared" si="16"/>
        <v>275</v>
      </c>
      <c r="AP181" s="26">
        <f t="shared" ca="1" si="17"/>
        <v>5.127272727272727</v>
      </c>
    </row>
    <row r="182" spans="1:42" ht="15.75" customHeight="1" x14ac:dyDescent="0.3">
      <c r="A182" s="23">
        <v>533160</v>
      </c>
      <c r="B182" s="24" t="s">
        <v>20</v>
      </c>
      <c r="C182" s="25">
        <f ca="1">IFERROR(__xludf.DUMMYFUNCTION("GOOGLEFINANCE(""bom:""&amp;A182,""price"")"),204.1)</f>
        <v>204.1</v>
      </c>
      <c r="D182" s="26">
        <f ca="1">IFERROR(__xludf.DUMMYFUNCTION("GOOGLEFINANCE(""bom:""&amp;A182,""marketcap"")/10000000"),11000.5086529)</f>
        <v>11000.5086529</v>
      </c>
      <c r="E182" s="27">
        <v>5889</v>
      </c>
      <c r="F182" s="27">
        <v>5142</v>
      </c>
      <c r="G182" s="27">
        <v>10517</v>
      </c>
      <c r="H182" s="27">
        <v>6721</v>
      </c>
      <c r="I182" s="27">
        <v>502</v>
      </c>
      <c r="J182" s="27">
        <v>3795</v>
      </c>
      <c r="K182" s="27">
        <v>1567</v>
      </c>
      <c r="L182" s="27">
        <v>94</v>
      </c>
      <c r="M182" s="27">
        <v>10</v>
      </c>
      <c r="N182" s="25"/>
      <c r="O182" s="25">
        <f ca="1">IFERROR(__xludf.DUMMYFUNCTION("GOOGLEFINANCE(""bom:""&amp;A182,""eps"")"),28.16)</f>
        <v>28.16</v>
      </c>
      <c r="P182" s="28">
        <f t="shared" ca="1" si="0"/>
        <v>1.5163852401676978E-2</v>
      </c>
      <c r="Q182" s="25">
        <v>119</v>
      </c>
      <c r="R182" s="25">
        <v>698</v>
      </c>
      <c r="S182" s="25">
        <v>-60</v>
      </c>
      <c r="T182" s="25">
        <v>213</v>
      </c>
      <c r="U182" s="25">
        <v>639</v>
      </c>
      <c r="V182" s="25">
        <v>1330</v>
      </c>
      <c r="W182" s="25">
        <v>-48</v>
      </c>
      <c r="X182" s="25">
        <v>54</v>
      </c>
      <c r="Y182" s="25">
        <v>1470</v>
      </c>
      <c r="Z182" s="28">
        <f t="shared" si="1"/>
        <v>-0.66666666666666674</v>
      </c>
      <c r="AA182" s="28">
        <f t="shared" si="2"/>
        <v>-28.708333333333332</v>
      </c>
      <c r="AB182" s="28">
        <f t="shared" si="3"/>
        <v>0.42449750281714005</v>
      </c>
      <c r="AC182" s="20">
        <f t="shared" si="4"/>
        <v>-8.5959885386819479E-2</v>
      </c>
      <c r="AD182" s="28">
        <f t="shared" si="5"/>
        <v>6.244131455399061</v>
      </c>
      <c r="AE182" s="26">
        <f t="shared" si="6"/>
        <v>-13.296296296296296</v>
      </c>
      <c r="AF182" s="29">
        <f t="shared" si="7"/>
        <v>1.1452742123687281</v>
      </c>
      <c r="AG182" s="26">
        <f t="shared" si="8"/>
        <v>49.154727793696281</v>
      </c>
      <c r="AH182" s="29">
        <f t="shared" si="9"/>
        <v>0.36467302769373983</v>
      </c>
      <c r="AI182" s="29">
        <f t="shared" si="10"/>
        <v>0.63906056860321381</v>
      </c>
      <c r="AJ182" s="28">
        <f t="shared" si="11"/>
        <v>-1.5810276679841896E-2</v>
      </c>
      <c r="AK182" s="29">
        <f t="shared" si="12"/>
        <v>-0.11952191235059761</v>
      </c>
      <c r="AL182" s="28">
        <f t="shared" si="13"/>
        <v>-5.7050489683369782E-3</v>
      </c>
      <c r="AM182" s="26">
        <f t="shared" ca="1" si="14"/>
        <v>7.2478693181818183</v>
      </c>
      <c r="AN182" s="28">
        <f t="shared" ca="1" si="15"/>
        <v>0.13797158255756983</v>
      </c>
      <c r="AO182" s="26">
        <f t="shared" si="16"/>
        <v>85.597609561752989</v>
      </c>
      <c r="AP182" s="26">
        <f t="shared" ca="1" si="17"/>
        <v>2.3844123807307422</v>
      </c>
    </row>
    <row r="183" spans="1:42" ht="15.75" customHeight="1" x14ac:dyDescent="0.3">
      <c r="A183" s="23">
        <v>515055</v>
      </c>
      <c r="B183" s="24" t="s">
        <v>18</v>
      </c>
      <c r="C183" s="25">
        <f ca="1">IFERROR(__xludf.DUMMYFUNCTION("GOOGLEFINANCE(""bom:""&amp;A183,""price"")"),307.15)</f>
        <v>307.14999999999998</v>
      </c>
      <c r="D183" s="26">
        <f ca="1">IFERROR(__xludf.DUMMYFUNCTION("GOOGLEFINANCE(""bom:""&amp;A183,""marketcap"")/10000000"),10475.5308393)</f>
        <v>10475.5308393</v>
      </c>
      <c r="E183" s="27">
        <v>2193</v>
      </c>
      <c r="F183" s="27">
        <v>410</v>
      </c>
      <c r="G183" s="27">
        <v>4438</v>
      </c>
      <c r="H183" s="27">
        <v>1485</v>
      </c>
      <c r="I183" s="27">
        <v>64</v>
      </c>
      <c r="J183" s="27">
        <v>2952</v>
      </c>
      <c r="K183" s="27">
        <v>848</v>
      </c>
      <c r="L183" s="27">
        <v>81</v>
      </c>
      <c r="M183" s="27">
        <v>2</v>
      </c>
      <c r="N183" s="25"/>
      <c r="O183" s="25">
        <f ca="1">IFERROR(__xludf.DUMMYFUNCTION("GOOGLEFINANCE(""bom:""&amp;A183,""eps"")"),7.09)</f>
        <v>7.09</v>
      </c>
      <c r="P183" s="28">
        <f t="shared" ca="1" si="0"/>
        <v>1.4440187130300016E-2</v>
      </c>
      <c r="Q183" s="25">
        <v>480</v>
      </c>
      <c r="R183" s="25">
        <v>956</v>
      </c>
      <c r="S183" s="25">
        <v>151</v>
      </c>
      <c r="T183" s="25">
        <v>1040</v>
      </c>
      <c r="U183" s="25">
        <v>676</v>
      </c>
      <c r="V183" s="25">
        <v>182</v>
      </c>
      <c r="W183" s="25">
        <v>102</v>
      </c>
      <c r="X183" s="25">
        <v>32</v>
      </c>
      <c r="Y183" s="25">
        <v>808</v>
      </c>
      <c r="Z183" s="28">
        <f t="shared" si="1"/>
        <v>0.53846153846153855</v>
      </c>
      <c r="AA183" s="28">
        <f t="shared" si="2"/>
        <v>0.78431372549019618</v>
      </c>
      <c r="AB183" s="28">
        <f t="shared" si="3"/>
        <v>0.14773950695328275</v>
      </c>
      <c r="AC183" s="20">
        <f t="shared" si="4"/>
        <v>0.15794979079497909</v>
      </c>
      <c r="AD183" s="28">
        <f t="shared" si="5"/>
        <v>0.17499999999999999</v>
      </c>
      <c r="AE183" s="26">
        <f t="shared" si="6"/>
        <v>5.625</v>
      </c>
      <c r="AF183" s="29">
        <f t="shared" si="7"/>
        <v>5.3487804878048779</v>
      </c>
      <c r="AG183" s="26">
        <f t="shared" si="8"/>
        <v>30.92573221757322</v>
      </c>
      <c r="AH183" s="29">
        <f t="shared" si="9"/>
        <v>0.28116710875331563</v>
      </c>
      <c r="AI183" s="29">
        <f t="shared" si="10"/>
        <v>0.33461018476791349</v>
      </c>
      <c r="AJ183" s="28">
        <f t="shared" si="11"/>
        <v>5.1151761517615177E-2</v>
      </c>
      <c r="AK183" s="29">
        <f t="shared" si="12"/>
        <v>2.359375</v>
      </c>
      <c r="AL183" s="28">
        <f t="shared" si="13"/>
        <v>3.4024335286164942E-2</v>
      </c>
      <c r="AM183" s="26">
        <f t="shared" ca="1" si="14"/>
        <v>43.321579689703803</v>
      </c>
      <c r="AN183" s="28">
        <f t="shared" ca="1" si="15"/>
        <v>2.3083184111997397E-2</v>
      </c>
      <c r="AO183" s="26">
        <f t="shared" si="16"/>
        <v>94.25</v>
      </c>
      <c r="AP183" s="26">
        <f t="shared" ca="1" si="17"/>
        <v>3.2588859416445621</v>
      </c>
    </row>
    <row r="184" spans="1:42" ht="15.75" customHeight="1" x14ac:dyDescent="0.3">
      <c r="A184" s="23">
        <v>504882</v>
      </c>
      <c r="B184" s="24" t="s">
        <v>21</v>
      </c>
      <c r="C184" s="25">
        <f ca="1">IFERROR(__xludf.DUMMYFUNCTION("GOOGLEFINANCE(""bom:""&amp;A184,""price"")"),4800)</f>
        <v>4800</v>
      </c>
      <c r="D184" s="30">
        <f ca="1">IFERROR(__xludf.DUMMYFUNCTION("GOOGLEFINANCE(""bom:""&amp;A184,""marketcap"")/10000000"),9599.9952)</f>
        <v>9599.9951999999994</v>
      </c>
      <c r="E184" s="6"/>
      <c r="F184" s="6"/>
      <c r="G184" s="6"/>
      <c r="H184" s="6"/>
      <c r="I184" s="6"/>
      <c r="J184" s="6"/>
      <c r="K184" s="6"/>
      <c r="L184" s="6"/>
      <c r="M184" s="6"/>
      <c r="P184" s="31"/>
    </row>
    <row r="185" spans="1:42" ht="15.75" customHeight="1" x14ac:dyDescent="0.3">
      <c r="A185" s="23">
        <v>532313</v>
      </c>
      <c r="B185" s="24" t="s">
        <v>22</v>
      </c>
      <c r="C185" s="25">
        <f ca="1">IFERROR(__xludf.DUMMYFUNCTION("GOOGLEFINANCE(""bom:""&amp;A185,""price"")"),545.85)</f>
        <v>545.85</v>
      </c>
      <c r="D185" s="30">
        <f ca="1">IFERROR(__xludf.DUMMYFUNCTION("GOOGLEFINANCE(""bom:""&amp;A185,""marketcap"")/10000000"),8471.8946662)</f>
        <v>8471.8946661999998</v>
      </c>
      <c r="E185" s="6"/>
      <c r="F185" s="6"/>
      <c r="G185" s="6"/>
      <c r="H185" s="6"/>
      <c r="I185" s="6"/>
      <c r="J185" s="6"/>
      <c r="K185" s="6"/>
      <c r="L185" s="6"/>
      <c r="M185" s="6"/>
      <c r="P185" s="32" t="s">
        <v>20</v>
      </c>
      <c r="Q185" s="1" t="s">
        <v>71</v>
      </c>
      <c r="T185" s="1">
        <v>973</v>
      </c>
    </row>
    <row r="186" spans="1:42" ht="15.75" customHeight="1" x14ac:dyDescent="0.3">
      <c r="A186" s="23">
        <v>543669</v>
      </c>
      <c r="B186" s="24" t="s">
        <v>23</v>
      </c>
      <c r="C186" s="25">
        <f ca="1">IFERROR(__xludf.DUMMYFUNCTION("GOOGLEFINANCE(""bom:""&amp;A186,""price"")"),625.65)</f>
        <v>625.65</v>
      </c>
      <c r="D186" s="30">
        <f ca="1">IFERROR(__xludf.DUMMYFUNCTION("GOOGLEFINANCE(""bom:""&amp;A186,""marketcap"")/10000000"),7118.0125)</f>
        <v>7118.0124999999998</v>
      </c>
      <c r="E186" s="6"/>
      <c r="F186" s="6"/>
      <c r="G186" s="6"/>
      <c r="H186" s="6"/>
      <c r="I186" s="6"/>
      <c r="J186" s="6"/>
      <c r="K186" s="6"/>
      <c r="L186" s="6"/>
      <c r="M186" s="6"/>
      <c r="P186" s="31"/>
      <c r="Q186" s="1" t="s">
        <v>72</v>
      </c>
      <c r="T186" s="1">
        <v>211</v>
      </c>
    </row>
    <row r="187" spans="1:42" ht="15.75" customHeight="1" x14ac:dyDescent="0.3">
      <c r="A187" s="23">
        <v>526367</v>
      </c>
      <c r="B187" s="24" t="s">
        <v>24</v>
      </c>
      <c r="C187" s="25">
        <f ca="1">IFERROR(__xludf.DUMMYFUNCTION("GOOGLEFINANCE(""bom:""&amp;A187,""price"")"),713.7)</f>
        <v>713.7</v>
      </c>
      <c r="D187" s="30">
        <f ca="1">IFERROR(__xludf.DUMMYFUNCTION("GOOGLEFINANCE(""bom:""&amp;A187,""marketcap"")/10000000"),6033.8896288)</f>
        <v>6033.8896287999996</v>
      </c>
      <c r="E187" s="6"/>
      <c r="F187" s="6"/>
      <c r="G187" s="6"/>
      <c r="H187" s="6"/>
      <c r="I187" s="6"/>
      <c r="J187" s="6"/>
      <c r="K187" s="6"/>
      <c r="L187" s="6"/>
      <c r="M187" s="6"/>
      <c r="P187" s="31"/>
      <c r="S187" s="1" t="s">
        <v>73</v>
      </c>
      <c r="T187" s="32">
        <f>T185+T186</f>
        <v>1184</v>
      </c>
      <c r="U187" s="1" t="s">
        <v>74</v>
      </c>
    </row>
    <row r="188" spans="1:42" ht="15.75" customHeight="1" x14ac:dyDescent="0.3">
      <c r="A188" s="23">
        <v>532832</v>
      </c>
      <c r="B188" s="24" t="s">
        <v>25</v>
      </c>
      <c r="C188" s="25">
        <f ca="1">IFERROR(__xludf.DUMMYFUNCTION("GOOGLEFINANCE(""bom:""&amp;A188,""price"")"),110.3)</f>
        <v>110.3</v>
      </c>
      <c r="D188" s="30">
        <f ca="1">IFERROR(__xludf.DUMMYFUNCTION("GOOGLEFINANCE(""bom:""&amp;A188,""marketcap"")/10000000"),5970.8171211)</f>
        <v>5970.8171210999999</v>
      </c>
      <c r="E188" s="6"/>
      <c r="F188" s="6"/>
      <c r="G188" s="6"/>
      <c r="H188" s="6"/>
      <c r="I188" s="6"/>
      <c r="J188" s="6"/>
      <c r="K188" s="6"/>
      <c r="L188" s="6"/>
      <c r="M188" s="6"/>
      <c r="P188" s="31"/>
    </row>
    <row r="189" spans="1:42" ht="15.75" customHeight="1" x14ac:dyDescent="0.3">
      <c r="A189" s="23">
        <v>512179</v>
      </c>
      <c r="B189" s="24" t="s">
        <v>26</v>
      </c>
      <c r="C189" s="25">
        <f ca="1">IFERROR(__xludf.DUMMYFUNCTION("GOOGLEFINANCE(""bom:""&amp;A189,""price"")"),392.25)</f>
        <v>392.25</v>
      </c>
      <c r="D189" s="30">
        <f ca="1">IFERROR(__xludf.DUMMYFUNCTION("GOOGLEFINANCE(""bom:""&amp;A189,""marketcap"")/10000000"),5747.41959)</f>
        <v>5747.4195900000004</v>
      </c>
      <c r="E189" s="6"/>
      <c r="F189" s="6"/>
      <c r="G189" s="6"/>
      <c r="H189" s="6"/>
      <c r="I189" s="6"/>
      <c r="J189" s="6"/>
      <c r="K189" s="6"/>
      <c r="L189" s="6"/>
      <c r="M189" s="6"/>
      <c r="P189" s="31"/>
    </row>
    <row r="190" spans="1:42" ht="15.75" customHeight="1" x14ac:dyDescent="0.3">
      <c r="A190" s="23">
        <v>543242</v>
      </c>
      <c r="B190" s="24" t="s">
        <v>27</v>
      </c>
      <c r="C190" s="25">
        <f ca="1">IFERROR(__xludf.DUMMYFUNCTION("GOOGLEFINANCE(""bom:""&amp;A190,""price"")"),195.35)</f>
        <v>195.35</v>
      </c>
      <c r="D190" s="30">
        <f ca="1">IFERROR(__xludf.DUMMYFUNCTION("GOOGLEFINANCE(""bom:""&amp;A190,""marketcap"")/10000000"),5570.39761)</f>
        <v>5570.39761</v>
      </c>
      <c r="E190" s="6"/>
      <c r="F190" s="6"/>
      <c r="G190" s="6"/>
      <c r="H190" s="6"/>
      <c r="I190" s="6"/>
      <c r="J190" s="6"/>
      <c r="K190" s="6"/>
      <c r="L190" s="6"/>
      <c r="M190" s="6"/>
      <c r="P190" s="31"/>
    </row>
    <row r="191" spans="1:42" ht="15.75" customHeight="1" x14ac:dyDescent="0.3">
      <c r="A191" s="23">
        <v>532891</v>
      </c>
      <c r="B191" s="24" t="s">
        <v>75</v>
      </c>
      <c r="C191" s="25">
        <f ca="1">IFERROR(__xludf.DUMMYFUNCTION("GOOGLEFINANCE(""bom:""&amp;A191,""price"")"),204.1)</f>
        <v>204.1</v>
      </c>
      <c r="D191" s="30">
        <f ca="1">IFERROR(__xludf.DUMMYFUNCTION("GOOGLEFINANCE(""bom:""&amp;A191,""marketcap"")/10000000"),4842.8420838)</f>
        <v>4842.8420838000002</v>
      </c>
      <c r="E191" s="6"/>
      <c r="F191" s="6"/>
      <c r="G191" s="6"/>
      <c r="H191" s="6"/>
      <c r="I191" s="6"/>
      <c r="J191" s="6"/>
      <c r="K191" s="6"/>
      <c r="L191" s="6"/>
      <c r="M191" s="6"/>
      <c r="P191" s="31"/>
    </row>
    <row r="192" spans="1:42" ht="15.75" customHeight="1" x14ac:dyDescent="0.3">
      <c r="A192" s="23">
        <v>543249</v>
      </c>
      <c r="B192" s="24" t="s">
        <v>76</v>
      </c>
      <c r="C192" s="25">
        <f ca="1">IFERROR(__xludf.DUMMYFUNCTION("GOOGLEFINANCE(""bom:""&amp;A192,""price"")"),134.25)</f>
        <v>134.25</v>
      </c>
      <c r="D192" s="30">
        <f ca="1">IFERROR(__xludf.DUMMYFUNCTION("GOOGLEFINANCE(""bom:""&amp;A192,""marketcap"")/10000000"),3961.6678275)</f>
        <v>3961.6678274999999</v>
      </c>
    </row>
    <row r="193" spans="1:4" ht="15.75" customHeight="1" x14ac:dyDescent="0.3">
      <c r="A193" s="23">
        <v>544008</v>
      </c>
      <c r="B193" s="24" t="s">
        <v>77</v>
      </c>
      <c r="C193" s="25">
        <f ca="1">IFERROR(__xludf.DUMMYFUNCTION("GOOGLEFINANCE(""bom:""&amp;A193,""price"")"),257.25)</f>
        <v>257.25</v>
      </c>
      <c r="D193" s="30">
        <f ca="1">IFERROR(__xludf.DUMMYFUNCTION("GOOGLEFINANCE(""bom:""&amp;A193,""marketcap"")/10000000"),3821.0831446)</f>
        <v>3821.0831446000002</v>
      </c>
    </row>
    <row r="194" spans="1:4" ht="15.75" customHeight="1" x14ac:dyDescent="0.3">
      <c r="A194" s="23">
        <v>532924</v>
      </c>
      <c r="B194" s="24" t="s">
        <v>78</v>
      </c>
      <c r="C194" s="25">
        <f ca="1">IFERROR(__xludf.DUMMYFUNCTION("GOOGLEFINANCE(""bom:""&amp;A194,""price"")"),441.4)</f>
        <v>441.4</v>
      </c>
      <c r="D194" s="30">
        <f ca="1">IFERROR(__xludf.DUMMYFUNCTION("GOOGLEFINANCE(""bom:""&amp;A194,""marketcap"")/10000000"),3358.8429643)</f>
        <v>3358.8429642999999</v>
      </c>
    </row>
    <row r="195" spans="1:4" ht="15.75" customHeight="1" x14ac:dyDescent="0.3">
      <c r="A195" s="23">
        <v>523716</v>
      </c>
      <c r="B195" s="24" t="s">
        <v>79</v>
      </c>
      <c r="C195" s="25">
        <f ca="1">IFERROR(__xludf.DUMMYFUNCTION("GOOGLEFINANCE(""bom:""&amp;A195,""price"")"),276.2)</f>
        <v>276.2</v>
      </c>
      <c r="D195" s="30">
        <f ca="1">IFERROR(__xludf.DUMMYFUNCTION("GOOGLEFINANCE(""bom:""&amp;A195,""marketcap"")/10000000"),2776.4950987)</f>
        <v>2776.4950987000002</v>
      </c>
    </row>
    <row r="196" spans="1:4" ht="15.75" customHeight="1" x14ac:dyDescent="0.3">
      <c r="A196" s="23">
        <v>539301</v>
      </c>
      <c r="B196" s="24" t="s">
        <v>80</v>
      </c>
      <c r="C196" s="25">
        <f ca="1">IFERROR(__xludf.DUMMYFUNCTION("GOOGLEFINANCE(""bom:""&amp;A196,""price"")"),596.6)</f>
        <v>596.6</v>
      </c>
      <c r="D196" s="30">
        <f ca="1">IFERROR(__xludf.DUMMYFUNCTION("GOOGLEFINANCE(""bom:""&amp;A196,""marketcap"")/10000000"),2692.890916)</f>
        <v>2692.8909159999998</v>
      </c>
    </row>
    <row r="197" spans="1:4" ht="15.75" customHeight="1" x14ac:dyDescent="0.3">
      <c r="A197" s="23">
        <v>513349</v>
      </c>
      <c r="B197" s="24" t="s">
        <v>81</v>
      </c>
      <c r="C197" s="25">
        <f ca="1">IFERROR(__xludf.DUMMYFUNCTION("GOOGLEFINANCE(""bom:""&amp;A197,""price"")"),701.8)</f>
        <v>701.8</v>
      </c>
      <c r="D197" s="30">
        <f ca="1">IFERROR(__xludf.DUMMYFUNCTION("GOOGLEFINANCE(""bom:""&amp;A197,""marketcap"")/10000000"),2495.2688051)</f>
        <v>2495.2688051</v>
      </c>
    </row>
    <row r="198" spans="1:4" ht="15.75" customHeight="1" x14ac:dyDescent="0.3">
      <c r="A198" s="23">
        <v>507878</v>
      </c>
      <c r="B198" s="24" t="s">
        <v>82</v>
      </c>
      <c r="C198" s="25">
        <f ca="1">IFERROR(__xludf.DUMMYFUNCTION("GOOGLEFINANCE(""bom:""&amp;A198,""price"")"),9.24)</f>
        <v>9.24</v>
      </c>
      <c r="D198" s="30">
        <f ca="1">IFERROR(__xludf.DUMMYFUNCTION("GOOGLEFINANCE(""bom:""&amp;A198,""marketcap"")/10000000"),2434.7491796)</f>
        <v>2434.7491795999999</v>
      </c>
    </row>
    <row r="199" spans="1:4" ht="15.75" customHeight="1" x14ac:dyDescent="0.3">
      <c r="A199" s="23">
        <v>503101</v>
      </c>
      <c r="B199" s="24" t="s">
        <v>83</v>
      </c>
      <c r="C199" s="25">
        <f ca="1">IFERROR(__xludf.DUMMYFUNCTION("GOOGLEFINANCE(""bom:""&amp;A199,""price"")"),481)</f>
        <v>481</v>
      </c>
      <c r="D199" s="30">
        <f ca="1">IFERROR(__xludf.DUMMYFUNCTION("GOOGLEFINANCE(""bom:""&amp;A199,""marketcap"")/10000000"),2430.6358)</f>
        <v>2430.6358</v>
      </c>
    </row>
    <row r="200" spans="1:4" ht="15.75" customHeight="1" x14ac:dyDescent="0.3">
      <c r="A200" s="23">
        <v>506235</v>
      </c>
      <c r="B200" s="24" t="s">
        <v>84</v>
      </c>
      <c r="C200" s="25">
        <f ca="1">IFERROR(__xludf.DUMMYFUNCTION("GOOGLEFINANCE(""bom:""&amp;A200,""price"")"),81.48)</f>
        <v>81.48</v>
      </c>
      <c r="D200" s="30">
        <f ca="1">IFERROR(__xludf.DUMMYFUNCTION("GOOGLEFINANCE(""bom:""&amp;A200,""marketcap"")/10000000"),2090.9569569)</f>
        <v>2090.9569569</v>
      </c>
    </row>
    <row r="201" spans="1:4" ht="15.75" customHeight="1" x14ac:dyDescent="0.3">
      <c r="A201" s="23">
        <v>543419</v>
      </c>
      <c r="B201" s="24" t="s">
        <v>85</v>
      </c>
      <c r="C201" s="25">
        <f ca="1">IFERROR(__xludf.DUMMYFUNCTION("GOOGLEFINANCE(""bom:""&amp;A201,""price"")"),107.4)</f>
        <v>107.4</v>
      </c>
      <c r="D201" s="30">
        <f ca="1">IFERROR(__xludf.DUMMYFUNCTION("GOOGLEFINANCE(""bom:""&amp;A201,""marketcap"")/10000000"),1835.26265)</f>
        <v>1835.2626499999999</v>
      </c>
    </row>
    <row r="202" spans="1:4" ht="15.75" customHeight="1" x14ac:dyDescent="0.3">
      <c r="A202" s="23">
        <v>532880</v>
      </c>
      <c r="B202" s="24" t="s">
        <v>86</v>
      </c>
      <c r="C202" s="25">
        <f ca="1">IFERROR(__xludf.DUMMYFUNCTION("GOOGLEFINANCE(""bom:""&amp;A202,""price"")"),89.15)</f>
        <v>89.15</v>
      </c>
      <c r="D202" s="26">
        <f ca="1">IFERROR(__xludf.DUMMYFUNCTION("GOOGLEFINANCE(""bom:""&amp;A202,""marketcap"")/10000000"),1642.4465458)</f>
        <v>1642.4465458</v>
      </c>
    </row>
    <row r="203" spans="1:4" ht="15.75" customHeight="1" x14ac:dyDescent="0.3">
      <c r="A203" s="23">
        <v>503031</v>
      </c>
      <c r="B203" s="24" t="s">
        <v>87</v>
      </c>
      <c r="C203" s="25">
        <f ca="1">IFERROR(__xludf.DUMMYFUNCTION("GOOGLEFINANCE(""bom:""&amp;A203,""price"")"),47.97)</f>
        <v>47.97</v>
      </c>
      <c r="D203" s="26">
        <f ca="1">IFERROR(__xludf.DUMMYFUNCTION("GOOGLEFINANCE(""bom:""&amp;A203,""marketcap"")/10000000"),1480.5202138)</f>
        <v>1480.5202138</v>
      </c>
    </row>
    <row r="204" spans="1:4" ht="15.75" customHeight="1" x14ac:dyDescent="0.3">
      <c r="A204" s="23">
        <v>543218</v>
      </c>
      <c r="B204" s="24" t="s">
        <v>88</v>
      </c>
      <c r="C204" s="25">
        <f ca="1">IFERROR(__xludf.DUMMYFUNCTION("GOOGLEFINANCE(""bom:""&amp;A204,""price"")"),815.9)</f>
        <v>815.9</v>
      </c>
      <c r="D204" s="26">
        <f ca="1">IFERROR(__xludf.DUMMYFUNCTION("GOOGLEFINANCE(""bom:""&amp;A204,""marketcap"")/10000000"),1414.990321)</f>
        <v>1414.990321</v>
      </c>
    </row>
    <row r="205" spans="1:4" ht="15.75" customHeight="1" x14ac:dyDescent="0.3">
      <c r="A205" s="23">
        <v>504000</v>
      </c>
      <c r="B205" s="24" t="s">
        <v>89</v>
      </c>
      <c r="C205" s="25">
        <f ca="1">IFERROR(__xludf.DUMMYFUNCTION("GOOGLEFINANCE(""bom:""&amp;A205,""price"")"),79.1)</f>
        <v>79.099999999999994</v>
      </c>
      <c r="D205" s="26">
        <f ca="1">IFERROR(__xludf.DUMMYFUNCTION("GOOGLEFINANCE(""bom:""&amp;A205,""marketcap"")/10000000"),1340.5796551)</f>
        <v>1340.5796551000001</v>
      </c>
    </row>
    <row r="206" spans="1:4" ht="15.75" customHeight="1" x14ac:dyDescent="0.3">
      <c r="A206" s="23">
        <v>506194</v>
      </c>
      <c r="B206" s="24" t="s">
        <v>90</v>
      </c>
      <c r="C206" s="25">
        <f ca="1">IFERROR(__xludf.DUMMYFUNCTION("GOOGLEFINANCE(""bom:""&amp;A206,""price"")"),323)</f>
        <v>323</v>
      </c>
      <c r="D206" s="26">
        <f ca="1">IFERROR(__xludf.DUMMYFUNCTION("GOOGLEFINANCE(""bom:""&amp;A206,""marketcap"")/10000000"),1323.236038)</f>
        <v>1323.236038</v>
      </c>
    </row>
    <row r="207" spans="1:4" ht="15.75" customHeight="1" x14ac:dyDescent="0.3">
      <c r="A207" s="23">
        <v>544054</v>
      </c>
      <c r="B207" s="24" t="s">
        <v>91</v>
      </c>
      <c r="C207" s="25">
        <f ca="1">IFERROR(__xludf.DUMMYFUNCTION("GOOGLEFINANCE(""bom:""&amp;A207,""price"")"),275.6)</f>
        <v>275.60000000000002</v>
      </c>
      <c r="D207" s="26">
        <f ca="1">IFERROR(__xludf.DUMMYFUNCTION("GOOGLEFINANCE(""bom:""&amp;A207,""marketcap"")/10000000"),1224.1581779)</f>
        <v>1224.1581779000001</v>
      </c>
    </row>
    <row r="208" spans="1:4" ht="15.75" customHeight="1" x14ac:dyDescent="0.3">
      <c r="A208" s="23">
        <v>539042</v>
      </c>
      <c r="B208" s="24" t="s">
        <v>92</v>
      </c>
      <c r="C208" s="25">
        <f ca="1">IFERROR(__xludf.DUMMYFUNCTION("GOOGLEFINANCE(""bom:""&amp;A208,""price"")"),925)</f>
        <v>925</v>
      </c>
      <c r="D208" s="26">
        <f ca="1">IFERROR(__xludf.DUMMYFUNCTION("GOOGLEFINANCE(""bom:""&amp;A208,""marketcap"")/10000000"),1130.0466)</f>
        <v>1130.0465999999999</v>
      </c>
    </row>
    <row r="209" spans="1:4" ht="15.75" customHeight="1" x14ac:dyDescent="0.3">
      <c r="A209" s="23">
        <v>526407</v>
      </c>
      <c r="B209" s="24" t="s">
        <v>93</v>
      </c>
      <c r="C209" s="25">
        <f ca="1">IFERROR(__xludf.DUMMYFUNCTION("GOOGLEFINANCE(""bom:""&amp;A209,""price"")"),37.43)</f>
        <v>37.43</v>
      </c>
      <c r="D209" s="26">
        <f ca="1">IFERROR(__xludf.DUMMYFUNCTION("GOOGLEFINANCE(""bom:""&amp;A209,""marketcap"")/10000000"),1026.3590551)</f>
        <v>1026.3590551</v>
      </c>
    </row>
    <row r="210" spans="1:4" ht="15.75" customHeight="1" x14ac:dyDescent="0.3">
      <c r="A210" s="23">
        <v>517556</v>
      </c>
      <c r="B210" s="24" t="s">
        <v>94</v>
      </c>
      <c r="C210" s="25">
        <f ca="1">IFERROR(__xludf.DUMMYFUNCTION("GOOGLEFINANCE(""bom:""&amp;A210,""price"")"),38.29)</f>
        <v>38.29</v>
      </c>
      <c r="D210" s="26">
        <f ca="1">IFERROR(__xludf.DUMMYFUNCTION("GOOGLEFINANCE(""bom:""&amp;A210,""marketcap"")/10000000"),997.3725832)</f>
        <v>997.37258320000001</v>
      </c>
    </row>
    <row r="211" spans="1:4" ht="15.75" customHeight="1" x14ac:dyDescent="0.3">
      <c r="A211" s="23">
        <v>532799</v>
      </c>
      <c r="B211" s="24" t="s">
        <v>95</v>
      </c>
      <c r="C211" s="25">
        <f ca="1">IFERROR(__xludf.DUMMYFUNCTION("GOOGLEFINANCE(""bom:""&amp;A211,""price"")"),121.8)</f>
        <v>121.8</v>
      </c>
      <c r="D211" s="26">
        <f ca="1">IFERROR(__xludf.DUMMYFUNCTION("GOOGLEFINANCE(""bom:""&amp;A211,""marketcap"")/10000000"),974.8179102)</f>
        <v>974.81791020000003</v>
      </c>
    </row>
    <row r="212" spans="1:4" ht="15.75" customHeight="1" x14ac:dyDescent="0.3">
      <c r="A212" s="23">
        <v>543898</v>
      </c>
      <c r="B212" s="24" t="s">
        <v>96</v>
      </c>
      <c r="C212" s="25">
        <f ca="1">IFERROR(__xludf.DUMMYFUNCTION("GOOGLEFINANCE(""bom:""&amp;A212,""price"")"),224.9)</f>
        <v>224.9</v>
      </c>
      <c r="D212" s="26">
        <f ca="1">IFERROR(__xludf.DUMMYFUNCTION("GOOGLEFINANCE(""bom:""&amp;A212,""marketcap"")/10000000"),936.8004586)</f>
        <v>936.80045859999996</v>
      </c>
    </row>
    <row r="213" spans="1:4" ht="15.75" customHeight="1" x14ac:dyDescent="0.3">
      <c r="A213" s="23">
        <v>523329</v>
      </c>
      <c r="B213" s="24" t="s">
        <v>97</v>
      </c>
      <c r="C213" s="25">
        <f ca="1">IFERROR(__xludf.DUMMYFUNCTION("GOOGLEFINANCE(""bom:""&amp;A213,""price"")"),759.9)</f>
        <v>759.9</v>
      </c>
      <c r="D213" s="26">
        <f ca="1">IFERROR(__xludf.DUMMYFUNCTION("GOOGLEFINANCE(""bom:""&amp;A213,""marketcap"")/10000000"),731.5259726)</f>
        <v>731.52597260000005</v>
      </c>
    </row>
    <row r="214" spans="1:4" ht="15.75" customHeight="1" x14ac:dyDescent="0.3">
      <c r="A214" s="23">
        <v>532467</v>
      </c>
      <c r="B214" s="24" t="s">
        <v>98</v>
      </c>
      <c r="C214" s="25">
        <f ca="1">IFERROR(__xludf.DUMMYFUNCTION("GOOGLEFINANCE(""bom:""&amp;A214,""price"")"),307.9)</f>
        <v>307.89999999999998</v>
      </c>
      <c r="D214" s="26">
        <f ca="1">IFERROR(__xludf.DUMMYFUNCTION("GOOGLEFINANCE(""bom:""&amp;A214,""marketcap"")/10000000"),574.7947903)</f>
        <v>574.79479030000005</v>
      </c>
    </row>
    <row r="215" spans="1:4" ht="15.75" customHeight="1" x14ac:dyDescent="0.3">
      <c r="A215" s="23">
        <v>532764</v>
      </c>
      <c r="B215" s="24" t="s">
        <v>99</v>
      </c>
      <c r="C215" s="25">
        <f ca="1">IFERROR(__xludf.DUMMYFUNCTION("GOOGLEFINANCE(""bom:""&amp;A215,""price"")"),263)</f>
        <v>263</v>
      </c>
      <c r="D215" s="26">
        <f ca="1">IFERROR(__xludf.DUMMYFUNCTION("GOOGLEFINANCE(""bom:""&amp;A215,""marketcap"")/10000000"),549.319947)</f>
        <v>549.31994699999996</v>
      </c>
    </row>
    <row r="216" spans="1:4" ht="15.75" customHeight="1" x14ac:dyDescent="0.3">
      <c r="A216" s="23">
        <v>532780</v>
      </c>
      <c r="B216" s="24" t="s">
        <v>100</v>
      </c>
      <c r="C216" s="25">
        <f ca="1">IFERROR(__xludf.DUMMYFUNCTION("GOOGLEFINANCE(""bom:""&amp;A216,""price"")"),11.88)</f>
        <v>11.88</v>
      </c>
      <c r="D216" s="26">
        <f ca="1">IFERROR(__xludf.DUMMYFUNCTION("GOOGLEFINANCE(""bom:""&amp;A216,""marketcap"")/10000000"),511.5626653)</f>
        <v>511.56266529999999</v>
      </c>
    </row>
    <row r="217" spans="1:4" ht="15.75" customHeight="1" x14ac:dyDescent="0.3">
      <c r="A217" s="23">
        <v>534675</v>
      </c>
      <c r="B217" s="24" t="s">
        <v>101</v>
      </c>
      <c r="C217" s="25">
        <f ca="1">IFERROR(__xludf.DUMMYFUNCTION("GOOGLEFINANCE(""bom:""&amp;A217,""price"")"),30.05)</f>
        <v>30.05</v>
      </c>
      <c r="D217" s="26">
        <f ca="1">IFERROR(__xludf.DUMMYFUNCTION("GOOGLEFINANCE(""bom:""&amp;A217,""marketcap"")/10000000"),457.0453976)</f>
        <v>457.0453976</v>
      </c>
    </row>
    <row r="218" spans="1:4" ht="15.75" customHeight="1" x14ac:dyDescent="0.3">
      <c r="A218" s="23">
        <v>530377</v>
      </c>
      <c r="B218" s="24" t="s">
        <v>102</v>
      </c>
      <c r="C218" s="25">
        <f ca="1">IFERROR(__xludf.DUMMYFUNCTION("GOOGLEFINANCE(""bom:""&amp;A218,""price"")"),10.8)</f>
        <v>10.8</v>
      </c>
      <c r="D218" s="26">
        <f ca="1">IFERROR(__xludf.DUMMYFUNCTION("GOOGLEFINANCE(""bom:""&amp;A218,""marketcap"")/10000000"),423.43089)</f>
        <v>423.43088999999998</v>
      </c>
    </row>
    <row r="219" spans="1:4" ht="15.75" customHeight="1" x14ac:dyDescent="0.3">
      <c r="A219" s="23">
        <v>543539</v>
      </c>
      <c r="B219" s="24" t="s">
        <v>103</v>
      </c>
      <c r="C219" s="25">
        <f ca="1">IFERROR(__xludf.DUMMYFUNCTION("GOOGLEFINANCE(""bom:""&amp;A219,""price"")"),242)</f>
        <v>242</v>
      </c>
      <c r="D219" s="26">
        <f ca="1">IFERROR(__xludf.DUMMYFUNCTION("GOOGLEFINANCE(""bom:""&amp;A219,""marketcap"")/10000000"),409.464)</f>
        <v>409.464</v>
      </c>
    </row>
    <row r="220" spans="1:4" ht="15.75" customHeight="1" x14ac:dyDescent="0.3">
      <c r="A220" s="23">
        <v>532807</v>
      </c>
      <c r="B220" s="24" t="s">
        <v>104</v>
      </c>
      <c r="C220" s="25">
        <f ca="1">IFERROR(__xludf.DUMMYFUNCTION("GOOGLEFINANCE(""bom:""&amp;A220,""price"")"),115.5)</f>
        <v>115.5</v>
      </c>
      <c r="D220" s="26">
        <f ca="1">IFERROR(__xludf.DUMMYFUNCTION("GOOGLEFINANCE(""bom:""&amp;A220,""marketcap"")/10000000"),397.490588)</f>
        <v>397.490588</v>
      </c>
    </row>
    <row r="221" spans="1:4" ht="15.75" customHeight="1" x14ac:dyDescent="0.3">
      <c r="A221" s="23">
        <v>511726</v>
      </c>
      <c r="B221" s="24" t="s">
        <v>105</v>
      </c>
      <c r="C221" s="25">
        <f ca="1">IFERROR(__xludf.DUMMYFUNCTION("GOOGLEFINANCE(""bom:""&amp;A221,""price"")"),28.04)</f>
        <v>28.04</v>
      </c>
      <c r="D221" s="26">
        <f ca="1">IFERROR(__xludf.DUMMYFUNCTION("GOOGLEFINANCE(""bom:""&amp;A221,""marketcap"")/10000000"),329.9571)</f>
        <v>329.95710000000003</v>
      </c>
    </row>
    <row r="222" spans="1:4" ht="15.75" customHeight="1" x14ac:dyDescent="0.3">
      <c r="A222" s="23">
        <v>533218</v>
      </c>
      <c r="B222" s="24" t="s">
        <v>106</v>
      </c>
      <c r="C222" s="25">
        <f ca="1">IFERROR(__xludf.DUMMYFUNCTION("GOOGLEFINANCE(""bom:""&amp;A222,""price"")"),84.5)</f>
        <v>84.5</v>
      </c>
      <c r="D222" s="26">
        <f ca="1">IFERROR(__xludf.DUMMYFUNCTION("GOOGLEFINANCE(""bom:""&amp;A222,""marketcap"")/10000000"),313.3474)</f>
        <v>313.34739999999999</v>
      </c>
    </row>
    <row r="223" spans="1:4" ht="15.75" customHeight="1" x14ac:dyDescent="0.3">
      <c r="A223" s="23">
        <v>543598</v>
      </c>
      <c r="B223" s="24" t="s">
        <v>107</v>
      </c>
      <c r="C223" s="25">
        <f ca="1">IFERROR(__xludf.DUMMYFUNCTION("GOOGLEFINANCE(""bom:""&amp;A223,""price"")"),85.74)</f>
        <v>85.74</v>
      </c>
      <c r="D223" s="26">
        <f ca="1">IFERROR(__xludf.DUMMYFUNCTION("GOOGLEFINANCE(""bom:""&amp;A223,""marketcap"")/10000000"),273.1072722)</f>
        <v>273.10727220000001</v>
      </c>
    </row>
    <row r="224" spans="1:4" ht="15.75" customHeight="1" x14ac:dyDescent="0.3">
      <c r="A224" s="23">
        <v>543376</v>
      </c>
      <c r="B224" s="24" t="s">
        <v>108</v>
      </c>
      <c r="C224" s="25">
        <f ca="1">IFERROR(__xludf.DUMMYFUNCTION("GOOGLEFINANCE(""bom:""&amp;A224,""price"")"),122.2)</f>
        <v>122.2</v>
      </c>
      <c r="D224" s="26">
        <f ca="1">IFERROR(__xludf.DUMMYFUNCTION("GOOGLEFINANCE(""bom:""&amp;A224,""marketcap"")/10000000"),262.7299934)</f>
        <v>262.72999340000001</v>
      </c>
    </row>
    <row r="225" spans="1:4" ht="15.75" customHeight="1" x14ac:dyDescent="0.3">
      <c r="A225" s="23">
        <v>526519</v>
      </c>
      <c r="B225" s="24" t="s">
        <v>109</v>
      </c>
      <c r="C225" s="25">
        <f ca="1">IFERROR(__xludf.DUMMYFUNCTION("GOOGLEFINANCE(""bom:""&amp;A225,""price"")"),148)</f>
        <v>148</v>
      </c>
      <c r="D225" s="26">
        <f ca="1">IFERROR(__xludf.DUMMYFUNCTION("GOOGLEFINANCE(""bom:""&amp;A225,""marketcap"")/10000000"),256.36412)</f>
        <v>256.36412000000001</v>
      </c>
    </row>
    <row r="226" spans="1:4" ht="15.75" customHeight="1" x14ac:dyDescent="0.3">
      <c r="A226" s="23">
        <v>543241</v>
      </c>
      <c r="B226" s="24" t="s">
        <v>110</v>
      </c>
      <c r="C226" s="25">
        <f ca="1">IFERROR(__xludf.DUMMYFUNCTION("GOOGLEFINANCE(""bom:""&amp;A226,""price"")"),152)</f>
        <v>152</v>
      </c>
      <c r="D226" s="26">
        <f ca="1">IFERROR(__xludf.DUMMYFUNCTION("GOOGLEFINANCE(""bom:""&amp;A226,""marketcap"")/10000000"),246.9)</f>
        <v>246.9</v>
      </c>
    </row>
    <row r="227" spans="1:4" ht="15.75" customHeight="1" x14ac:dyDescent="0.3">
      <c r="A227" s="23">
        <v>543251</v>
      </c>
      <c r="B227" s="24" t="s">
        <v>111</v>
      </c>
      <c r="C227" s="25">
        <f ca="1">IFERROR(__xludf.DUMMYFUNCTION("GOOGLEFINANCE(""bom:""&amp;A227,""price"")"),40.69)</f>
        <v>40.69</v>
      </c>
      <c r="D227" s="26">
        <f ca="1">IFERROR(__xludf.DUMMYFUNCTION("GOOGLEFINANCE(""bom:""&amp;A227,""marketcap"")/10000000"),244.6967509)</f>
        <v>244.69675090000001</v>
      </c>
    </row>
    <row r="228" spans="1:4" ht="15.75" customHeight="1" x14ac:dyDescent="0.3">
      <c r="A228" s="23">
        <v>533285</v>
      </c>
      <c r="B228" s="24" t="s">
        <v>112</v>
      </c>
      <c r="C228" s="25">
        <f ca="1">IFERROR(__xludf.DUMMYFUNCTION("GOOGLEFINANCE(""bom:""&amp;A228,""price"")"),126.4)</f>
        <v>126.4</v>
      </c>
      <c r="D228" s="26">
        <f ca="1">IFERROR(__xludf.DUMMYFUNCTION("GOOGLEFINANCE(""bom:""&amp;A228,""marketcap"")/10000000"),218.4620522)</f>
        <v>218.46205219999999</v>
      </c>
    </row>
    <row r="229" spans="1:4" ht="15.75" customHeight="1" x14ac:dyDescent="0.3">
      <c r="A229" s="23">
        <v>539407</v>
      </c>
      <c r="B229" s="24" t="s">
        <v>113</v>
      </c>
      <c r="C229" s="25">
        <f ca="1">IFERROR(__xludf.DUMMYFUNCTION("GOOGLEFINANCE(""bom:""&amp;A229,""price"")"),40.05)</f>
        <v>40.049999999999997</v>
      </c>
      <c r="D229" s="26">
        <f ca="1">IFERROR(__xludf.DUMMYFUNCTION("GOOGLEFINANCE(""bom:""&amp;A229,""marketcap"")/10000000"),211.3493684)</f>
        <v>211.3493684</v>
      </c>
    </row>
    <row r="230" spans="1:4" ht="15.75" customHeight="1" x14ac:dyDescent="0.3">
      <c r="A230" s="23">
        <v>542231</v>
      </c>
      <c r="B230" s="24" t="s">
        <v>114</v>
      </c>
      <c r="C230" s="25">
        <f ca="1">IFERROR(__xludf.DUMMYFUNCTION("GOOGLEFINANCE(""bom:""&amp;A230,""price"")"),5.32)</f>
        <v>5.32</v>
      </c>
      <c r="D230" s="26">
        <f ca="1">IFERROR(__xludf.DUMMYFUNCTION("GOOGLEFINANCE(""bom:""&amp;A230,""marketcap"")/10000000"),206.7917775)</f>
        <v>206.79177749999999</v>
      </c>
    </row>
    <row r="231" spans="1:4" ht="15.75" customHeight="1" x14ac:dyDescent="0.3">
      <c r="A231" s="23">
        <v>530677</v>
      </c>
      <c r="B231" s="24" t="s">
        <v>115</v>
      </c>
      <c r="C231" s="25">
        <f ca="1">IFERROR(__xludf.DUMMYFUNCTION("GOOGLEFINANCE(""bom:""&amp;A231,""price"")"),49.88)</f>
        <v>49.88</v>
      </c>
      <c r="D231" s="26">
        <f ca="1">IFERROR(__xludf.DUMMYFUNCTION("GOOGLEFINANCE(""bom:""&amp;A231,""marketcap"")/10000000"),185.4380818)</f>
        <v>185.43808179999999</v>
      </c>
    </row>
    <row r="232" spans="1:4" ht="15.75" customHeight="1" x14ac:dyDescent="0.3">
      <c r="A232" s="23">
        <v>535621</v>
      </c>
      <c r="B232" s="24" t="s">
        <v>116</v>
      </c>
      <c r="C232" s="25">
        <f ca="1">IFERROR(__xludf.DUMMYFUNCTION("GOOGLEFINANCE(""bom:""&amp;A232,""price"")"),100)</f>
        <v>100</v>
      </c>
      <c r="D232" s="26">
        <f ca="1">IFERROR(__xludf.DUMMYFUNCTION("GOOGLEFINANCE(""bom:""&amp;A232,""marketcap"")/10000000"),180.8297)</f>
        <v>180.8297</v>
      </c>
    </row>
    <row r="233" spans="1:4" ht="15.75" customHeight="1" x14ac:dyDescent="0.3">
      <c r="A233" s="23">
        <v>541161</v>
      </c>
      <c r="B233" s="24" t="s">
        <v>117</v>
      </c>
      <c r="C233" s="25">
        <f ca="1">IFERROR(__xludf.DUMMYFUNCTION("GOOGLEFINANCE(""bom:""&amp;A233,""price"")"),1.86)</f>
        <v>1.86</v>
      </c>
      <c r="D233" s="26">
        <f ca="1">IFERROR(__xludf.DUMMYFUNCTION("GOOGLEFINANCE(""bom:""&amp;A233,""marketcap"")/10000000"),178.0077977)</f>
        <v>178.0077977</v>
      </c>
    </row>
    <row r="234" spans="1:4" ht="15.75" customHeight="1" x14ac:dyDescent="0.3">
      <c r="A234" s="23">
        <v>543542</v>
      </c>
      <c r="B234" s="24" t="s">
        <v>118</v>
      </c>
      <c r="C234" s="25">
        <f ca="1">IFERROR(__xludf.DUMMYFUNCTION("GOOGLEFINANCE(""bom:""&amp;A234,""price"")"),501.45)</f>
        <v>501.45</v>
      </c>
      <c r="D234" s="26">
        <f ca="1">IFERROR(__xludf.DUMMYFUNCTION("GOOGLEFINANCE(""bom:""&amp;A234,""marketcap"")/10000000"),177.0319)</f>
        <v>177.03190000000001</v>
      </c>
    </row>
    <row r="235" spans="1:4" ht="15.75" customHeight="1" x14ac:dyDescent="0.3">
      <c r="A235" s="23">
        <v>533167</v>
      </c>
      <c r="B235" s="24" t="s">
        <v>119</v>
      </c>
      <c r="C235" s="25">
        <f ca="1">IFERROR(__xludf.DUMMYFUNCTION("GOOGLEFINANCE(""bom:""&amp;A235,""price"")"),51.96)</f>
        <v>51.96</v>
      </c>
      <c r="D235" s="26">
        <f ca="1">IFERROR(__xludf.DUMMYFUNCTION("GOOGLEFINANCE(""bom:""&amp;A235,""marketcap"")/10000000"),174.0111)</f>
        <v>174.0111</v>
      </c>
    </row>
    <row r="236" spans="1:4" ht="15.75" customHeight="1" x14ac:dyDescent="0.3">
      <c r="A236" s="23">
        <v>531746</v>
      </c>
      <c r="B236" s="24" t="s">
        <v>120</v>
      </c>
      <c r="C236" s="25">
        <f ca="1">IFERROR(__xludf.DUMMYFUNCTION("GOOGLEFINANCE(""bom:""&amp;A236,""price"")"),23.31)</f>
        <v>23.31</v>
      </c>
      <c r="D236" s="26">
        <f ca="1">IFERROR(__xludf.DUMMYFUNCTION("GOOGLEFINANCE(""bom:""&amp;A236,""marketcap"")/10000000"),167.8458842)</f>
        <v>167.8458842</v>
      </c>
    </row>
    <row r="237" spans="1:4" ht="15.75" customHeight="1" x14ac:dyDescent="0.3">
      <c r="A237" s="23">
        <v>540796</v>
      </c>
      <c r="B237" s="24" t="s">
        <v>121</v>
      </c>
      <c r="C237" s="25">
        <f ca="1">IFERROR(__xludf.DUMMYFUNCTION("GOOGLEFINANCE(""bom:""&amp;A237,""price"")"),120.25)</f>
        <v>120.25</v>
      </c>
      <c r="D237" s="26">
        <f ca="1">IFERROR(__xludf.DUMMYFUNCTION("GOOGLEFINANCE(""bom:""&amp;A237,""marketcap"")/10000000"),164.7425)</f>
        <v>164.74250000000001</v>
      </c>
    </row>
    <row r="238" spans="1:4" ht="15.75" customHeight="1" x14ac:dyDescent="0.3">
      <c r="A238" s="23">
        <v>540402</v>
      </c>
      <c r="B238" s="24" t="s">
        <v>122</v>
      </c>
      <c r="C238" s="25">
        <f ca="1">IFERROR(__xludf.DUMMYFUNCTION("GOOGLEFINANCE(""bom:""&amp;A238,""price"")"),390)</f>
        <v>390</v>
      </c>
      <c r="D238" s="26">
        <f ca="1">IFERROR(__xludf.DUMMYFUNCTION("GOOGLEFINANCE(""bom:""&amp;A238,""marketcap"")/10000000"),162.24)</f>
        <v>162.24</v>
      </c>
    </row>
    <row r="239" spans="1:4" ht="15.75" customHeight="1" x14ac:dyDescent="0.3">
      <c r="A239" s="23">
        <v>531273</v>
      </c>
      <c r="B239" s="24" t="s">
        <v>123</v>
      </c>
      <c r="C239" s="25">
        <f ca="1">IFERROR(__xludf.DUMMYFUNCTION("GOOGLEFINANCE(""bom:""&amp;A239,""price"")"),3.22)</f>
        <v>3.22</v>
      </c>
      <c r="D239" s="26">
        <f ca="1">IFERROR(__xludf.DUMMYFUNCTION("GOOGLEFINANCE(""bom:""&amp;A239,""marketcap"")/10000000"),162.1585896)</f>
        <v>162.1585896</v>
      </c>
    </row>
    <row r="240" spans="1:4" ht="15.75" customHeight="1" x14ac:dyDescent="0.3">
      <c r="A240" s="23">
        <v>543543</v>
      </c>
      <c r="B240" s="24" t="s">
        <v>124</v>
      </c>
      <c r="C240" s="25">
        <f ca="1">IFERROR(__xludf.DUMMYFUNCTION("GOOGLEFINANCE(""bom:""&amp;A240,""price"")"),155)</f>
        <v>155</v>
      </c>
      <c r="D240" s="26">
        <f ca="1">IFERROR(__xludf.DUMMYFUNCTION("GOOGLEFINANCE(""bom:""&amp;A240,""marketcap"")/10000000"),160.133445)</f>
        <v>160.13344499999999</v>
      </c>
    </row>
    <row r="241" spans="1:4" ht="15.75" customHeight="1" x14ac:dyDescent="0.3">
      <c r="A241" s="23">
        <v>526117</v>
      </c>
      <c r="B241" s="24" t="s">
        <v>125</v>
      </c>
      <c r="C241" s="25">
        <f ca="1">IFERROR(__xludf.DUMMYFUNCTION("GOOGLEFINANCE(""bom:""&amp;A241,""price"")"),544.5)</f>
        <v>544.5</v>
      </c>
      <c r="D241" s="26">
        <f ca="1">IFERROR(__xludf.DUMMYFUNCTION("GOOGLEFINANCE(""bom:""&amp;A241,""marketcap"")/10000000"),147.0703756)</f>
        <v>147.07037560000001</v>
      </c>
    </row>
    <row r="242" spans="1:4" ht="15.75" customHeight="1" x14ac:dyDescent="0.3">
      <c r="A242" s="23">
        <v>526654</v>
      </c>
      <c r="B242" s="24" t="s">
        <v>126</v>
      </c>
      <c r="C242" s="25">
        <f ca="1">IFERROR(__xludf.DUMMYFUNCTION("GOOGLEFINANCE(""bom:""&amp;A242,""price"")"),159)</f>
        <v>159</v>
      </c>
      <c r="D242" s="26">
        <f ca="1">IFERROR(__xludf.DUMMYFUNCTION("GOOGLEFINANCE(""bom:""&amp;A242,""marketcap"")/10000000"),143.1)</f>
        <v>143.1</v>
      </c>
    </row>
    <row r="243" spans="1:4" ht="15.75" customHeight="1" x14ac:dyDescent="0.3">
      <c r="A243" s="23">
        <v>500343</v>
      </c>
      <c r="B243" s="24" t="s">
        <v>127</v>
      </c>
      <c r="C243" s="25">
        <f ca="1">IFERROR(__xludf.DUMMYFUNCTION("GOOGLEFINANCE(""bom:""&amp;A243,""price"")"),33.81)</f>
        <v>33.81</v>
      </c>
      <c r="D243" s="26">
        <f ca="1">IFERROR(__xludf.DUMMYFUNCTION("GOOGLEFINANCE(""bom:""&amp;A243,""marketcap"")/10000000"),138.4974976)</f>
        <v>138.4974976</v>
      </c>
    </row>
    <row r="244" spans="1:4" ht="15.75" customHeight="1" x14ac:dyDescent="0.3">
      <c r="A244" s="23">
        <v>532376</v>
      </c>
      <c r="B244" s="24" t="s">
        <v>128</v>
      </c>
      <c r="C244" s="25">
        <f ca="1">IFERROR(__xludf.DUMMYFUNCTION("GOOGLEFINANCE(""bom:""&amp;A244,""price"")"),71.36)</f>
        <v>71.36</v>
      </c>
      <c r="D244" s="26">
        <f ca="1">IFERROR(__xludf.DUMMYFUNCTION("GOOGLEFINANCE(""bom:""&amp;A244,""marketcap"")/10000000"),132.292307)</f>
        <v>132.29230699999999</v>
      </c>
    </row>
    <row r="245" spans="1:4" ht="15.75" customHeight="1" x14ac:dyDescent="0.3">
      <c r="A245" s="23">
        <v>532334</v>
      </c>
      <c r="B245" s="24" t="s">
        <v>129</v>
      </c>
      <c r="C245" s="25">
        <f ca="1">IFERROR(__xludf.DUMMYFUNCTION("GOOGLEFINANCE(""bom:""&amp;A245,""price"")"),63.5)</f>
        <v>63.5</v>
      </c>
      <c r="D245" s="26">
        <f ca="1">IFERROR(__xludf.DUMMYFUNCTION("GOOGLEFINANCE(""bom:""&amp;A245,""marketcap"")/10000000"),123.5706825)</f>
        <v>123.5706825</v>
      </c>
    </row>
    <row r="246" spans="1:4" ht="15.75" customHeight="1" x14ac:dyDescent="0.3">
      <c r="A246" s="23">
        <v>533012</v>
      </c>
      <c r="B246" s="24" t="s">
        <v>130</v>
      </c>
      <c r="C246" s="25">
        <f ca="1">IFERROR(__xludf.DUMMYFUNCTION("GOOGLEFINANCE(""bom:""&amp;A246,""price"")"),8.84)</f>
        <v>8.84</v>
      </c>
      <c r="D246" s="26">
        <f ca="1">IFERROR(__xludf.DUMMYFUNCTION("GOOGLEFINANCE(""bom:""&amp;A246,""marketcap"")/10000000"),116.7752528)</f>
        <v>116.7752528</v>
      </c>
    </row>
    <row r="247" spans="1:4" ht="15.75" customHeight="1" x14ac:dyDescent="0.3">
      <c r="A247" s="23">
        <v>543911</v>
      </c>
      <c r="B247" s="24" t="s">
        <v>131</v>
      </c>
      <c r="C247" s="25">
        <f ca="1">IFERROR(__xludf.DUMMYFUNCTION("GOOGLEFINANCE(""bom:""&amp;A247,""price"")"),15.61)</f>
        <v>15.61</v>
      </c>
      <c r="D247" s="26">
        <f ca="1">IFERROR(__xludf.DUMMYFUNCTION("GOOGLEFINANCE(""bom:""&amp;A247,""marketcap"")/10000000"),115.0826307)</f>
        <v>115.0826307</v>
      </c>
    </row>
    <row r="248" spans="1:4" ht="15.75" customHeight="1" x14ac:dyDescent="0.3">
      <c r="A248" s="23">
        <v>523007</v>
      </c>
      <c r="B248" s="24" t="s">
        <v>132</v>
      </c>
      <c r="C248" s="25">
        <f ca="1">IFERROR(__xludf.DUMMYFUNCTION("GOOGLEFINANCE(""bom:""&amp;A248,""price"")"),153.75)</f>
        <v>153.75</v>
      </c>
      <c r="D248" s="26">
        <f ca="1">IFERROR(__xludf.DUMMYFUNCTION("GOOGLEFINANCE(""bom:""&amp;A248,""marketcap"")/10000000"),113.5265707)</f>
        <v>113.52657069999999</v>
      </c>
    </row>
    <row r="249" spans="1:4" ht="15.75" customHeight="1" x14ac:dyDescent="0.3">
      <c r="A249" s="23">
        <v>512479</v>
      </c>
      <c r="B249" s="24" t="s">
        <v>133</v>
      </c>
      <c r="C249" s="25">
        <f ca="1">IFERROR(__xludf.DUMMYFUNCTION("GOOGLEFINANCE(""bom:""&amp;A249,""price"")"),750)</f>
        <v>750</v>
      </c>
      <c r="D249" s="26">
        <f ca="1">IFERROR(__xludf.DUMMYFUNCTION("GOOGLEFINANCE(""bom:""&amp;A249,""marketcap"")/10000000"),112.5)</f>
        <v>112.5</v>
      </c>
    </row>
    <row r="250" spans="1:4" ht="15.75" customHeight="1" x14ac:dyDescent="0.3">
      <c r="A250" s="23">
        <v>531802</v>
      </c>
      <c r="B250" s="24" t="s">
        <v>134</v>
      </c>
      <c r="C250" s="25">
        <f ca="1">IFERROR(__xludf.DUMMYFUNCTION("GOOGLEFINANCE(""bom:""&amp;A250,""price"")"),30.03)</f>
        <v>30.03</v>
      </c>
      <c r="D250" s="26">
        <f ca="1">IFERROR(__xludf.DUMMYFUNCTION("GOOGLEFINANCE(""bom:""&amp;A250,""marketcap"")/10000000"),108.490945)</f>
        <v>108.490945</v>
      </c>
    </row>
    <row r="251" spans="1:4" ht="15.75" customHeight="1" x14ac:dyDescent="0.3">
      <c r="A251" s="23">
        <v>511411</v>
      </c>
      <c r="B251" s="24" t="s">
        <v>135</v>
      </c>
      <c r="C251" s="25">
        <f ca="1">IFERROR(__xludf.DUMMYFUNCTION("GOOGLEFINANCE(""bom:""&amp;A251,""price"")"),46.8)</f>
        <v>46.8</v>
      </c>
      <c r="D251" s="26">
        <f ca="1">IFERROR(__xludf.DUMMYFUNCTION("GOOGLEFINANCE(""bom:""&amp;A251,""marketcap"")/10000000"),103.8959983)</f>
        <v>103.8959983</v>
      </c>
    </row>
    <row r="252" spans="1:4" ht="15.75" customHeight="1" x14ac:dyDescent="0.3">
      <c r="A252" s="23">
        <v>503127</v>
      </c>
      <c r="B252" s="24" t="s">
        <v>136</v>
      </c>
      <c r="C252" s="25">
        <f ca="1">IFERROR(__xludf.DUMMYFUNCTION("GOOGLEFINANCE(""bom:""&amp;A252,""price"")"),3992.7)</f>
        <v>3992.7</v>
      </c>
      <c r="D252" s="26">
        <f ca="1">IFERROR(__xludf.DUMMYFUNCTION("GOOGLEFINANCE(""bom:""&amp;A252,""marketcap"")/10000000"),99.8175)</f>
        <v>99.817499999999995</v>
      </c>
    </row>
    <row r="253" spans="1:4" ht="15.75" customHeight="1" x14ac:dyDescent="0.3">
      <c r="A253" s="23">
        <v>531080</v>
      </c>
      <c r="B253" s="24" t="s">
        <v>137</v>
      </c>
      <c r="C253" s="25">
        <f ca="1">IFERROR(__xludf.DUMMYFUNCTION("GOOGLEFINANCE(""bom:""&amp;A253,""price"")"),35.45)</f>
        <v>35.450000000000003</v>
      </c>
      <c r="D253" s="26">
        <f ca="1">IFERROR(__xludf.DUMMYFUNCTION("GOOGLEFINANCE(""bom:""&amp;A253,""marketcap"")/10000000"),99.2600021)</f>
        <v>99.260002099999994</v>
      </c>
    </row>
    <row r="254" spans="1:4" ht="15.75" customHeight="1" x14ac:dyDescent="0.3">
      <c r="A254" s="23">
        <v>531381</v>
      </c>
      <c r="B254" s="24" t="s">
        <v>138</v>
      </c>
      <c r="C254" s="25">
        <f ca="1">IFERROR(__xludf.DUMMYFUNCTION("GOOGLEFINANCE(""bom:""&amp;A254,""price"")"),114.55)</f>
        <v>114.55</v>
      </c>
      <c r="D254" s="26">
        <f ca="1">IFERROR(__xludf.DUMMYFUNCTION("GOOGLEFINANCE(""bom:""&amp;A254,""marketcap"")/10000000"),98.5130026)</f>
        <v>98.513002599999993</v>
      </c>
    </row>
    <row r="255" spans="1:4" ht="15.75" customHeight="1" x14ac:dyDescent="0.3">
      <c r="A255" s="23">
        <v>532159</v>
      </c>
      <c r="B255" s="24" t="s">
        <v>139</v>
      </c>
      <c r="C255" s="25">
        <f ca="1">IFERROR(__xludf.DUMMYFUNCTION("GOOGLEFINANCE(""bom:""&amp;A255,""price"")"),13.93)</f>
        <v>13.93</v>
      </c>
      <c r="D255" s="26">
        <f ca="1">IFERROR(__xludf.DUMMYFUNCTION("GOOGLEFINANCE(""bom:""&amp;A255,""marketcap"")/10000000"),97.27701)</f>
        <v>97.277010000000004</v>
      </c>
    </row>
    <row r="256" spans="1:4" ht="15.75" customHeight="1" x14ac:dyDescent="0.3">
      <c r="A256" s="23">
        <v>534338</v>
      </c>
      <c r="B256" s="24" t="s">
        <v>140</v>
      </c>
      <c r="C256" s="25">
        <f ca="1">IFERROR(__xludf.DUMMYFUNCTION("GOOGLEFINANCE(""bom:""&amp;A256,""price"")"),60)</f>
        <v>60</v>
      </c>
      <c r="D256" s="26">
        <f ca="1">IFERROR(__xludf.DUMMYFUNCTION("GOOGLEFINANCE(""bom:""&amp;A256,""marketcap"")/10000000"),93.65532)</f>
        <v>93.655320000000003</v>
      </c>
    </row>
    <row r="257" spans="1:4" ht="15.75" customHeight="1" x14ac:dyDescent="0.3">
      <c r="A257" s="23">
        <v>507828</v>
      </c>
      <c r="B257" s="24" t="s">
        <v>141</v>
      </c>
      <c r="C257" s="25">
        <f ca="1">IFERROR(__xludf.DUMMYFUNCTION("GOOGLEFINANCE(""bom:""&amp;A257,""price"")"),12.68)</f>
        <v>12.68</v>
      </c>
      <c r="D257" s="26">
        <f ca="1">IFERROR(__xludf.DUMMYFUNCTION("GOOGLEFINANCE(""bom:""&amp;A257,""marketcap"")/10000000"),88.2982218)</f>
        <v>88.298221799999993</v>
      </c>
    </row>
    <row r="258" spans="1:4" ht="15.75" customHeight="1" x14ac:dyDescent="0.3">
      <c r="A258" s="23">
        <v>532123</v>
      </c>
      <c r="B258" s="24" t="s">
        <v>142</v>
      </c>
      <c r="C258" s="25">
        <f ca="1">IFERROR(__xludf.DUMMYFUNCTION("GOOGLEFINANCE(""bom:""&amp;A258,""price"")"),10.39)</f>
        <v>10.39</v>
      </c>
      <c r="D258" s="26">
        <f ca="1">IFERROR(__xludf.DUMMYFUNCTION("GOOGLEFINANCE(""bom:""&amp;A258,""marketcap"")/10000000"),85.8388995)</f>
        <v>85.838899499999997</v>
      </c>
    </row>
    <row r="259" spans="1:4" ht="15.75" customHeight="1" x14ac:dyDescent="0.3">
      <c r="A259" s="23">
        <v>504392</v>
      </c>
      <c r="B259" s="24" t="s">
        <v>143</v>
      </c>
      <c r="C259" s="25">
        <f ca="1">IFERROR(__xludf.DUMMYFUNCTION("GOOGLEFINANCE(""bom:""&amp;A259,""price"")"),79)</f>
        <v>79</v>
      </c>
      <c r="D259" s="26">
        <f ca="1">IFERROR(__xludf.DUMMYFUNCTION("GOOGLEFINANCE(""bom:""&amp;A259,""marketcap"")/10000000"),85.32)</f>
        <v>85.32</v>
      </c>
    </row>
    <row r="260" spans="1:4" ht="15.75" customHeight="1" x14ac:dyDescent="0.3">
      <c r="A260" s="23">
        <v>532005</v>
      </c>
      <c r="B260" s="24" t="s">
        <v>144</v>
      </c>
      <c r="C260" s="25">
        <f ca="1">IFERROR(__xludf.DUMMYFUNCTION("GOOGLEFINANCE(""bom:""&amp;A260,""price"")"),76.85)</f>
        <v>76.849999999999994</v>
      </c>
      <c r="D260" s="26">
        <f ca="1">IFERROR(__xludf.DUMMYFUNCTION("GOOGLEFINANCE(""bom:""&amp;A260,""marketcap"")/10000000"),85.2148134)</f>
        <v>85.214813399999997</v>
      </c>
    </row>
    <row r="261" spans="1:4" ht="15.75" customHeight="1" x14ac:dyDescent="0.3">
      <c r="A261" s="23">
        <v>542146</v>
      </c>
      <c r="B261" s="24" t="s">
        <v>145</v>
      </c>
      <c r="C261" s="25">
        <f ca="1">IFERROR(__xludf.DUMMYFUNCTION("GOOGLEFINANCE(""bom:""&amp;A261,""price"")"),80)</f>
        <v>80</v>
      </c>
      <c r="D261" s="26">
        <f ca="1">IFERROR(__xludf.DUMMYFUNCTION("GOOGLEFINANCE(""bom:""&amp;A261,""marketcap"")/10000000"),84)</f>
        <v>84</v>
      </c>
    </row>
    <row r="262" spans="1:4" ht="15.75" customHeight="1" x14ac:dyDescent="0.3">
      <c r="A262" s="23">
        <v>500151</v>
      </c>
      <c r="B262" s="24" t="s">
        <v>146</v>
      </c>
      <c r="C262" s="25">
        <f ca="1">IFERROR(__xludf.DUMMYFUNCTION("GOOGLEFINANCE(""bom:""&amp;A262,""price"")"),42)</f>
        <v>42</v>
      </c>
      <c r="D262" s="26">
        <f ca="1">IFERROR(__xludf.DUMMYFUNCTION("GOOGLEFINANCE(""bom:""&amp;A262,""marketcap"")/10000000"),72.27612)</f>
        <v>72.276120000000006</v>
      </c>
    </row>
    <row r="263" spans="1:4" ht="15.75" customHeight="1" x14ac:dyDescent="0.3">
      <c r="A263" s="23">
        <v>542046</v>
      </c>
      <c r="B263" s="24" t="s">
        <v>147</v>
      </c>
      <c r="C263" s="25">
        <f ca="1">IFERROR(__xludf.DUMMYFUNCTION("GOOGLEFINANCE(""bom:""&amp;A263,""price"")"),72)</f>
        <v>72</v>
      </c>
      <c r="D263" s="26">
        <f ca="1">IFERROR(__xludf.DUMMYFUNCTION("GOOGLEFINANCE(""bom:""&amp;A263,""marketcap"")/10000000"),72.184608)</f>
        <v>72.184607999999997</v>
      </c>
    </row>
    <row r="264" spans="1:4" ht="15.75" customHeight="1" x14ac:dyDescent="0.3">
      <c r="A264" s="23">
        <v>531694</v>
      </c>
      <c r="B264" s="24" t="s">
        <v>148</v>
      </c>
      <c r="C264" s="25">
        <f ca="1">IFERROR(__xludf.DUMMYFUNCTION("GOOGLEFINANCE(""bom:""&amp;A264,""price"")"),13.8)</f>
        <v>13.8</v>
      </c>
      <c r="D264" s="26">
        <f ca="1">IFERROR(__xludf.DUMMYFUNCTION("GOOGLEFINANCE(""bom:""&amp;A264,""marketcap"")/10000000"),68.4726891)</f>
        <v>68.472689099999997</v>
      </c>
    </row>
    <row r="265" spans="1:4" ht="15.75" customHeight="1" x14ac:dyDescent="0.3">
      <c r="A265" s="23">
        <v>523628</v>
      </c>
      <c r="B265" s="24" t="s">
        <v>149</v>
      </c>
      <c r="C265" s="25">
        <f ca="1">IFERROR(__xludf.DUMMYFUNCTION("GOOGLEFINANCE(""bom:""&amp;A265,""price"")"),93)</f>
        <v>93</v>
      </c>
      <c r="D265" s="26">
        <f ca="1">IFERROR(__xludf.DUMMYFUNCTION("GOOGLEFINANCE(""bom:""&amp;A265,""marketcap"")/10000000"),65.7648748)</f>
        <v>65.764874800000001</v>
      </c>
    </row>
    <row r="266" spans="1:4" ht="15.75" customHeight="1" x14ac:dyDescent="0.3">
      <c r="A266" s="23">
        <v>533078</v>
      </c>
      <c r="B266" s="24" t="s">
        <v>150</v>
      </c>
      <c r="C266" s="25">
        <f ca="1">IFERROR(__xludf.DUMMYFUNCTION("GOOGLEFINANCE(""bom:""&amp;A266,""price"")"),45.9)</f>
        <v>45.9</v>
      </c>
      <c r="D266" s="26">
        <f ca="1">IFERROR(__xludf.DUMMYFUNCTION("GOOGLEFINANCE(""bom:""&amp;A266,""marketcap"")/10000000"),57.4136038)</f>
        <v>57.413603799999997</v>
      </c>
    </row>
    <row r="267" spans="1:4" ht="15.75" customHeight="1" x14ac:dyDescent="0.3">
      <c r="A267" s="23">
        <v>505650</v>
      </c>
      <c r="B267" s="24" t="s">
        <v>151</v>
      </c>
      <c r="C267" s="25">
        <f ca="1">IFERROR(__xludf.DUMMYFUNCTION("GOOGLEFINANCE(""bom:""&amp;A267,""price"")"),13.74)</f>
        <v>13.74</v>
      </c>
      <c r="D267" s="26">
        <f ca="1">IFERROR(__xludf.DUMMYFUNCTION("GOOGLEFINANCE(""bom:""&amp;A267,""marketcap"")/10000000"),55.2681185)</f>
        <v>55.2681185</v>
      </c>
    </row>
    <row r="268" spans="1:4" ht="15.75" customHeight="1" x14ac:dyDescent="0.3">
      <c r="A268" s="23">
        <v>530695</v>
      </c>
      <c r="B268" s="24" t="s">
        <v>152</v>
      </c>
      <c r="C268" s="25">
        <f ca="1">IFERROR(__xludf.DUMMYFUNCTION("GOOGLEFINANCE(""bom:""&amp;A268,""price"")"),31.15)</f>
        <v>31.15</v>
      </c>
      <c r="D268" s="26">
        <f ca="1">IFERROR(__xludf.DUMMYFUNCTION("GOOGLEFINANCE(""bom:""&amp;A268,""marketcap"")/10000000"),52.8649135)</f>
        <v>52.8649135</v>
      </c>
    </row>
    <row r="269" spans="1:4" ht="15.75" customHeight="1" x14ac:dyDescent="0.3">
      <c r="A269" s="23">
        <v>502901</v>
      </c>
      <c r="B269" s="24" t="s">
        <v>153</v>
      </c>
      <c r="C269" s="25">
        <f ca="1">IFERROR(__xludf.DUMMYFUNCTION("GOOGLEFINANCE(""bom:""&amp;A269,""price"")"),6785)</f>
        <v>6785</v>
      </c>
      <c r="D269" s="26">
        <f ca="1">IFERROR(__xludf.DUMMYFUNCTION("GOOGLEFINANCE(""bom:""&amp;A269,""marketcap"")/10000000"),47.4034025)</f>
        <v>47.403402499999999</v>
      </c>
    </row>
    <row r="270" spans="1:4" ht="15.75" customHeight="1" x14ac:dyDescent="0.3">
      <c r="A270" s="23">
        <v>533202</v>
      </c>
      <c r="B270" s="24" t="s">
        <v>154</v>
      </c>
      <c r="C270" s="25">
        <f ca="1">IFERROR(__xludf.DUMMYFUNCTION("GOOGLEFINANCE(""bom:""&amp;A270,""price"")"),2.95)</f>
        <v>2.95</v>
      </c>
      <c r="D270" s="26">
        <f ca="1">IFERROR(__xludf.DUMMYFUNCTION("GOOGLEFINANCE(""bom:""&amp;A270,""marketcap"")/10000000"),44.47879)</f>
        <v>44.478789999999996</v>
      </c>
    </row>
    <row r="271" spans="1:4" ht="15.75" customHeight="1" x14ac:dyDescent="0.3">
      <c r="A271" s="23">
        <v>531814</v>
      </c>
      <c r="B271" s="24" t="s">
        <v>155</v>
      </c>
      <c r="C271" s="25">
        <f ca="1">IFERROR(__xludf.DUMMYFUNCTION("GOOGLEFINANCE(""bom:""&amp;A271,""price"")"),13.12)</f>
        <v>13.12</v>
      </c>
      <c r="D271" s="26">
        <f ca="1">IFERROR(__xludf.DUMMYFUNCTION("GOOGLEFINANCE(""bom:""&amp;A271,""marketcap"")/10000000"),43.2934018)</f>
        <v>43.293401799999998</v>
      </c>
    </row>
    <row r="272" spans="1:4" ht="15.75" customHeight="1" x14ac:dyDescent="0.3">
      <c r="A272" s="23">
        <v>503776</v>
      </c>
      <c r="B272" s="24" t="s">
        <v>156</v>
      </c>
      <c r="C272" s="25">
        <f ca="1">IFERROR(__xludf.DUMMYFUNCTION("GOOGLEFINANCE(""bom:""&amp;A272,""price"")"),36.9)</f>
        <v>36.9</v>
      </c>
      <c r="D272" s="26">
        <f ca="1">IFERROR(__xludf.DUMMYFUNCTION("GOOGLEFINANCE(""bom:""&amp;A272,""marketcap"")/10000000"),42.7179509)</f>
        <v>42.717950899999998</v>
      </c>
    </row>
    <row r="273" spans="1:4" ht="15.75" customHeight="1" x14ac:dyDescent="0.3">
      <c r="A273" s="23">
        <v>503349</v>
      </c>
      <c r="B273" s="24" t="s">
        <v>157</v>
      </c>
      <c r="C273" s="25">
        <f ca="1">IFERROR(__xludf.DUMMYFUNCTION("GOOGLEFINANCE(""bom:""&amp;A273,""price"")"),4175)</f>
        <v>4175</v>
      </c>
      <c r="D273" s="26">
        <f ca="1">IFERROR(__xludf.DUMMYFUNCTION("GOOGLEFINANCE(""bom:""&amp;A273,""marketcap"")/10000000"),41.1488)</f>
        <v>41.148800000000001</v>
      </c>
    </row>
    <row r="274" spans="1:4" ht="15.75" customHeight="1" x14ac:dyDescent="0.3">
      <c r="A274" s="23">
        <v>526576</v>
      </c>
      <c r="B274" s="24" t="s">
        <v>158</v>
      </c>
      <c r="C274" s="25">
        <f ca="1">IFERROR(__xludf.DUMMYFUNCTION("GOOGLEFINANCE(""bom:""&amp;A274,""price"")"),28.24)</f>
        <v>28.24</v>
      </c>
      <c r="D274" s="26">
        <f ca="1">IFERROR(__xludf.DUMMYFUNCTION("GOOGLEFINANCE(""bom:""&amp;A274,""marketcap"")/10000000"),41.0439894)</f>
        <v>41.043989400000001</v>
      </c>
    </row>
    <row r="275" spans="1:4" ht="15.75" customHeight="1" x14ac:dyDescent="0.3">
      <c r="A275" s="23">
        <v>512048</v>
      </c>
      <c r="B275" s="24" t="s">
        <v>159</v>
      </c>
      <c r="C275" s="25">
        <f ca="1">IFERROR(__xludf.DUMMYFUNCTION("GOOGLEFINANCE(""bom:""&amp;A275,""price"")"),4.22)</f>
        <v>4.22</v>
      </c>
      <c r="D275" s="26">
        <f ca="1">IFERROR(__xludf.DUMMYFUNCTION("GOOGLEFINANCE(""bom:""&amp;A275,""marketcap"")/10000000"),39.549838)</f>
        <v>39.549838000000001</v>
      </c>
    </row>
    <row r="276" spans="1:4" ht="15.75" customHeight="1" x14ac:dyDescent="0.3">
      <c r="A276" s="23">
        <v>503229</v>
      </c>
      <c r="B276" s="24" t="s">
        <v>160</v>
      </c>
      <c r="C276" s="25">
        <f ca="1">IFERROR(__xludf.DUMMYFUNCTION("GOOGLEFINANCE(""bom:""&amp;A276,""price"")"),128.1)</f>
        <v>128.1</v>
      </c>
      <c r="D276" s="26">
        <f ca="1">IFERROR(__xludf.DUMMYFUNCTION("GOOGLEFINANCE(""bom:""&amp;A276,""marketcap"")/10000000"),38.3196052)</f>
        <v>38.319605199999998</v>
      </c>
    </row>
    <row r="277" spans="1:4" ht="15.75" customHeight="1" x14ac:dyDescent="0.3">
      <c r="A277" s="23">
        <v>531624</v>
      </c>
      <c r="B277" s="24" t="s">
        <v>161</v>
      </c>
      <c r="C277" s="25">
        <f ca="1">IFERROR(__xludf.DUMMYFUNCTION("GOOGLEFINANCE(""bom:""&amp;A277,""price"")"),4.96)</f>
        <v>4.96</v>
      </c>
      <c r="D277" s="26">
        <f ca="1">IFERROR(__xludf.DUMMYFUNCTION("GOOGLEFINANCE(""bom:""&amp;A277,""marketcap"")/10000000"),38.2540548)</f>
        <v>38.254054799999999</v>
      </c>
    </row>
    <row r="278" spans="1:4" ht="15.75" customHeight="1" x14ac:dyDescent="0.3">
      <c r="A278" s="23">
        <v>511714</v>
      </c>
      <c r="B278" s="24" t="s">
        <v>162</v>
      </c>
      <c r="C278" s="25">
        <f ca="1">IFERROR(__xludf.DUMMYFUNCTION("GOOGLEFINANCE(""bom:""&amp;A278,""price"")"),34.98)</f>
        <v>34.979999999999997</v>
      </c>
      <c r="D278" s="26">
        <f ca="1">IFERROR(__xludf.DUMMYFUNCTION("GOOGLEFINANCE(""bom:""&amp;A278,""marketcap"")/10000000"),37.9113235)</f>
        <v>37.911323500000002</v>
      </c>
    </row>
    <row r="279" spans="1:4" ht="15.75" customHeight="1" x14ac:dyDescent="0.3">
      <c r="A279" s="23">
        <v>539189</v>
      </c>
      <c r="B279" s="24" t="s">
        <v>163</v>
      </c>
      <c r="C279" s="25">
        <f ca="1">IFERROR(__xludf.DUMMYFUNCTION("GOOGLEFINANCE(""bom:""&amp;A279,""price"")"),32.68)</f>
        <v>32.68</v>
      </c>
      <c r="D279" s="26">
        <f ca="1">IFERROR(__xludf.DUMMYFUNCTION("GOOGLEFINANCE(""bom:""&amp;A279,""marketcap"")/10000000"),35.9480003)</f>
        <v>35.948000299999997</v>
      </c>
    </row>
    <row r="280" spans="1:4" ht="15.75" customHeight="1" x14ac:dyDescent="0.3">
      <c r="A280" s="23">
        <v>531416</v>
      </c>
      <c r="B280" s="24" t="s">
        <v>164</v>
      </c>
      <c r="C280" s="25">
        <f ca="1">IFERROR(__xludf.DUMMYFUNCTION("GOOGLEFINANCE(""bom:""&amp;A280,""price"")"),48.49)</f>
        <v>48.49</v>
      </c>
      <c r="D280" s="26">
        <f ca="1">IFERROR(__xludf.DUMMYFUNCTION("GOOGLEFINANCE(""bom:""&amp;A280,""marketcap"")/10000000"),34.4589347)</f>
        <v>34.4589347</v>
      </c>
    </row>
    <row r="281" spans="1:4" ht="15.75" customHeight="1" x14ac:dyDescent="0.3">
      <c r="A281" s="23">
        <v>526727</v>
      </c>
      <c r="B281" s="24" t="s">
        <v>165</v>
      </c>
      <c r="C281" s="25">
        <f ca="1">IFERROR(__xludf.DUMMYFUNCTION("GOOGLEFINANCE(""bom:""&amp;A281,""price"")"),22.5)</f>
        <v>22.5</v>
      </c>
      <c r="D281" s="26">
        <f ca="1">IFERROR(__xludf.DUMMYFUNCTION("GOOGLEFINANCE(""bom:""&amp;A281,""marketcap"")/10000000"),31.2799275)</f>
        <v>31.279927499999999</v>
      </c>
    </row>
    <row r="282" spans="1:4" ht="15.75" customHeight="1" x14ac:dyDescent="0.3">
      <c r="A282" s="23">
        <v>538576</v>
      </c>
      <c r="B282" s="24" t="s">
        <v>166</v>
      </c>
      <c r="C282" s="25">
        <f ca="1">IFERROR(__xludf.DUMMYFUNCTION("GOOGLEFINANCE(""bom:""&amp;A282,""price"")"),114)</f>
        <v>114</v>
      </c>
      <c r="D282" s="26">
        <f ca="1">IFERROR(__xludf.DUMMYFUNCTION("GOOGLEFINANCE(""bom:""&amp;A282,""marketcap"")/10000000"),29.60124)</f>
        <v>29.601240000000001</v>
      </c>
    </row>
    <row r="283" spans="1:4" ht="15.75" customHeight="1" x14ac:dyDescent="0.3">
      <c r="A283" s="23">
        <v>513173</v>
      </c>
      <c r="B283" s="24" t="s">
        <v>167</v>
      </c>
      <c r="C283" s="25">
        <f ca="1">IFERROR(__xludf.DUMMYFUNCTION("GOOGLEFINANCE(""bom:""&amp;A283,""price"")"),33.2)</f>
        <v>33.200000000000003</v>
      </c>
      <c r="D283" s="26">
        <f ca="1">IFERROR(__xludf.DUMMYFUNCTION("GOOGLEFINANCE(""bom:""&amp;A283,""marketcap"")/10000000"),28.6947639)</f>
        <v>28.694763900000002</v>
      </c>
    </row>
    <row r="284" spans="1:4" ht="15.75" customHeight="1" x14ac:dyDescent="0.3">
      <c r="A284" s="23">
        <v>532723</v>
      </c>
      <c r="B284" s="24" t="s">
        <v>168</v>
      </c>
      <c r="C284" s="25">
        <f ca="1">IFERROR(__xludf.DUMMYFUNCTION("GOOGLEFINANCE(""bom:""&amp;A284,""price"")"),39.9)</f>
        <v>39.9</v>
      </c>
      <c r="D284" s="26">
        <f ca="1">IFERROR(__xludf.DUMMYFUNCTION("GOOGLEFINANCE(""bom:""&amp;A284,""marketcap"")/10000000"),27.59683)</f>
        <v>27.596830000000001</v>
      </c>
    </row>
    <row r="285" spans="1:4" ht="15.75" customHeight="1" x14ac:dyDescent="0.3">
      <c r="A285" s="23">
        <v>531909</v>
      </c>
      <c r="B285" s="24" t="s">
        <v>169</v>
      </c>
      <c r="C285" s="25">
        <f ca="1">IFERROR(__xludf.DUMMYFUNCTION("GOOGLEFINANCE(""bom:""&amp;A285,""price"")"),4.01)</f>
        <v>4.01</v>
      </c>
      <c r="D285" s="26">
        <f ca="1">IFERROR(__xludf.DUMMYFUNCTION("GOOGLEFINANCE(""bom:""&amp;A285,""marketcap"")/10000000"),27.4877495)</f>
        <v>27.4877495</v>
      </c>
    </row>
    <row r="286" spans="1:4" ht="15.75" customHeight="1" x14ac:dyDescent="0.3">
      <c r="A286" s="23">
        <v>531968</v>
      </c>
      <c r="B286" s="24" t="s">
        <v>170</v>
      </c>
      <c r="C286" s="25">
        <f ca="1">IFERROR(__xludf.DUMMYFUNCTION("GOOGLEFINANCE(""bom:""&amp;A286,""price"")"),54.11)</f>
        <v>54.11</v>
      </c>
      <c r="D286" s="26">
        <f ca="1">IFERROR(__xludf.DUMMYFUNCTION("GOOGLEFINANCE(""bom:""&amp;A286,""marketcap"")/10000000"),27.0057602)</f>
        <v>27.005760200000001</v>
      </c>
    </row>
    <row r="287" spans="1:4" ht="15.75" customHeight="1" x14ac:dyDescent="0.3">
      <c r="A287" s="23">
        <v>531822</v>
      </c>
      <c r="B287" s="24" t="s">
        <v>171</v>
      </c>
      <c r="C287" s="25">
        <f ca="1">IFERROR(__xludf.DUMMYFUNCTION("GOOGLEFINANCE(""bom:""&amp;A287,""price"")"),74.64)</f>
        <v>74.64</v>
      </c>
      <c r="D287" s="26">
        <f ca="1">IFERROR(__xludf.DUMMYFUNCTION("GOOGLEFINANCE(""bom:""&amp;A287,""marketcap"")/10000000"),24.2423179)</f>
        <v>24.2423179</v>
      </c>
    </row>
    <row r="288" spans="1:4" ht="15.75" customHeight="1" x14ac:dyDescent="0.3">
      <c r="A288" s="23">
        <v>523566</v>
      </c>
      <c r="B288" s="24" t="s">
        <v>172</v>
      </c>
      <c r="C288" s="25">
        <f ca="1">IFERROR(__xludf.DUMMYFUNCTION("GOOGLEFINANCE(""bom:""&amp;A288,""price"")"),46)</f>
        <v>46</v>
      </c>
      <c r="D288" s="26">
        <f ca="1">IFERROR(__xludf.DUMMYFUNCTION("GOOGLEFINANCE(""bom:""&amp;A288,""marketcap"")/10000000"),23.7077468)</f>
        <v>23.707746799999999</v>
      </c>
    </row>
    <row r="289" spans="1:4" ht="15.75" customHeight="1" x14ac:dyDescent="0.3">
      <c r="A289" s="23">
        <v>521149</v>
      </c>
      <c r="B289" s="24" t="s">
        <v>173</v>
      </c>
      <c r="C289" s="25">
        <f ca="1">IFERROR(__xludf.DUMMYFUNCTION("GOOGLEFINANCE(""bom:""&amp;A289,""price"")"),8.29)</f>
        <v>8.2899999999999991</v>
      </c>
      <c r="D289" s="26">
        <f ca="1">IFERROR(__xludf.DUMMYFUNCTION("GOOGLEFINANCE(""bom:""&amp;A289,""marketcap"")/10000000"),22.087536)</f>
        <v>22.087536</v>
      </c>
    </row>
    <row r="290" spans="1:4" ht="15.75" customHeight="1" x14ac:dyDescent="0.3">
      <c r="A290" s="23">
        <v>530821</v>
      </c>
      <c r="B290" s="24" t="s">
        <v>174</v>
      </c>
      <c r="C290" s="25">
        <f ca="1">IFERROR(__xludf.DUMMYFUNCTION("GOOGLEFINANCE(""bom:""&amp;A290,""price"")"),16.8)</f>
        <v>16.8</v>
      </c>
      <c r="D290" s="26">
        <f ca="1">IFERROR(__xludf.DUMMYFUNCTION("GOOGLEFINANCE(""bom:""&amp;A290,""marketcap"")/10000000"),21.721139)</f>
        <v>21.721139000000001</v>
      </c>
    </row>
    <row r="291" spans="1:4" ht="15.75" customHeight="1" x14ac:dyDescent="0.3">
      <c r="A291" s="23">
        <v>531552</v>
      </c>
      <c r="B291" s="24" t="s">
        <v>175</v>
      </c>
      <c r="C291" s="25">
        <f ca="1">IFERROR(__xludf.DUMMYFUNCTION("GOOGLEFINANCE(""bom:""&amp;A291,""price"")"),18)</f>
        <v>18</v>
      </c>
      <c r="D291" s="26">
        <f ca="1">IFERROR(__xludf.DUMMYFUNCTION("GOOGLEFINANCE(""bom:""&amp;A291,""marketcap"")/10000000"),21.602106)</f>
        <v>21.602105999999999</v>
      </c>
    </row>
    <row r="292" spans="1:4" ht="15.75" customHeight="1" x14ac:dyDescent="0.3">
      <c r="A292" s="23">
        <v>511131</v>
      </c>
      <c r="B292" s="24" t="s">
        <v>176</v>
      </c>
      <c r="C292" s="25">
        <f ca="1">IFERROR(__xludf.DUMMYFUNCTION("GOOGLEFINANCE(""bom:""&amp;A292,""price"")"),15.23)</f>
        <v>15.23</v>
      </c>
      <c r="D292" s="26">
        <f ca="1">IFERROR(__xludf.DUMMYFUNCTION("GOOGLEFINANCE(""bom:""&amp;A292,""marketcap"")/10000000"),21.463882)</f>
        <v>21.463882000000002</v>
      </c>
    </row>
    <row r="293" spans="1:4" ht="15.75" customHeight="1" x14ac:dyDescent="0.3">
      <c r="A293" s="23">
        <v>502445</v>
      </c>
      <c r="B293" s="24" t="s">
        <v>177</v>
      </c>
      <c r="C293" s="25">
        <f ca="1">IFERROR(__xludf.DUMMYFUNCTION("GOOGLEFINANCE(""bom:""&amp;A293,""price"")"),27)</f>
        <v>27</v>
      </c>
      <c r="D293" s="26">
        <f ca="1">IFERROR(__xludf.DUMMYFUNCTION("GOOGLEFINANCE(""bom:""&amp;A293,""marketcap"")/10000000"),21.3089292)</f>
        <v>21.308929200000001</v>
      </c>
    </row>
    <row r="294" spans="1:4" ht="15.75" customHeight="1" x14ac:dyDescent="0.3">
      <c r="A294" s="23">
        <v>537707</v>
      </c>
      <c r="B294" s="24" t="s">
        <v>178</v>
      </c>
      <c r="C294" s="25">
        <f ca="1">IFERROR(__xludf.DUMMYFUNCTION("GOOGLEFINANCE(""bom:""&amp;A294,""price"")"),18.49)</f>
        <v>18.489999999999998</v>
      </c>
      <c r="D294" s="26">
        <f ca="1">IFERROR(__xludf.DUMMYFUNCTION("GOOGLEFINANCE(""bom:""&amp;A294,""marketcap"")/10000000"),19.1716336)</f>
        <v>19.1716336</v>
      </c>
    </row>
    <row r="295" spans="1:4" ht="15.75" customHeight="1" x14ac:dyDescent="0.3">
      <c r="A295" s="23">
        <v>543745</v>
      </c>
      <c r="B295" s="24" t="s">
        <v>179</v>
      </c>
      <c r="C295" s="25">
        <f ca="1">IFERROR(__xludf.DUMMYFUNCTION("GOOGLEFINANCE(""bom:""&amp;A295,""price"")"),8.42)</f>
        <v>8.42</v>
      </c>
      <c r="D295" s="26">
        <f ca="1">IFERROR(__xludf.DUMMYFUNCTION("GOOGLEFINANCE(""bom:""&amp;A295,""marketcap"")/10000000"),17.9763802)</f>
        <v>17.976380200000001</v>
      </c>
    </row>
    <row r="296" spans="1:4" ht="15.75" customHeight="1" x14ac:dyDescent="0.3">
      <c r="A296" s="23">
        <v>531328</v>
      </c>
      <c r="B296" s="24" t="s">
        <v>180</v>
      </c>
      <c r="C296" s="25">
        <f ca="1">IFERROR(__xludf.DUMMYFUNCTION("GOOGLEFINANCE(""bom:""&amp;A296,""price"")"),0.88)</f>
        <v>0.88</v>
      </c>
      <c r="D296" s="26">
        <f ca="1">IFERROR(__xludf.DUMMYFUNCTION("GOOGLEFINANCE(""bom:""&amp;A296,""marketcap"")/10000000"),13.7982327)</f>
        <v>13.7982327</v>
      </c>
    </row>
    <row r="297" spans="1:4" ht="15.75" customHeight="1" x14ac:dyDescent="0.3">
      <c r="A297" s="23">
        <v>508996</v>
      </c>
      <c r="B297" s="24" t="s">
        <v>181</v>
      </c>
      <c r="C297" s="25">
        <f ca="1">IFERROR(__xludf.DUMMYFUNCTION("GOOGLEFINANCE(""bom:""&amp;A297,""price"")"),0.67)</f>
        <v>0.67</v>
      </c>
      <c r="D297" s="26">
        <f ca="1">IFERROR(__xludf.DUMMYFUNCTION("GOOGLEFINANCE(""bom:""&amp;A297,""marketcap"")/10000000"),11.9499795)</f>
        <v>11.9499795</v>
      </c>
    </row>
    <row r="298" spans="1:4" ht="15.75" customHeight="1" x14ac:dyDescent="0.3">
      <c r="A298" s="23">
        <v>539099</v>
      </c>
      <c r="B298" s="24" t="s">
        <v>182</v>
      </c>
      <c r="C298" s="25">
        <f ca="1">IFERROR(__xludf.DUMMYFUNCTION("GOOGLEFINANCE(""bom:""&amp;A298,""price"")"),12.35)</f>
        <v>12.35</v>
      </c>
      <c r="D298" s="26">
        <f ca="1">IFERROR(__xludf.DUMMYFUNCTION("GOOGLEFINANCE(""bom:""&amp;A298,""marketcap"")/10000000"),9.2625)</f>
        <v>9.2624999999999993</v>
      </c>
    </row>
    <row r="299" spans="1:4" ht="15.75" customHeight="1" x14ac:dyDescent="0.3">
      <c r="A299" s="23">
        <v>500426</v>
      </c>
      <c r="B299" s="24" t="s">
        <v>183</v>
      </c>
      <c r="C299" s="25">
        <f ca="1">IFERROR(__xludf.DUMMYFUNCTION("GOOGLEFINANCE(""bom:""&amp;A299,""price"")"),2.39)</f>
        <v>2.39</v>
      </c>
      <c r="D299" s="26">
        <f ca="1">IFERROR(__xludf.DUMMYFUNCTION("GOOGLEFINANCE(""bom:""&amp;A299,""marketcap"")/10000000"),7.8762453)</f>
        <v>7.8762452999999999</v>
      </c>
    </row>
    <row r="300" spans="1:4" ht="15.75" customHeight="1" x14ac:dyDescent="0.3">
      <c r="A300" s="23">
        <v>514332</v>
      </c>
      <c r="B300" s="24" t="s">
        <v>184</v>
      </c>
      <c r="C300" s="25">
        <f ca="1">IFERROR(__xludf.DUMMYFUNCTION("GOOGLEFINANCE(""bom:""&amp;A300,""price"")"),14.59)</f>
        <v>14.59</v>
      </c>
      <c r="D300" s="26">
        <f ca="1">IFERROR(__xludf.DUMMYFUNCTION("GOOGLEFINANCE(""bom:""&amp;A300,""marketcap"")/10000000"),7.7426212)</f>
        <v>7.7426212000000003</v>
      </c>
    </row>
    <row r="301" spans="1:4" ht="15.75" customHeight="1" x14ac:dyDescent="0.3">
      <c r="A301" s="23">
        <v>539767</v>
      </c>
      <c r="B301" s="24" t="s">
        <v>185</v>
      </c>
      <c r="C301" s="25">
        <f ca="1">IFERROR(__xludf.DUMMYFUNCTION("GOOGLEFINANCE(""bom:""&amp;A301,""price"")"),17.08)</f>
        <v>17.079999999999998</v>
      </c>
      <c r="D301" s="26">
        <f ca="1">IFERROR(__xludf.DUMMYFUNCTION("GOOGLEFINANCE(""bom:""&amp;A301,""marketcap"")/10000000"),5.7175299)</f>
        <v>5.7175298999999997</v>
      </c>
    </row>
    <row r="302" spans="1:4" ht="15.75" customHeight="1" x14ac:dyDescent="0.3">
      <c r="A302" s="23">
        <v>524031</v>
      </c>
      <c r="B302" s="24" t="s">
        <v>186</v>
      </c>
      <c r="C302" s="25">
        <f ca="1">IFERROR(__xludf.DUMMYFUNCTION("GOOGLEFINANCE(""bom:""&amp;A302,""price"")"),9.98)</f>
        <v>9.98</v>
      </c>
      <c r="D302" s="26">
        <f ca="1">IFERROR(__xludf.DUMMYFUNCTION("GOOGLEFINANCE(""bom:""&amp;A302,""marketcap"")/10000000"),5.4895686)</f>
        <v>5.4895686000000001</v>
      </c>
    </row>
    <row r="303" spans="1:4" ht="15.75" customHeight="1" x14ac:dyDescent="0.3">
      <c r="A303" s="23">
        <v>531574</v>
      </c>
      <c r="B303" s="24" t="s">
        <v>187</v>
      </c>
      <c r="C303" s="25">
        <f ca="1">IFERROR(__xludf.DUMMYFUNCTION("GOOGLEFINANCE(""bom:""&amp;A303,""price"")"),3.5)</f>
        <v>3.5</v>
      </c>
      <c r="D303" s="26">
        <f ca="1">IFERROR(__xludf.DUMMYFUNCTION("GOOGLEFINANCE(""bom:""&amp;A303,""marketcap"")/10000000"),5.29529)</f>
        <v>5.2952899999999996</v>
      </c>
    </row>
    <row r="304" spans="1:4" ht="15.75" customHeight="1" x14ac:dyDescent="0.3">
      <c r="A304" s="23">
        <v>538794</v>
      </c>
      <c r="B304" s="24" t="s">
        <v>188</v>
      </c>
      <c r="C304" s="25">
        <f ca="1">IFERROR(__xludf.DUMMYFUNCTION("GOOGLEFINANCE(""bom:""&amp;A304,""price"")"),9.12)</f>
        <v>9.1199999999999992</v>
      </c>
      <c r="D304" s="26">
        <f ca="1">IFERROR(__xludf.DUMMYFUNCTION("GOOGLEFINANCE(""bom:""&amp;A304,""marketcap"")/10000000"),3.8231039)</f>
        <v>3.8231039</v>
      </c>
    </row>
    <row r="305" spans="1:42" ht="15.75" customHeight="1" x14ac:dyDescent="0.3">
      <c r="A305" s="23">
        <v>542677</v>
      </c>
      <c r="B305" s="24" t="s">
        <v>189</v>
      </c>
      <c r="C305" s="25">
        <f ca="1">IFERROR(__xludf.DUMMYFUNCTION("GOOGLEFINANCE(""bom:""&amp;A305,""price"")"),9.04)</f>
        <v>9.0399999999999991</v>
      </c>
      <c r="D305" s="26">
        <f ca="1">IFERROR(__xludf.DUMMYFUNCTION("GOOGLEFINANCE(""bom:""&amp;A305,""marketcap"")/10000000"),3.7534079)</f>
        <v>3.7534079</v>
      </c>
    </row>
    <row r="306" spans="1:42" ht="15.75" customHeight="1" x14ac:dyDescent="0.3">
      <c r="A306" s="23">
        <v>526823</v>
      </c>
      <c r="B306" s="24" t="s">
        <v>190</v>
      </c>
      <c r="C306" s="25">
        <f ca="1">IFERROR(__xludf.DUMMYFUNCTION("GOOGLEFINANCE(""bom:""&amp;A306,""price"")"),4.65)</f>
        <v>4.6500000000000004</v>
      </c>
      <c r="D306" s="26">
        <f ca="1">IFERROR(__xludf.DUMMYFUNCTION("GOOGLEFINANCE(""bom:""&amp;A306,""marketcap"")/10000000"),2.571869)</f>
        <v>2.571869</v>
      </c>
    </row>
    <row r="307" spans="1:42" ht="15.75" customHeight="1" x14ac:dyDescent="0.25"/>
    <row r="308" spans="1:42" ht="15.75" customHeight="1" x14ac:dyDescent="0.25"/>
    <row r="309" spans="1:42" ht="15.75" customHeight="1" x14ac:dyDescent="0.25">
      <c r="A309" s="33"/>
      <c r="B309" s="33" t="s">
        <v>4</v>
      </c>
      <c r="C309" s="33"/>
      <c r="D309" s="34">
        <f t="shared" ref="D309:L309" ca="1" si="18">SUM(D172:D306)</f>
        <v>725442.873058</v>
      </c>
      <c r="E309" s="33">
        <f t="shared" si="18"/>
        <v>173839</v>
      </c>
      <c r="F309" s="33">
        <f t="shared" si="18"/>
        <v>117214</v>
      </c>
      <c r="G309" s="33">
        <f t="shared" si="18"/>
        <v>267565</v>
      </c>
      <c r="H309" s="33">
        <f t="shared" si="18"/>
        <v>154398</v>
      </c>
      <c r="I309" s="33">
        <f t="shared" si="18"/>
        <v>3328</v>
      </c>
      <c r="J309" s="33">
        <f t="shared" si="18"/>
        <v>112945</v>
      </c>
      <c r="K309" s="33">
        <f t="shared" si="18"/>
        <v>54656</v>
      </c>
      <c r="L309" s="33">
        <f t="shared" si="18"/>
        <v>6031</v>
      </c>
      <c r="M309" s="33">
        <f>MEDIAN(M172:M183)</f>
        <v>7.5</v>
      </c>
      <c r="N309" s="33">
        <f t="shared" ref="N309:Y309" si="19">SUM(N172:N306)</f>
        <v>0</v>
      </c>
      <c r="O309" s="33">
        <f t="shared" ca="1" si="19"/>
        <v>276.07</v>
      </c>
      <c r="P309" s="35">
        <f t="shared" ca="1" si="19"/>
        <v>0.85289230801407601</v>
      </c>
      <c r="Q309" s="33">
        <f t="shared" si="19"/>
        <v>32526</v>
      </c>
      <c r="R309" s="33">
        <f t="shared" si="19"/>
        <v>43992</v>
      </c>
      <c r="S309" s="33">
        <f t="shared" si="19"/>
        <v>7882</v>
      </c>
      <c r="T309" s="33">
        <f t="shared" si="19"/>
        <v>37132</v>
      </c>
      <c r="U309" s="33">
        <f t="shared" si="19"/>
        <v>29280</v>
      </c>
      <c r="V309" s="33">
        <f t="shared" si="19"/>
        <v>8679</v>
      </c>
      <c r="W309" s="33">
        <f t="shared" si="19"/>
        <v>4619</v>
      </c>
      <c r="X309" s="33">
        <f t="shared" si="19"/>
        <v>3425</v>
      </c>
      <c r="Y309" s="33">
        <f t="shared" si="19"/>
        <v>38275</v>
      </c>
      <c r="Z309" s="28">
        <f>(T309/U309)-1</f>
        <v>0.2681693989071039</v>
      </c>
      <c r="AA309" s="28">
        <f>(V309/W309)-1</f>
        <v>0.87897813379519385</v>
      </c>
      <c r="AB309" s="28">
        <f>(R309/Q309)^(1/5)-1</f>
        <v>6.2254573980875083E-2</v>
      </c>
      <c r="AC309" s="20">
        <f>S309/R309</f>
        <v>0.17916893980723769</v>
      </c>
      <c r="AD309" s="28">
        <f>V309/T309</f>
        <v>0.23373370677582678</v>
      </c>
      <c r="AE309" s="26">
        <f>(R309-Y309+X309)/X309</f>
        <v>2.6691970802919709</v>
      </c>
      <c r="AF309" s="29">
        <f>E309/F309</f>
        <v>1.4830907570767997</v>
      </c>
      <c r="AG309" s="26">
        <f>(L309/R309)*365</f>
        <v>50.038984360792874</v>
      </c>
      <c r="AH309" s="29">
        <f>K309/(I309+J309)</f>
        <v>0.47006613745237502</v>
      </c>
      <c r="AI309" s="29">
        <f>H309/G309</f>
        <v>0.57704856763777024</v>
      </c>
      <c r="AJ309" s="28">
        <f>S309/J309</f>
        <v>6.978617911372792E-2</v>
      </c>
      <c r="AK309" s="29">
        <f>S309/I309</f>
        <v>2.3683894230769229</v>
      </c>
      <c r="AL309" s="28">
        <f>S309/G309</f>
        <v>2.9458262478276306E-2</v>
      </c>
      <c r="AM309" s="34">
        <f ca="1">MEDIAN(AM172:AM183)</f>
        <v>55.588900487125962</v>
      </c>
      <c r="AN309" s="28" t="e">
        <f ca="1">O309/C309</f>
        <v>#DIV/0!</v>
      </c>
      <c r="AO309" s="26">
        <f>(I309+J309)/(I309/M309)</f>
        <v>262.03350360576923</v>
      </c>
      <c r="AP309" s="33">
        <f ca="1">MEDIAN(AP172:AP183)</f>
        <v>4.6360420876936033</v>
      </c>
    </row>
    <row r="310" spans="1:42" ht="15.75" customHeight="1" x14ac:dyDescent="0.25">
      <c r="D310" s="36"/>
    </row>
    <row r="311" spans="1:42" ht="15.75" customHeight="1" x14ac:dyDescent="0.25"/>
    <row r="312" spans="1:42" ht="15.75" customHeight="1" x14ac:dyDescent="0.25"/>
    <row r="313" spans="1:42" ht="15.75" customHeight="1" x14ac:dyDescent="0.25"/>
    <row r="314" spans="1:42" ht="15.75" customHeight="1" x14ac:dyDescent="0.25"/>
    <row r="315" spans="1:42" ht="15.75" customHeight="1" x14ac:dyDescent="0.25"/>
    <row r="316" spans="1:42" ht="15.75" customHeight="1" x14ac:dyDescent="0.25"/>
    <row r="317" spans="1:42" ht="15.75" customHeight="1" x14ac:dyDescent="0.25"/>
    <row r="318" spans="1:42" ht="15.75" customHeight="1" x14ac:dyDescent="0.25"/>
    <row r="319" spans="1:42" ht="15.75" customHeight="1" x14ac:dyDescent="0.25"/>
    <row r="320" spans="1:42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J34:K46" xr:uid="{00000000-0009-0000-0000-000000000000}">
    <sortState xmlns:xlrd2="http://schemas.microsoft.com/office/spreadsheetml/2017/richdata2" ref="J34:K46">
      <sortCondition descending="1" ref="K34:K46"/>
    </sortState>
  </autoFilter>
  <mergeCells count="1">
    <mergeCell ref="B2:M4"/>
  </mergeCells>
  <conditionalFormatting sqref="C35:C54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75:C86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07:C118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39:C150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39:D150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35:G46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75:G86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07:G118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39:H150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35:K46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07:K118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139:L150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AX1000"/>
  <sheetViews>
    <sheetView workbookViewId="0"/>
  </sheetViews>
  <sheetFormatPr defaultColWidth="12.59765625" defaultRowHeight="15" customHeight="1" x14ac:dyDescent="0.25"/>
  <cols>
    <col min="1" max="1" width="7.59765625" customWidth="1"/>
    <col min="2" max="2" width="15.3984375" customWidth="1"/>
    <col min="3" max="4" width="7.69921875" customWidth="1"/>
    <col min="5" max="5" width="7.09765625" customWidth="1"/>
    <col min="6" max="6" width="5.8984375" customWidth="1"/>
    <col min="7" max="7" width="7.09765625" customWidth="1"/>
    <col min="8" max="8" width="37.8984375" customWidth="1"/>
    <col min="9" max="9" width="17.09765625" customWidth="1"/>
    <col min="10" max="12" width="10.19921875" customWidth="1"/>
    <col min="13" max="13" width="37.8984375" customWidth="1"/>
    <col min="14" max="14" width="17.09765625" customWidth="1"/>
    <col min="15" max="17" width="10.19921875" customWidth="1"/>
    <col min="18" max="18" width="37.3984375" customWidth="1"/>
    <col min="19" max="19" width="17.09765625" customWidth="1"/>
    <col min="20" max="21" width="10.19921875" customWidth="1"/>
    <col min="22" max="22" width="8.59765625" customWidth="1"/>
    <col min="23" max="50" width="7.59765625" customWidth="1"/>
  </cols>
  <sheetData>
    <row r="2" spans="2:50" ht="36" x14ac:dyDescent="0.25">
      <c r="B2" s="37" t="s">
        <v>427</v>
      </c>
      <c r="C2" s="37">
        <v>2017</v>
      </c>
      <c r="D2" s="37">
        <v>2016</v>
      </c>
      <c r="E2" s="37">
        <v>2015</v>
      </c>
      <c r="F2" s="37">
        <v>2014</v>
      </c>
      <c r="G2" s="37">
        <v>2013</v>
      </c>
      <c r="H2" s="37" t="s">
        <v>428</v>
      </c>
      <c r="I2" s="164">
        <v>40999</v>
      </c>
      <c r="J2" s="164">
        <v>40633</v>
      </c>
      <c r="K2" s="164">
        <v>40268</v>
      </c>
      <c r="L2" s="164">
        <v>39903</v>
      </c>
      <c r="M2" s="41" t="s">
        <v>288</v>
      </c>
      <c r="N2" s="164">
        <v>39538</v>
      </c>
      <c r="O2" s="123">
        <v>39172</v>
      </c>
      <c r="P2" s="164">
        <v>38807</v>
      </c>
      <c r="Q2" s="164">
        <v>38442</v>
      </c>
      <c r="R2" s="37" t="s">
        <v>287</v>
      </c>
      <c r="T2" s="164">
        <v>37347</v>
      </c>
      <c r="U2" s="164">
        <v>36982</v>
      </c>
      <c r="V2" s="164">
        <v>36617</v>
      </c>
      <c r="Y2" s="37" t="s">
        <v>266</v>
      </c>
      <c r="Z2" s="37" t="s">
        <v>267</v>
      </c>
      <c r="AA2" s="37" t="s">
        <v>268</v>
      </c>
      <c r="AB2" s="37" t="s">
        <v>269</v>
      </c>
      <c r="AC2" s="37" t="s">
        <v>270</v>
      </c>
      <c r="AD2" s="37" t="s">
        <v>271</v>
      </c>
      <c r="AE2" s="37" t="s">
        <v>272</v>
      </c>
      <c r="AF2" s="37" t="s">
        <v>273</v>
      </c>
      <c r="AG2" s="37" t="s">
        <v>274</v>
      </c>
      <c r="AH2" s="37" t="s">
        <v>275</v>
      </c>
      <c r="AI2" s="37" t="s">
        <v>276</v>
      </c>
      <c r="AJ2" s="37" t="s">
        <v>277</v>
      </c>
      <c r="AK2" s="37" t="s">
        <v>278</v>
      </c>
      <c r="AN2" s="140" t="s">
        <v>41</v>
      </c>
      <c r="AO2" s="140" t="s">
        <v>5</v>
      </c>
      <c r="AP2" s="140" t="s">
        <v>279</v>
      </c>
      <c r="AQ2" s="140" t="s">
        <v>280</v>
      </c>
      <c r="AR2" s="140" t="s">
        <v>281</v>
      </c>
      <c r="AS2" s="140" t="s">
        <v>282</v>
      </c>
      <c r="AT2" s="140" t="s">
        <v>283</v>
      </c>
      <c r="AU2" s="140" t="s">
        <v>284</v>
      </c>
      <c r="AV2" s="140" t="s">
        <v>285</v>
      </c>
      <c r="AW2" s="141" t="s">
        <v>286</v>
      </c>
    </row>
    <row r="3" spans="2:50" ht="24" x14ac:dyDescent="0.3">
      <c r="B3" s="37" t="s">
        <v>429</v>
      </c>
      <c r="H3" s="37" t="s">
        <v>292</v>
      </c>
      <c r="I3" s="37">
        <v>12</v>
      </c>
      <c r="J3" s="37">
        <v>12</v>
      </c>
      <c r="K3" s="37">
        <v>12</v>
      </c>
      <c r="L3" s="37">
        <v>12</v>
      </c>
      <c r="M3" s="41" t="s">
        <v>292</v>
      </c>
      <c r="N3" s="37">
        <v>12</v>
      </c>
      <c r="O3" s="123">
        <v>12</v>
      </c>
      <c r="P3" s="37">
        <v>12</v>
      </c>
      <c r="Q3" s="37">
        <v>12</v>
      </c>
      <c r="R3" s="37" t="s">
        <v>291</v>
      </c>
      <c r="S3" s="164">
        <v>37712</v>
      </c>
      <c r="T3" s="164">
        <v>37711</v>
      </c>
      <c r="U3" s="164">
        <v>37346</v>
      </c>
      <c r="V3" s="164">
        <v>36981</v>
      </c>
      <c r="Y3" s="37">
        <v>1993</v>
      </c>
      <c r="Z3" s="37">
        <v>11.25</v>
      </c>
      <c r="AA3" s="37">
        <v>12</v>
      </c>
      <c r="AB3" s="37">
        <v>3.25</v>
      </c>
      <c r="AC3" s="37">
        <v>6</v>
      </c>
      <c r="AD3" s="37">
        <v>0</v>
      </c>
      <c r="AE3" s="37">
        <v>0</v>
      </c>
      <c r="AF3" s="37">
        <v>0</v>
      </c>
      <c r="AI3" s="37">
        <v>8.75</v>
      </c>
      <c r="AJ3" s="37">
        <v>-5.25</v>
      </c>
      <c r="AK3" s="37" t="s">
        <v>453</v>
      </c>
      <c r="AN3" s="144">
        <v>523716</v>
      </c>
      <c r="AO3" s="145" t="s">
        <v>79</v>
      </c>
      <c r="AP3" s="147"/>
      <c r="AQ3" s="37">
        <v>1</v>
      </c>
      <c r="AS3" s="146"/>
      <c r="AT3" s="37">
        <v>1</v>
      </c>
      <c r="AU3" s="146">
        <v>38604</v>
      </c>
      <c r="AV3" s="146">
        <v>38610</v>
      </c>
      <c r="AW3" s="145" t="s">
        <v>454</v>
      </c>
      <c r="AX3" s="37" t="s">
        <v>289</v>
      </c>
    </row>
    <row r="4" spans="2:50" ht="24" x14ac:dyDescent="0.3">
      <c r="B4" s="37" t="s">
        <v>243</v>
      </c>
      <c r="C4" s="165">
        <v>3559.4</v>
      </c>
      <c r="D4" s="165">
        <v>4982.6000000000004</v>
      </c>
      <c r="E4" s="165">
        <v>1202.0999999999999</v>
      </c>
      <c r="F4" s="37">
        <v>765</v>
      </c>
      <c r="G4" s="165">
        <v>1191.7</v>
      </c>
      <c r="H4" s="37" t="s">
        <v>293</v>
      </c>
      <c r="I4" s="37" t="s">
        <v>295</v>
      </c>
      <c r="M4" s="41" t="s">
        <v>293</v>
      </c>
      <c r="N4" s="37" t="s">
        <v>295</v>
      </c>
      <c r="O4" s="123"/>
      <c r="R4" s="37" t="s">
        <v>293</v>
      </c>
      <c r="S4" s="164">
        <v>38077</v>
      </c>
      <c r="Y4" s="37">
        <v>1994</v>
      </c>
      <c r="Z4" s="37">
        <v>10</v>
      </c>
      <c r="AA4" s="37">
        <v>15</v>
      </c>
      <c r="AB4" s="37">
        <v>2.5</v>
      </c>
      <c r="AC4" s="37">
        <v>8.75</v>
      </c>
      <c r="AD4" s="37">
        <v>0</v>
      </c>
      <c r="AE4" s="37">
        <v>0</v>
      </c>
      <c r="AF4" s="37">
        <v>0</v>
      </c>
      <c r="AI4" s="37">
        <v>12.5</v>
      </c>
      <c r="AJ4" s="37">
        <v>-1.25</v>
      </c>
      <c r="AK4" s="37" t="s">
        <v>453</v>
      </c>
      <c r="AN4" s="144">
        <v>523716</v>
      </c>
      <c r="AO4" s="145" t="s">
        <v>79</v>
      </c>
      <c r="AP4" s="147"/>
      <c r="AQ4" s="37">
        <v>2</v>
      </c>
      <c r="AS4" s="146"/>
      <c r="AT4" s="37">
        <v>2</v>
      </c>
      <c r="AU4" s="146">
        <v>38968</v>
      </c>
      <c r="AV4" s="146">
        <v>38974</v>
      </c>
      <c r="AW4" s="145" t="s">
        <v>454</v>
      </c>
      <c r="AX4" s="37" t="s">
        <v>289</v>
      </c>
    </row>
    <row r="5" spans="2:50" ht="24" x14ac:dyDescent="0.3">
      <c r="B5" s="37" t="s">
        <v>299</v>
      </c>
      <c r="C5" s="37">
        <v>143.80000000000001</v>
      </c>
      <c r="D5" s="37">
        <v>149.4</v>
      </c>
      <c r="E5" s="37">
        <v>202.6</v>
      </c>
      <c r="F5" s="37">
        <v>121.3</v>
      </c>
      <c r="G5" s="37">
        <v>119.5</v>
      </c>
      <c r="H5" s="37" t="s">
        <v>298</v>
      </c>
      <c r="I5" s="165">
        <v>2180</v>
      </c>
      <c r="J5" s="165">
        <v>1430.06</v>
      </c>
      <c r="K5" s="165">
        <v>1079.52</v>
      </c>
      <c r="L5" s="37">
        <v>827.05</v>
      </c>
      <c r="M5" s="41" t="s">
        <v>298</v>
      </c>
      <c r="N5" s="165">
        <v>1233.49</v>
      </c>
      <c r="O5" s="123">
        <v>496.9</v>
      </c>
      <c r="P5" s="37">
        <v>335.55</v>
      </c>
      <c r="Q5" s="37">
        <v>114.21</v>
      </c>
      <c r="R5" s="37" t="s">
        <v>455</v>
      </c>
      <c r="S5" s="37" t="s">
        <v>295</v>
      </c>
      <c r="Y5" s="37">
        <v>1995</v>
      </c>
      <c r="Z5" s="37">
        <v>10</v>
      </c>
      <c r="AA5" s="37">
        <v>12.5</v>
      </c>
      <c r="AB5" s="37">
        <v>4.75</v>
      </c>
      <c r="AC5" s="37">
        <v>5</v>
      </c>
      <c r="AD5" s="37">
        <v>77700</v>
      </c>
      <c r="AE5" s="37">
        <v>389</v>
      </c>
      <c r="AF5" s="37">
        <v>561600</v>
      </c>
      <c r="AI5" s="37">
        <v>7.75</v>
      </c>
      <c r="AJ5" s="37">
        <v>-5</v>
      </c>
      <c r="AK5" s="37" t="s">
        <v>453</v>
      </c>
      <c r="AN5" s="144">
        <v>523716</v>
      </c>
      <c r="AO5" s="145" t="s">
        <v>79</v>
      </c>
      <c r="AP5" s="147"/>
      <c r="AQ5" s="37">
        <v>0</v>
      </c>
      <c r="AS5" s="146"/>
      <c r="AT5" s="37">
        <v>0</v>
      </c>
      <c r="AU5" s="146">
        <v>37515</v>
      </c>
      <c r="AV5" s="146">
        <v>37522</v>
      </c>
      <c r="AW5" s="145" t="s">
        <v>456</v>
      </c>
      <c r="AX5" s="37" t="s">
        <v>457</v>
      </c>
    </row>
    <row r="6" spans="2:50" ht="24" x14ac:dyDescent="0.3">
      <c r="B6" s="37" t="s">
        <v>301</v>
      </c>
      <c r="C6" s="165">
        <v>3703.2</v>
      </c>
      <c r="D6" s="165">
        <v>5132</v>
      </c>
      <c r="E6" s="165">
        <v>1404.7</v>
      </c>
      <c r="F6" s="37">
        <v>886.3</v>
      </c>
      <c r="G6" s="165">
        <v>1311.2</v>
      </c>
      <c r="H6" s="37" t="s">
        <v>299</v>
      </c>
      <c r="I6" s="37">
        <v>51.6</v>
      </c>
      <c r="J6" s="37">
        <v>50.44</v>
      </c>
      <c r="K6" s="37">
        <v>30.62</v>
      </c>
      <c r="L6" s="37">
        <v>105.87</v>
      </c>
      <c r="M6" s="41" t="s">
        <v>299</v>
      </c>
      <c r="N6" s="37">
        <v>39.04</v>
      </c>
      <c r="O6" s="123">
        <v>37.26</v>
      </c>
      <c r="P6" s="37">
        <v>26.05</v>
      </c>
      <c r="Q6" s="37">
        <v>14.66</v>
      </c>
      <c r="R6" s="37" t="s">
        <v>458</v>
      </c>
      <c r="T6" s="37">
        <v>190.88</v>
      </c>
      <c r="U6" s="37">
        <v>107.32</v>
      </c>
      <c r="V6" s="37">
        <v>102.82</v>
      </c>
      <c r="Y6" s="37">
        <v>1996</v>
      </c>
      <c r="Z6" s="37">
        <v>6</v>
      </c>
      <c r="AA6" s="37">
        <v>6.5</v>
      </c>
      <c r="AB6" s="37">
        <v>1.45</v>
      </c>
      <c r="AC6" s="37">
        <v>4</v>
      </c>
      <c r="AD6" s="37">
        <v>43000</v>
      </c>
      <c r="AE6" s="37">
        <v>196</v>
      </c>
      <c r="AF6" s="37">
        <v>182320</v>
      </c>
      <c r="AI6" s="37">
        <v>5.05</v>
      </c>
      <c r="AJ6" s="37">
        <v>-2</v>
      </c>
      <c r="AK6" s="37" t="s">
        <v>453</v>
      </c>
      <c r="AN6" s="144">
        <v>523716</v>
      </c>
      <c r="AO6" s="145" t="s">
        <v>79</v>
      </c>
      <c r="AP6" s="147"/>
      <c r="AQ6" s="37">
        <v>1</v>
      </c>
      <c r="AS6" s="146"/>
      <c r="AT6" s="37">
        <v>1</v>
      </c>
      <c r="AU6" s="146">
        <v>38243</v>
      </c>
      <c r="AV6" s="146">
        <v>38247</v>
      </c>
      <c r="AW6" s="145" t="s">
        <v>454</v>
      </c>
      <c r="AX6" s="37" t="s">
        <v>289</v>
      </c>
    </row>
    <row r="7" spans="2:50" ht="24" x14ac:dyDescent="0.3">
      <c r="B7" s="37" t="s">
        <v>303</v>
      </c>
      <c r="C7" s="165">
        <v>-2709.8</v>
      </c>
      <c r="D7" s="165">
        <v>-3619.1</v>
      </c>
      <c r="E7" s="37">
        <v>-835</v>
      </c>
      <c r="F7" s="37">
        <v>-614.4</v>
      </c>
      <c r="G7" s="37">
        <v>-880.4</v>
      </c>
      <c r="H7" s="37" t="s">
        <v>303</v>
      </c>
      <c r="I7" s="165">
        <v>-1311.6</v>
      </c>
      <c r="J7" s="37">
        <v>-898.27</v>
      </c>
      <c r="K7" s="37">
        <v>-659.05</v>
      </c>
      <c r="L7" s="37">
        <v>-631.39</v>
      </c>
      <c r="M7" s="41" t="s">
        <v>301</v>
      </c>
      <c r="N7" s="165">
        <v>1272.53</v>
      </c>
      <c r="O7" s="123">
        <v>534.16</v>
      </c>
      <c r="P7" s="37">
        <v>361.6</v>
      </c>
      <c r="Q7" s="37">
        <v>128.87</v>
      </c>
      <c r="R7" s="37" t="s">
        <v>299</v>
      </c>
      <c r="S7" s="37">
        <v>234.48</v>
      </c>
      <c r="T7" s="37">
        <v>6.38</v>
      </c>
      <c r="U7" s="37">
        <v>6.31</v>
      </c>
      <c r="V7" s="37">
        <v>7.62</v>
      </c>
      <c r="Y7" s="37">
        <v>1997</v>
      </c>
      <c r="Z7" s="37">
        <v>3.5</v>
      </c>
      <c r="AA7" s="37">
        <v>5</v>
      </c>
      <c r="AB7" s="37">
        <v>0.5</v>
      </c>
      <c r="AC7" s="37">
        <v>4.5</v>
      </c>
      <c r="AD7" s="37">
        <v>36600</v>
      </c>
      <c r="AE7" s="37">
        <v>176</v>
      </c>
      <c r="AF7" s="37">
        <v>130970</v>
      </c>
      <c r="AI7" s="37">
        <v>4.5</v>
      </c>
      <c r="AJ7" s="37">
        <v>1</v>
      </c>
      <c r="AK7" s="37" t="s">
        <v>453</v>
      </c>
      <c r="AN7" s="144">
        <v>523716</v>
      </c>
      <c r="AO7" s="145" t="s">
        <v>79</v>
      </c>
      <c r="AP7" s="146">
        <v>39338</v>
      </c>
      <c r="AQ7" s="37">
        <v>2.5</v>
      </c>
      <c r="AS7" s="146"/>
      <c r="AT7" s="37">
        <v>2.5</v>
      </c>
      <c r="AU7" s="146">
        <v>39335</v>
      </c>
      <c r="AV7" s="146">
        <v>39338</v>
      </c>
      <c r="AW7" s="145" t="s">
        <v>454</v>
      </c>
      <c r="AX7" s="37" t="s">
        <v>289</v>
      </c>
    </row>
    <row r="8" spans="2:50" ht="24" x14ac:dyDescent="0.3">
      <c r="B8" s="37" t="s">
        <v>304</v>
      </c>
      <c r="C8" s="37">
        <v>-66.400000000000006</v>
      </c>
      <c r="D8" s="37">
        <v>-27.6</v>
      </c>
      <c r="E8" s="37">
        <v>-17.2</v>
      </c>
      <c r="F8" s="37">
        <v>-18.3</v>
      </c>
      <c r="G8" s="37">
        <v>-30.3</v>
      </c>
      <c r="H8" s="37" t="s">
        <v>304</v>
      </c>
      <c r="I8" s="37">
        <v>-28.4</v>
      </c>
      <c r="J8" s="37">
        <v>-6.46</v>
      </c>
      <c r="K8" s="37">
        <v>-10.49</v>
      </c>
      <c r="L8" s="37">
        <v>0</v>
      </c>
      <c r="M8" s="41" t="s">
        <v>303</v>
      </c>
      <c r="N8" s="37">
        <v>-845.14</v>
      </c>
      <c r="O8" s="123">
        <v>-419.38</v>
      </c>
      <c r="P8" s="37">
        <v>-308.33</v>
      </c>
      <c r="Q8" s="37">
        <v>-127.19</v>
      </c>
      <c r="R8" s="37" t="s">
        <v>301</v>
      </c>
      <c r="S8" s="37">
        <v>12.39</v>
      </c>
      <c r="T8" s="37">
        <v>197.27</v>
      </c>
      <c r="U8" s="37">
        <v>113.64</v>
      </c>
      <c r="V8" s="37">
        <v>110.44</v>
      </c>
      <c r="Y8" s="37">
        <v>1998</v>
      </c>
      <c r="Z8" s="37">
        <v>4.5</v>
      </c>
      <c r="AA8" s="37">
        <v>4.5</v>
      </c>
      <c r="AB8" s="37">
        <v>1</v>
      </c>
      <c r="AC8" s="37">
        <v>2</v>
      </c>
      <c r="AD8" s="37">
        <v>36600</v>
      </c>
      <c r="AE8" s="37">
        <v>118</v>
      </c>
      <c r="AF8" s="37">
        <v>145075</v>
      </c>
      <c r="AI8" s="37">
        <v>3.5</v>
      </c>
      <c r="AJ8" s="37">
        <v>-2.5</v>
      </c>
      <c r="AK8" s="37" t="s">
        <v>453</v>
      </c>
      <c r="AN8" s="144">
        <v>523716</v>
      </c>
      <c r="AO8" s="145" t="s">
        <v>79</v>
      </c>
      <c r="AP8" s="146">
        <v>39700</v>
      </c>
      <c r="AQ8" s="37">
        <v>1.5</v>
      </c>
      <c r="AR8" s="37">
        <v>2.5</v>
      </c>
      <c r="AT8" s="65">
        <f t="shared" ref="AT8:AT12" si="0">AR8*AQ8</f>
        <v>3.75</v>
      </c>
      <c r="AU8" s="146">
        <v>39695</v>
      </c>
      <c r="AV8" s="146">
        <v>39701</v>
      </c>
      <c r="AW8" s="145" t="s">
        <v>454</v>
      </c>
      <c r="AX8" s="37" t="s">
        <v>289</v>
      </c>
    </row>
    <row r="9" spans="2:50" ht="24" x14ac:dyDescent="0.3">
      <c r="B9" s="37" t="s">
        <v>431</v>
      </c>
      <c r="C9" s="37">
        <v>993.4</v>
      </c>
      <c r="D9" s="165">
        <v>1485.3</v>
      </c>
      <c r="E9" s="37">
        <v>552.5</v>
      </c>
      <c r="F9" s="37">
        <v>253.6</v>
      </c>
      <c r="G9" s="37">
        <v>400.5</v>
      </c>
      <c r="H9" s="37" t="s">
        <v>308</v>
      </c>
      <c r="I9" s="37">
        <v>891.6</v>
      </c>
      <c r="J9" s="37">
        <v>575.77</v>
      </c>
      <c r="K9" s="37">
        <v>440.6</v>
      </c>
      <c r="L9" s="37">
        <v>301.52999999999997</v>
      </c>
      <c r="M9" s="41" t="s">
        <v>309</v>
      </c>
      <c r="N9" s="37">
        <v>427.39</v>
      </c>
      <c r="O9" s="123">
        <v>114.78</v>
      </c>
      <c r="P9" s="37">
        <v>53.26</v>
      </c>
      <c r="Q9" s="37">
        <v>1.68</v>
      </c>
      <c r="R9" s="37" t="s">
        <v>407</v>
      </c>
      <c r="S9" s="37">
        <v>246.87</v>
      </c>
      <c r="T9" s="37">
        <v>-158.81</v>
      </c>
      <c r="U9" s="37">
        <v>-103.4</v>
      </c>
      <c r="V9" s="37">
        <v>-101.58</v>
      </c>
      <c r="Y9" s="37">
        <v>1999</v>
      </c>
      <c r="Z9" s="37">
        <v>2</v>
      </c>
      <c r="AA9" s="37">
        <v>2</v>
      </c>
      <c r="AB9" s="37">
        <v>2</v>
      </c>
      <c r="AC9" s="37">
        <v>2</v>
      </c>
      <c r="AD9" s="37">
        <v>400</v>
      </c>
      <c r="AE9" s="37">
        <v>3</v>
      </c>
      <c r="AF9" s="37">
        <v>800</v>
      </c>
      <c r="AI9" s="37">
        <v>0</v>
      </c>
      <c r="AJ9" s="37">
        <v>0</v>
      </c>
      <c r="AK9" s="37" t="s">
        <v>453</v>
      </c>
      <c r="AN9" s="144">
        <v>523716</v>
      </c>
      <c r="AO9" s="145" t="s">
        <v>79</v>
      </c>
      <c r="AP9" s="146">
        <v>40402</v>
      </c>
      <c r="AQ9" s="37">
        <v>1.5</v>
      </c>
      <c r="AR9" s="37">
        <v>2.5</v>
      </c>
      <c r="AT9" s="65">
        <f t="shared" si="0"/>
        <v>3.75</v>
      </c>
      <c r="AU9" s="146">
        <v>40399</v>
      </c>
      <c r="AV9" s="146">
        <v>40403</v>
      </c>
      <c r="AW9" s="145" t="s">
        <v>454</v>
      </c>
      <c r="AX9" s="37" t="s">
        <v>289</v>
      </c>
    </row>
    <row r="10" spans="2:50" ht="24" x14ac:dyDescent="0.3">
      <c r="B10" s="37" t="s">
        <v>312</v>
      </c>
      <c r="C10" s="37">
        <v>-78.3</v>
      </c>
      <c r="D10" s="37">
        <v>-77.099999999999994</v>
      </c>
      <c r="E10" s="37">
        <v>-78.5</v>
      </c>
      <c r="F10" s="37">
        <v>-30.3</v>
      </c>
      <c r="G10" s="37">
        <v>-25.6</v>
      </c>
      <c r="H10" s="37" t="s">
        <v>312</v>
      </c>
      <c r="I10" s="37">
        <v>-61.2</v>
      </c>
      <c r="J10" s="37">
        <v>-20.059999999999999</v>
      </c>
      <c r="K10" s="37">
        <v>-10.17</v>
      </c>
      <c r="L10" s="37">
        <v>-10.07</v>
      </c>
      <c r="M10" s="41" t="s">
        <v>308</v>
      </c>
      <c r="N10" s="37">
        <v>427.39</v>
      </c>
      <c r="O10" s="123">
        <v>114.78</v>
      </c>
      <c r="P10" s="37">
        <v>53.26</v>
      </c>
      <c r="Q10" s="37">
        <v>1.68</v>
      </c>
      <c r="R10" s="37" t="s">
        <v>309</v>
      </c>
      <c r="S10" s="37">
        <v>-184.37</v>
      </c>
      <c r="T10" s="37">
        <v>38.46</v>
      </c>
      <c r="U10" s="37">
        <v>10.23</v>
      </c>
      <c r="V10" s="37">
        <v>8.85</v>
      </c>
      <c r="Y10" s="37">
        <v>2000</v>
      </c>
      <c r="Z10" s="37">
        <v>2</v>
      </c>
      <c r="AA10" s="37">
        <v>2</v>
      </c>
      <c r="AB10" s="37">
        <v>2</v>
      </c>
      <c r="AC10" s="37">
        <v>2</v>
      </c>
      <c r="AD10" s="37">
        <v>100</v>
      </c>
      <c r="AE10" s="37">
        <v>1</v>
      </c>
      <c r="AF10" s="37">
        <v>200</v>
      </c>
      <c r="AI10" s="37">
        <v>0</v>
      </c>
      <c r="AJ10" s="37">
        <v>0</v>
      </c>
      <c r="AK10" s="37" t="s">
        <v>453</v>
      </c>
      <c r="AN10" s="144">
        <v>523716</v>
      </c>
      <c r="AO10" s="145" t="s">
        <v>79</v>
      </c>
      <c r="AP10" s="146">
        <v>40766</v>
      </c>
      <c r="AQ10" s="37">
        <v>1.75</v>
      </c>
      <c r="AR10" s="37">
        <v>2.5</v>
      </c>
      <c r="AT10" s="65">
        <f t="shared" si="0"/>
        <v>4.375</v>
      </c>
      <c r="AU10" s="146">
        <v>40763</v>
      </c>
      <c r="AV10" s="146">
        <v>40767</v>
      </c>
      <c r="AW10" s="145" t="s">
        <v>454</v>
      </c>
      <c r="AX10" s="37" t="s">
        <v>289</v>
      </c>
    </row>
    <row r="11" spans="2:50" ht="24" x14ac:dyDescent="0.3">
      <c r="B11" s="37" t="s">
        <v>432</v>
      </c>
      <c r="C11" s="37">
        <v>915.1</v>
      </c>
      <c r="D11" s="165">
        <v>1408.2</v>
      </c>
      <c r="E11" s="37">
        <v>474</v>
      </c>
      <c r="F11" s="37">
        <v>223.3</v>
      </c>
      <c r="G11" s="37">
        <v>374.9</v>
      </c>
      <c r="H11" s="37" t="s">
        <v>315</v>
      </c>
      <c r="I11" s="37">
        <v>830.4</v>
      </c>
      <c r="J11" s="37">
        <v>555.71</v>
      </c>
      <c r="K11" s="37">
        <v>430.42</v>
      </c>
      <c r="L11" s="37">
        <v>291.45999999999998</v>
      </c>
      <c r="M11" s="41" t="s">
        <v>312</v>
      </c>
      <c r="N11" s="37">
        <v>-5.77</v>
      </c>
      <c r="O11" s="123">
        <v>-3.53</v>
      </c>
      <c r="P11" s="37">
        <v>-2.75</v>
      </c>
      <c r="Q11" s="37">
        <v>-1.91</v>
      </c>
      <c r="R11" s="37" t="s">
        <v>312</v>
      </c>
      <c r="S11" s="37">
        <v>62.5</v>
      </c>
      <c r="T11" s="37">
        <v>-1.43</v>
      </c>
      <c r="U11" s="37">
        <v>-1.39</v>
      </c>
      <c r="V11" s="37">
        <v>-1.37</v>
      </c>
      <c r="Y11" s="37">
        <v>2001</v>
      </c>
      <c r="Z11" s="37">
        <v>2</v>
      </c>
      <c r="AA11" s="37">
        <v>2</v>
      </c>
      <c r="AB11" s="37">
        <v>2</v>
      </c>
      <c r="AC11" s="37">
        <v>2</v>
      </c>
      <c r="AD11" s="37">
        <v>100</v>
      </c>
      <c r="AE11" s="37">
        <v>1</v>
      </c>
      <c r="AF11" s="37">
        <v>200</v>
      </c>
      <c r="AI11" s="37">
        <v>0</v>
      </c>
      <c r="AJ11" s="37">
        <v>0</v>
      </c>
      <c r="AK11" s="37" t="s">
        <v>453</v>
      </c>
      <c r="AN11" s="144">
        <v>523716</v>
      </c>
      <c r="AO11" s="145" t="s">
        <v>79</v>
      </c>
      <c r="AP11" s="146">
        <v>41120</v>
      </c>
      <c r="AQ11" s="37">
        <v>2.25</v>
      </c>
      <c r="AR11" s="37">
        <v>2.5</v>
      </c>
      <c r="AT11" s="65">
        <f t="shared" si="0"/>
        <v>5.625</v>
      </c>
      <c r="AU11" s="146">
        <v>41115</v>
      </c>
      <c r="AV11" s="146">
        <v>41121</v>
      </c>
      <c r="AW11" s="145" t="s">
        <v>454</v>
      </c>
      <c r="AX11" s="37" t="s">
        <v>289</v>
      </c>
    </row>
    <row r="12" spans="2:50" ht="24" x14ac:dyDescent="0.3">
      <c r="B12" s="37" t="s">
        <v>318</v>
      </c>
      <c r="C12" s="37">
        <v>-244.2</v>
      </c>
      <c r="D12" s="37">
        <v>-93.7</v>
      </c>
      <c r="E12" s="37">
        <v>-17.100000000000001</v>
      </c>
      <c r="F12" s="37">
        <v>2.1</v>
      </c>
      <c r="G12" s="37">
        <v>-54</v>
      </c>
      <c r="H12" s="37" t="s">
        <v>318</v>
      </c>
      <c r="I12" s="37">
        <v>-143.9</v>
      </c>
      <c r="J12" s="37">
        <v>-130.80000000000001</v>
      </c>
      <c r="K12" s="37">
        <v>-76.37</v>
      </c>
      <c r="L12" s="37">
        <v>-31.69</v>
      </c>
      <c r="M12" s="41" t="s">
        <v>315</v>
      </c>
      <c r="N12" s="37">
        <v>421.62</v>
      </c>
      <c r="O12" s="123">
        <v>111.24</v>
      </c>
      <c r="P12" s="37">
        <v>50.51</v>
      </c>
      <c r="Q12" s="37">
        <v>-0.23</v>
      </c>
      <c r="R12" s="37" t="s">
        <v>315</v>
      </c>
      <c r="S12" s="37">
        <v>-1.7</v>
      </c>
      <c r="T12" s="37">
        <v>37.020000000000003</v>
      </c>
      <c r="U12" s="37">
        <v>8.83</v>
      </c>
      <c r="V12" s="37">
        <v>7.48</v>
      </c>
      <c r="Y12" s="37">
        <v>2002</v>
      </c>
      <c r="Z12" s="37">
        <v>2.2999999999999998</v>
      </c>
      <c r="AA12" s="37">
        <v>2.6</v>
      </c>
      <c r="AB12" s="37">
        <v>1.25</v>
      </c>
      <c r="AC12" s="37">
        <v>1.5</v>
      </c>
      <c r="AD12" s="37">
        <v>6050</v>
      </c>
      <c r="AE12" s="37">
        <v>109</v>
      </c>
      <c r="AF12" s="37">
        <v>10484</v>
      </c>
      <c r="AI12" s="37">
        <v>1.35</v>
      </c>
      <c r="AJ12" s="37">
        <v>-0.8</v>
      </c>
      <c r="AN12" s="144">
        <v>523716</v>
      </c>
      <c r="AO12" s="145" t="s">
        <v>79</v>
      </c>
      <c r="AP12" s="146">
        <v>41505</v>
      </c>
      <c r="AQ12" s="37">
        <v>2.25</v>
      </c>
      <c r="AR12" s="37">
        <v>2.5</v>
      </c>
      <c r="AT12" s="65">
        <f t="shared" si="0"/>
        <v>5.625</v>
      </c>
      <c r="AU12" s="146">
        <v>41499</v>
      </c>
      <c r="AV12" s="146">
        <v>41506</v>
      </c>
      <c r="AW12" s="145" t="s">
        <v>454</v>
      </c>
      <c r="AX12" s="37" t="s">
        <v>289</v>
      </c>
    </row>
    <row r="13" spans="2:50" ht="24" x14ac:dyDescent="0.3">
      <c r="B13" s="37" t="s">
        <v>320</v>
      </c>
      <c r="C13" s="37">
        <v>670.9</v>
      </c>
      <c r="D13" s="165">
        <v>1314.5</v>
      </c>
      <c r="E13" s="37">
        <v>456.9</v>
      </c>
      <c r="F13" s="37">
        <v>214.5</v>
      </c>
      <c r="G13" s="37">
        <v>320.89999999999998</v>
      </c>
      <c r="H13" s="37" t="s">
        <v>326</v>
      </c>
      <c r="I13" s="37">
        <v>686.5</v>
      </c>
      <c r="J13" s="37">
        <v>424.91</v>
      </c>
      <c r="K13" s="37">
        <v>354.05</v>
      </c>
      <c r="L13" s="37">
        <v>259.77999999999997</v>
      </c>
      <c r="M13" s="41" t="s">
        <v>318</v>
      </c>
      <c r="N13" s="37">
        <v>-51.64</v>
      </c>
      <c r="O13" s="123">
        <v>-14.39</v>
      </c>
      <c r="P13" s="37">
        <v>-4.53</v>
      </c>
      <c r="Q13" s="37">
        <v>-1.05</v>
      </c>
      <c r="R13" s="37" t="s">
        <v>318</v>
      </c>
      <c r="S13" s="37">
        <v>60.8</v>
      </c>
      <c r="T13" s="37">
        <v>-2.38</v>
      </c>
      <c r="U13" s="37">
        <v>-0.9</v>
      </c>
      <c r="V13" s="37">
        <v>-2.2000000000000002</v>
      </c>
      <c r="Y13" s="37">
        <v>2003</v>
      </c>
      <c r="Z13" s="37">
        <v>1.35</v>
      </c>
      <c r="AA13" s="37">
        <v>19.29</v>
      </c>
      <c r="AB13" s="37">
        <v>1.25</v>
      </c>
      <c r="AC13" s="37">
        <v>16.809999999999999</v>
      </c>
      <c r="AD13" s="37">
        <v>292062</v>
      </c>
      <c r="AE13" s="37">
        <v>2205</v>
      </c>
      <c r="AF13" s="37">
        <v>2808586</v>
      </c>
      <c r="AI13" s="37">
        <v>18.04</v>
      </c>
      <c r="AJ13" s="37">
        <v>15.46</v>
      </c>
      <c r="AN13" s="144">
        <v>523716</v>
      </c>
      <c r="AO13" s="145" t="s">
        <v>79</v>
      </c>
      <c r="AP13" s="146">
        <v>41872</v>
      </c>
      <c r="AQ13" s="37">
        <v>0.5</v>
      </c>
      <c r="AR13" s="37">
        <v>2.5</v>
      </c>
      <c r="AS13" s="37">
        <v>5</v>
      </c>
      <c r="AT13" s="65">
        <f t="shared" ref="AT13:AT16" si="1">AS13*AR13*AQ13</f>
        <v>6.25</v>
      </c>
      <c r="AU13" s="146">
        <v>41865</v>
      </c>
      <c r="AV13" s="146">
        <v>41872</v>
      </c>
      <c r="AW13" s="145" t="s">
        <v>454</v>
      </c>
      <c r="AX13" s="37" t="s">
        <v>289</v>
      </c>
    </row>
    <row r="14" spans="2:50" ht="24" x14ac:dyDescent="0.3">
      <c r="B14" s="37" t="s">
        <v>244</v>
      </c>
      <c r="C14" s="37">
        <v>204.7</v>
      </c>
      <c r="D14" s="37">
        <v>204.7</v>
      </c>
      <c r="E14" s="37">
        <v>204.7</v>
      </c>
      <c r="F14" s="37">
        <v>186.1</v>
      </c>
      <c r="G14" s="37">
        <v>186.1</v>
      </c>
      <c r="H14" s="37" t="s">
        <v>344</v>
      </c>
      <c r="I14" s="37">
        <v>0</v>
      </c>
      <c r="J14" s="37">
        <v>64.56</v>
      </c>
      <c r="K14" s="37">
        <v>0</v>
      </c>
      <c r="L14" s="37">
        <v>0</v>
      </c>
      <c r="M14" s="41" t="s">
        <v>320</v>
      </c>
      <c r="N14" s="37">
        <v>369.98</v>
      </c>
      <c r="O14" s="123">
        <v>96.85</v>
      </c>
      <c r="P14" s="37">
        <v>45.98</v>
      </c>
      <c r="Q14" s="37">
        <v>-1.28</v>
      </c>
      <c r="R14" s="37" t="s">
        <v>326</v>
      </c>
      <c r="S14" s="37">
        <v>-4.3899999999999997</v>
      </c>
      <c r="T14" s="37">
        <v>34.630000000000003</v>
      </c>
      <c r="U14" s="37">
        <v>7.93</v>
      </c>
      <c r="V14" s="37">
        <v>5.28</v>
      </c>
      <c r="Y14" s="37">
        <v>2004</v>
      </c>
      <c r="Z14" s="37">
        <v>17</v>
      </c>
      <c r="AA14" s="37">
        <v>18.899999999999999</v>
      </c>
      <c r="AB14" s="37">
        <v>9.1999999999999993</v>
      </c>
      <c r="AC14" s="37">
        <v>17</v>
      </c>
      <c r="AD14" s="37">
        <v>510753</v>
      </c>
      <c r="AE14" s="37">
        <v>4137</v>
      </c>
      <c r="AF14" s="37">
        <v>7695229</v>
      </c>
      <c r="AG14" s="37">
        <v>260678</v>
      </c>
      <c r="AH14" s="37">
        <v>51.04</v>
      </c>
      <c r="AI14" s="37">
        <v>9.6999999999999993</v>
      </c>
      <c r="AJ14" s="37">
        <v>0</v>
      </c>
      <c r="AN14" s="144">
        <v>523716</v>
      </c>
      <c r="AO14" s="145" t="s">
        <v>79</v>
      </c>
      <c r="AP14" s="146">
        <v>42230</v>
      </c>
      <c r="AQ14" s="37">
        <v>0.5</v>
      </c>
      <c r="AR14" s="37">
        <v>2.5</v>
      </c>
      <c r="AS14" s="37">
        <v>5</v>
      </c>
      <c r="AT14" s="65">
        <f t="shared" si="1"/>
        <v>6.25</v>
      </c>
      <c r="AU14" s="146">
        <v>42227</v>
      </c>
      <c r="AV14" s="146">
        <v>42230</v>
      </c>
      <c r="AW14" s="145" t="s">
        <v>454</v>
      </c>
      <c r="AX14" s="37" t="s">
        <v>289</v>
      </c>
    </row>
    <row r="15" spans="2:50" ht="24" x14ac:dyDescent="0.3">
      <c r="B15" s="37" t="s">
        <v>249</v>
      </c>
      <c r="C15" s="37">
        <v>7.12</v>
      </c>
      <c r="D15" s="37">
        <v>12.84</v>
      </c>
      <c r="E15" s="37">
        <v>4.84</v>
      </c>
      <c r="F15" s="37">
        <v>2.31</v>
      </c>
      <c r="G15" s="37">
        <v>17.239999999999998</v>
      </c>
      <c r="H15" s="37" t="s">
        <v>320</v>
      </c>
      <c r="I15" s="37">
        <v>686.5</v>
      </c>
      <c r="J15" s="37">
        <v>489.46</v>
      </c>
      <c r="K15" s="37">
        <v>354.05</v>
      </c>
      <c r="L15" s="37">
        <v>259.77999999999997</v>
      </c>
      <c r="M15" s="41" t="s">
        <v>323</v>
      </c>
      <c r="N15" s="37">
        <v>187.36</v>
      </c>
      <c r="O15" s="123">
        <v>53.53</v>
      </c>
      <c r="P15" s="37">
        <v>53.53</v>
      </c>
      <c r="Q15" s="37">
        <v>53.53</v>
      </c>
      <c r="R15" s="37" t="s">
        <v>320</v>
      </c>
      <c r="S15" s="37">
        <v>56.4</v>
      </c>
      <c r="T15" s="37">
        <v>34.630000000000003</v>
      </c>
      <c r="U15" s="37">
        <v>7.93</v>
      </c>
      <c r="V15" s="37">
        <v>5.28</v>
      </c>
      <c r="Y15" s="37">
        <v>2005</v>
      </c>
      <c r="Z15" s="37">
        <v>17.5</v>
      </c>
      <c r="AA15" s="37">
        <v>134.19999999999999</v>
      </c>
      <c r="AB15" s="37">
        <v>15</v>
      </c>
      <c r="AC15" s="37">
        <v>67.55</v>
      </c>
      <c r="AD15" s="37">
        <v>1724716</v>
      </c>
      <c r="AE15" s="37">
        <v>10240</v>
      </c>
      <c r="AF15" s="37">
        <v>102663810</v>
      </c>
      <c r="AG15" s="37">
        <v>1684569</v>
      </c>
      <c r="AH15" s="37">
        <v>97.67</v>
      </c>
      <c r="AI15" s="37">
        <v>119.2</v>
      </c>
      <c r="AJ15" s="37">
        <v>50.05</v>
      </c>
      <c r="AN15" s="144">
        <v>523716</v>
      </c>
      <c r="AO15" s="145" t="s">
        <v>79</v>
      </c>
      <c r="AP15" s="146">
        <v>42451</v>
      </c>
      <c r="AQ15" s="37">
        <v>0.5</v>
      </c>
      <c r="AR15" s="37">
        <v>2.5</v>
      </c>
      <c r="AS15" s="37">
        <v>5</v>
      </c>
      <c r="AT15" s="65">
        <f t="shared" si="1"/>
        <v>6.25</v>
      </c>
      <c r="AU15" s="146">
        <v>42450</v>
      </c>
      <c r="AV15" s="146">
        <v>42451</v>
      </c>
      <c r="AW15" s="145" t="s">
        <v>459</v>
      </c>
      <c r="AX15" s="37" t="s">
        <v>402</v>
      </c>
    </row>
    <row r="16" spans="2:50" ht="24" x14ac:dyDescent="0.3">
      <c r="B16" s="37" t="s">
        <v>433</v>
      </c>
      <c r="C16" s="37">
        <v>7.32</v>
      </c>
      <c r="D16" s="37">
        <v>13.6</v>
      </c>
      <c r="E16" s="37">
        <v>5.23</v>
      </c>
      <c r="F16" s="37">
        <v>2.63</v>
      </c>
      <c r="G16" s="37">
        <v>18.62</v>
      </c>
      <c r="H16" s="37" t="s">
        <v>323</v>
      </c>
      <c r="I16" s="37">
        <v>186.1</v>
      </c>
      <c r="J16" s="37">
        <v>186.1</v>
      </c>
      <c r="K16" s="37">
        <v>187.36</v>
      </c>
      <c r="L16" s="37">
        <v>187.36</v>
      </c>
      <c r="M16" s="41" t="s">
        <v>325</v>
      </c>
      <c r="N16" s="37">
        <v>451.7</v>
      </c>
      <c r="O16" s="123">
        <v>247.02</v>
      </c>
      <c r="P16" s="37">
        <v>165.82</v>
      </c>
      <c r="Q16" s="37">
        <v>132.05000000000001</v>
      </c>
      <c r="R16" s="37" t="s">
        <v>323</v>
      </c>
      <c r="S16" s="37">
        <v>56.4</v>
      </c>
      <c r="T16" s="37">
        <v>53.53</v>
      </c>
      <c r="U16" s="37">
        <v>53.53</v>
      </c>
      <c r="V16" s="37">
        <v>53.53</v>
      </c>
      <c r="Y16" s="37">
        <v>2006</v>
      </c>
      <c r="Z16" s="37">
        <v>70.900000000000006</v>
      </c>
      <c r="AA16" s="37">
        <v>428.1</v>
      </c>
      <c r="AB16" s="37">
        <v>70.2</v>
      </c>
      <c r="AC16" s="37">
        <v>243.05</v>
      </c>
      <c r="AD16" s="37">
        <v>2639329</v>
      </c>
      <c r="AE16" s="37">
        <v>24739</v>
      </c>
      <c r="AF16" s="37">
        <v>452756595</v>
      </c>
      <c r="AG16" s="37">
        <v>2311929</v>
      </c>
      <c r="AH16" s="37">
        <v>87.6</v>
      </c>
      <c r="AI16" s="37">
        <v>357.9</v>
      </c>
      <c r="AJ16" s="37">
        <v>172.15</v>
      </c>
      <c r="AN16" s="144">
        <v>523716</v>
      </c>
      <c r="AO16" s="145" t="s">
        <v>79</v>
      </c>
      <c r="AP16" s="146">
        <v>42963</v>
      </c>
      <c r="AQ16" s="37">
        <v>0.25</v>
      </c>
      <c r="AR16" s="37">
        <v>2.5</v>
      </c>
      <c r="AS16" s="37">
        <v>5</v>
      </c>
      <c r="AT16" s="65">
        <f t="shared" si="1"/>
        <v>3.125</v>
      </c>
      <c r="AU16" s="146">
        <v>42957</v>
      </c>
      <c r="AV16" s="146">
        <v>42965</v>
      </c>
      <c r="AW16" s="145" t="s">
        <v>454</v>
      </c>
      <c r="AX16" s="37" t="s">
        <v>289</v>
      </c>
    </row>
    <row r="17" spans="2:46" ht="13.8" x14ac:dyDescent="0.25">
      <c r="B17" s="37" t="s">
        <v>434</v>
      </c>
      <c r="C17" s="37">
        <v>27.91</v>
      </c>
      <c r="D17" s="37">
        <v>30.36</v>
      </c>
      <c r="E17" s="37">
        <v>47.39</v>
      </c>
      <c r="F17" s="37">
        <v>35.54</v>
      </c>
      <c r="G17" s="37">
        <v>36.15</v>
      </c>
      <c r="H17" s="37" t="s">
        <v>325</v>
      </c>
      <c r="I17" s="165">
        <v>2204.6999999999998</v>
      </c>
      <c r="J17" s="165">
        <v>1565.46</v>
      </c>
      <c r="K17" s="165">
        <v>1034.79</v>
      </c>
      <c r="L17" s="37">
        <v>711.48</v>
      </c>
      <c r="M17" s="41" t="s">
        <v>329</v>
      </c>
      <c r="N17" s="37">
        <v>19.75</v>
      </c>
      <c r="O17" s="123">
        <v>18.09</v>
      </c>
      <c r="P17" s="37">
        <v>8.59</v>
      </c>
      <c r="Q17" s="37">
        <v>-0.24</v>
      </c>
      <c r="R17" s="37" t="s">
        <v>325</v>
      </c>
      <c r="S17" s="37">
        <v>53.53</v>
      </c>
      <c r="T17" s="37">
        <v>87.58</v>
      </c>
      <c r="U17" s="37">
        <v>52.94</v>
      </c>
      <c r="V17" s="37">
        <v>48.04</v>
      </c>
      <c r="Y17" s="37">
        <v>2007</v>
      </c>
      <c r="Z17" s="37">
        <v>255.2</v>
      </c>
      <c r="AA17" s="37">
        <v>732</v>
      </c>
      <c r="AB17" s="37">
        <v>145.25</v>
      </c>
      <c r="AC17" s="37">
        <v>728.45</v>
      </c>
      <c r="AD17" s="37">
        <v>1146550</v>
      </c>
      <c r="AE17" s="37">
        <v>21189</v>
      </c>
      <c r="AF17" s="37">
        <v>396229750</v>
      </c>
      <c r="AG17" s="37">
        <v>923776</v>
      </c>
      <c r="AH17" s="37">
        <v>80.569999999999993</v>
      </c>
      <c r="AI17" s="37">
        <v>586.75</v>
      </c>
      <c r="AJ17" s="37">
        <v>473.25</v>
      </c>
      <c r="AT17" s="65">
        <f>SUM(AT3:AT16)</f>
        <v>51.5</v>
      </c>
    </row>
    <row r="18" spans="2:46" ht="13.8" x14ac:dyDescent="0.25">
      <c r="B18" s="37" t="s">
        <v>435</v>
      </c>
      <c r="C18" s="37">
        <v>18.850000000000001</v>
      </c>
      <c r="D18" s="37">
        <v>26.38</v>
      </c>
      <c r="E18" s="37">
        <v>38.01</v>
      </c>
      <c r="F18" s="37">
        <v>28.04</v>
      </c>
      <c r="G18" s="37">
        <v>26.93</v>
      </c>
      <c r="H18" s="37" t="s">
        <v>330</v>
      </c>
      <c r="I18" s="37">
        <v>36.89</v>
      </c>
      <c r="J18" s="37" t="s">
        <v>289</v>
      </c>
      <c r="K18" s="37" t="s">
        <v>289</v>
      </c>
      <c r="L18" s="37" t="s">
        <v>289</v>
      </c>
      <c r="M18" s="41" t="s">
        <v>334</v>
      </c>
      <c r="N18" s="37" t="s">
        <v>460</v>
      </c>
      <c r="O18" s="123" t="s">
        <v>461</v>
      </c>
      <c r="P18" s="37" t="s">
        <v>462</v>
      </c>
      <c r="Q18" s="37" t="s">
        <v>463</v>
      </c>
      <c r="R18" s="37" t="s">
        <v>329</v>
      </c>
      <c r="S18" s="37">
        <v>137.94</v>
      </c>
      <c r="T18" s="37">
        <v>6.47</v>
      </c>
      <c r="U18" s="37">
        <v>1.48</v>
      </c>
      <c r="V18" s="37">
        <v>0.99</v>
      </c>
      <c r="X18" s="37">
        <v>5</v>
      </c>
      <c r="Y18" s="37">
        <v>2008</v>
      </c>
      <c r="Z18" s="37">
        <v>731</v>
      </c>
      <c r="AA18" s="37">
        <v>754</v>
      </c>
      <c r="AB18" s="37">
        <v>19.5</v>
      </c>
      <c r="AC18" s="37">
        <v>39.15</v>
      </c>
      <c r="AD18" s="37">
        <v>1306342</v>
      </c>
      <c r="AE18" s="37">
        <v>17079</v>
      </c>
      <c r="AF18" s="37">
        <v>198119573</v>
      </c>
      <c r="AG18" s="37">
        <v>1094496</v>
      </c>
      <c r="AH18" s="37">
        <v>83.78</v>
      </c>
      <c r="AI18" s="37">
        <v>734.5</v>
      </c>
      <c r="AJ18" s="37">
        <v>-691.85</v>
      </c>
    </row>
    <row r="19" spans="2:46" ht="13.8" x14ac:dyDescent="0.25">
      <c r="H19" s="37" t="s">
        <v>332</v>
      </c>
      <c r="I19" s="37">
        <v>36.89</v>
      </c>
      <c r="J19" s="37" t="s">
        <v>289</v>
      </c>
      <c r="K19" s="37" t="s">
        <v>289</v>
      </c>
      <c r="L19" s="37" t="s">
        <v>289</v>
      </c>
      <c r="M19" s="41" t="s">
        <v>345</v>
      </c>
      <c r="N19" s="37">
        <v>34.78</v>
      </c>
      <c r="O19" s="123">
        <v>34.78</v>
      </c>
      <c r="P19" s="37">
        <v>34.75</v>
      </c>
      <c r="Q19" s="37">
        <v>32.76</v>
      </c>
      <c r="R19" s="37" t="s">
        <v>346</v>
      </c>
      <c r="S19" s="37">
        <v>10.54</v>
      </c>
      <c r="T19" s="37" t="s">
        <v>464</v>
      </c>
      <c r="U19" s="37" t="s">
        <v>465</v>
      </c>
      <c r="V19" s="37">
        <v>0</v>
      </c>
      <c r="Y19" s="37">
        <v>2009</v>
      </c>
      <c r="Z19" s="37">
        <v>39.4</v>
      </c>
      <c r="AA19" s="37">
        <v>135</v>
      </c>
      <c r="AB19" s="37">
        <v>24</v>
      </c>
      <c r="AC19" s="37">
        <v>114.15</v>
      </c>
      <c r="AD19" s="37">
        <v>3447153</v>
      </c>
      <c r="AE19" s="37">
        <v>29195</v>
      </c>
      <c r="AF19" s="37">
        <v>301181554</v>
      </c>
      <c r="AG19" s="37">
        <v>2395303</v>
      </c>
      <c r="AH19" s="37">
        <v>69.489999999999995</v>
      </c>
      <c r="AI19" s="37">
        <v>111</v>
      </c>
      <c r="AJ19" s="37">
        <v>74.75</v>
      </c>
    </row>
    <row r="20" spans="2:46" ht="13.8" x14ac:dyDescent="0.25">
      <c r="H20" s="37" t="s">
        <v>334</v>
      </c>
      <c r="I20" s="37" t="s">
        <v>466</v>
      </c>
      <c r="J20" s="37" t="s">
        <v>467</v>
      </c>
      <c r="K20" s="37" t="s">
        <v>468</v>
      </c>
      <c r="L20" s="37" t="s">
        <v>469</v>
      </c>
      <c r="M20" s="41" t="s">
        <v>351</v>
      </c>
      <c r="N20" s="37">
        <v>34.65</v>
      </c>
      <c r="O20" s="123" t="s">
        <v>289</v>
      </c>
      <c r="P20" s="37" t="s">
        <v>289</v>
      </c>
      <c r="Q20" s="37" t="s">
        <v>289</v>
      </c>
      <c r="R20" s="37" t="s">
        <v>352</v>
      </c>
      <c r="S20" s="37" t="s">
        <v>470</v>
      </c>
      <c r="T20" s="37">
        <v>38.24</v>
      </c>
      <c r="U20" s="37">
        <v>38.25</v>
      </c>
      <c r="V20" s="37">
        <v>0</v>
      </c>
      <c r="Y20" s="37">
        <v>2010</v>
      </c>
      <c r="Z20" s="37">
        <v>114</v>
      </c>
      <c r="AA20" s="37">
        <v>191.5</v>
      </c>
      <c r="AB20" s="37">
        <v>93.05</v>
      </c>
      <c r="AC20" s="37">
        <v>155.05000000000001</v>
      </c>
      <c r="AD20" s="37">
        <v>7022343</v>
      </c>
      <c r="AE20" s="37">
        <v>50891</v>
      </c>
      <c r="AF20" s="37">
        <v>981636600</v>
      </c>
      <c r="AG20" s="37">
        <v>5025928</v>
      </c>
      <c r="AH20" s="37">
        <v>71.569999999999993</v>
      </c>
      <c r="AI20" s="37">
        <v>98.45</v>
      </c>
      <c r="AJ20" s="37">
        <v>41.05</v>
      </c>
    </row>
    <row r="21" spans="2:46" ht="15.75" customHeight="1" x14ac:dyDescent="0.25">
      <c r="H21" s="37" t="s">
        <v>345</v>
      </c>
      <c r="I21" s="37">
        <v>33.880000000000003</v>
      </c>
      <c r="J21" s="37">
        <v>33.880000000000003</v>
      </c>
      <c r="K21" s="37">
        <v>31.74</v>
      </c>
      <c r="L21" s="37">
        <v>34.35</v>
      </c>
      <c r="M21" s="41" t="s">
        <v>355</v>
      </c>
      <c r="N21" s="37">
        <v>29.99</v>
      </c>
      <c r="O21" s="123">
        <v>19.489999999999998</v>
      </c>
      <c r="P21" s="37">
        <v>13.7</v>
      </c>
      <c r="Q21" s="37">
        <v>-1.1200000000000001</v>
      </c>
      <c r="R21" s="37" t="s">
        <v>356</v>
      </c>
      <c r="S21" s="37">
        <v>35.130000000000003</v>
      </c>
      <c r="T21" s="37" t="s">
        <v>357</v>
      </c>
      <c r="U21" s="37" t="s">
        <v>357</v>
      </c>
      <c r="V21" s="37" t="s">
        <v>357</v>
      </c>
      <c r="Y21" s="37">
        <v>2011</v>
      </c>
      <c r="Z21" s="37">
        <v>159.9</v>
      </c>
      <c r="AA21" s="37">
        <v>175</v>
      </c>
      <c r="AB21" s="37">
        <v>110.1</v>
      </c>
      <c r="AC21" s="37">
        <v>135.4</v>
      </c>
      <c r="AD21" s="37">
        <v>2305291</v>
      </c>
      <c r="AE21" s="37">
        <v>16400</v>
      </c>
      <c r="AF21" s="37">
        <v>317350700</v>
      </c>
      <c r="AG21" s="37">
        <v>1868031</v>
      </c>
      <c r="AH21" s="37">
        <v>81.03</v>
      </c>
      <c r="AI21" s="37">
        <v>64.900000000000006</v>
      </c>
      <c r="AJ21" s="37">
        <v>-24.5</v>
      </c>
    </row>
    <row r="22" spans="2:46" ht="15.75" customHeight="1" x14ac:dyDescent="0.25">
      <c r="H22" s="37" t="s">
        <v>351</v>
      </c>
      <c r="I22" s="37">
        <v>42.2</v>
      </c>
      <c r="J22" s="37">
        <v>40.71</v>
      </c>
      <c r="K22" s="37">
        <v>41.79</v>
      </c>
      <c r="L22" s="37">
        <v>36.46</v>
      </c>
      <c r="M22" s="41" t="s">
        <v>471</v>
      </c>
      <c r="N22" s="37">
        <v>20.05</v>
      </c>
      <c r="O22" s="123" t="s">
        <v>289</v>
      </c>
      <c r="P22" s="37" t="s">
        <v>289</v>
      </c>
      <c r="Q22" s="37" t="s">
        <v>289</v>
      </c>
      <c r="R22" s="37" t="s">
        <v>361</v>
      </c>
      <c r="S22" s="37" t="s">
        <v>357</v>
      </c>
      <c r="T22" s="37" t="s">
        <v>361</v>
      </c>
      <c r="U22" s="37" t="s">
        <v>361</v>
      </c>
      <c r="V22" s="37" t="s">
        <v>362</v>
      </c>
      <c r="Y22" s="37">
        <v>2012</v>
      </c>
      <c r="Z22" s="37">
        <v>135</v>
      </c>
      <c r="AA22" s="37">
        <v>249.75</v>
      </c>
      <c r="AB22" s="37">
        <v>130.55000000000001</v>
      </c>
      <c r="AC22" s="37">
        <v>222</v>
      </c>
      <c r="AD22" s="37">
        <v>630147</v>
      </c>
      <c r="AE22" s="37">
        <v>9864</v>
      </c>
      <c r="AF22" s="37">
        <v>111406046</v>
      </c>
      <c r="AG22" s="37">
        <v>507393</v>
      </c>
      <c r="AH22" s="37">
        <v>80.52</v>
      </c>
      <c r="AI22" s="37">
        <v>119.2</v>
      </c>
      <c r="AJ22" s="37">
        <v>87</v>
      </c>
    </row>
    <row r="23" spans="2:46" ht="15.75" customHeight="1" x14ac:dyDescent="0.25">
      <c r="H23" s="37" t="s">
        <v>355</v>
      </c>
      <c r="I23" s="37">
        <v>31.49</v>
      </c>
      <c r="J23" s="37">
        <v>34.229999999999997</v>
      </c>
      <c r="K23" s="37">
        <v>32.799999999999997</v>
      </c>
      <c r="L23" s="37">
        <v>31.41</v>
      </c>
      <c r="M23" s="41" t="s">
        <v>361</v>
      </c>
      <c r="N23" s="37" t="s">
        <v>361</v>
      </c>
      <c r="O23" s="123" t="s">
        <v>361</v>
      </c>
      <c r="P23" s="37" t="s">
        <v>361</v>
      </c>
      <c r="Q23" s="37" t="s">
        <v>362</v>
      </c>
      <c r="S23" s="37" t="s">
        <v>361</v>
      </c>
      <c r="Y23" s="37">
        <v>2013</v>
      </c>
      <c r="Z23" s="37">
        <v>219.15</v>
      </c>
      <c r="AA23" s="37">
        <v>275</v>
      </c>
      <c r="AB23" s="37">
        <v>43.5</v>
      </c>
      <c r="AC23" s="37">
        <v>70.7</v>
      </c>
      <c r="AD23" s="37">
        <v>952582</v>
      </c>
      <c r="AE23" s="37">
        <v>13121</v>
      </c>
      <c r="AF23" s="37">
        <v>123063770</v>
      </c>
      <c r="AG23" s="37">
        <v>849902</v>
      </c>
      <c r="AH23" s="37">
        <v>89.22</v>
      </c>
      <c r="AI23" s="37">
        <v>231.5</v>
      </c>
      <c r="AJ23" s="37">
        <v>-148.44999999999999</v>
      </c>
    </row>
    <row r="24" spans="2:46" ht="15.75" customHeight="1" x14ac:dyDescent="0.25">
      <c r="H24" s="37" t="s">
        <v>360</v>
      </c>
      <c r="I24" s="37">
        <v>0</v>
      </c>
      <c r="J24" s="37">
        <v>27.38</v>
      </c>
      <c r="K24" s="37">
        <v>19.440000000000001</v>
      </c>
      <c r="L24" s="37">
        <v>14.4</v>
      </c>
      <c r="M24" s="41"/>
      <c r="O24" s="123"/>
      <c r="X24" s="37">
        <v>2</v>
      </c>
      <c r="Y24" s="37">
        <v>2014</v>
      </c>
      <c r="Z24" s="37">
        <v>70.599999999999994</v>
      </c>
      <c r="AA24" s="37">
        <v>216</v>
      </c>
      <c r="AB24" s="37">
        <v>70</v>
      </c>
      <c r="AC24" s="37">
        <v>198.85</v>
      </c>
      <c r="AD24" s="37">
        <v>1884881</v>
      </c>
      <c r="AE24" s="37">
        <v>66357</v>
      </c>
      <c r="AF24" s="37">
        <v>264284203</v>
      </c>
      <c r="AG24" s="37">
        <v>1272771</v>
      </c>
      <c r="AH24" s="37">
        <v>67.53</v>
      </c>
      <c r="AI24" s="37">
        <v>146</v>
      </c>
      <c r="AJ24" s="37">
        <v>128.25</v>
      </c>
    </row>
    <row r="25" spans="2:46" ht="15.75" customHeight="1" x14ac:dyDescent="0.25">
      <c r="H25" s="37" t="s">
        <v>361</v>
      </c>
      <c r="I25" s="37" t="s">
        <v>361</v>
      </c>
      <c r="J25" s="37" t="s">
        <v>361</v>
      </c>
      <c r="K25" s="37" t="s">
        <v>361</v>
      </c>
      <c r="L25" s="37" t="s">
        <v>361</v>
      </c>
      <c r="M25" s="41"/>
      <c r="O25" s="123"/>
      <c r="Y25" s="37">
        <v>2015</v>
      </c>
      <c r="Z25" s="37">
        <v>197</v>
      </c>
      <c r="AA25" s="37">
        <v>327.3</v>
      </c>
      <c r="AB25" s="37">
        <v>149.05000000000001</v>
      </c>
      <c r="AC25" s="37">
        <v>172</v>
      </c>
      <c r="AD25" s="37">
        <v>3117918</v>
      </c>
      <c r="AE25" s="37">
        <v>111218</v>
      </c>
      <c r="AF25" s="37">
        <v>658725624</v>
      </c>
      <c r="AG25" s="37">
        <v>2130555</v>
      </c>
      <c r="AH25" s="37">
        <v>68.33</v>
      </c>
      <c r="AI25" s="37">
        <v>178.25</v>
      </c>
      <c r="AJ25" s="37">
        <v>-25</v>
      </c>
    </row>
    <row r="26" spans="2:46" ht="15.75" customHeight="1" x14ac:dyDescent="0.25">
      <c r="M26" s="41"/>
      <c r="O26" s="123"/>
      <c r="Y26" s="37">
        <v>2016</v>
      </c>
      <c r="Z26" s="37">
        <v>172.55</v>
      </c>
      <c r="AA26" s="37">
        <v>180.55</v>
      </c>
      <c r="AB26" s="37">
        <v>115.8</v>
      </c>
      <c r="AC26" s="37">
        <v>134.80000000000001</v>
      </c>
      <c r="AD26" s="37">
        <v>1390293</v>
      </c>
      <c r="AE26" s="37">
        <v>38629</v>
      </c>
      <c r="AF26" s="37">
        <v>207472781</v>
      </c>
      <c r="AG26" s="37">
        <v>962396</v>
      </c>
      <c r="AH26" s="37">
        <v>69.22</v>
      </c>
      <c r="AI26" s="37">
        <v>64.75</v>
      </c>
      <c r="AJ26" s="37">
        <v>-37.75</v>
      </c>
    </row>
    <row r="27" spans="2:46" ht="15.75" customHeight="1" x14ac:dyDescent="0.25">
      <c r="M27" s="41"/>
      <c r="O27" s="123"/>
      <c r="Y27" s="37">
        <v>2017</v>
      </c>
      <c r="Z27" s="37">
        <v>142</v>
      </c>
      <c r="AA27" s="37">
        <v>250.35</v>
      </c>
      <c r="AB27" s="37">
        <v>135.19999999999999</v>
      </c>
      <c r="AC27" s="37">
        <v>187.4</v>
      </c>
      <c r="AD27" s="37">
        <v>6111072</v>
      </c>
      <c r="AE27" s="37">
        <v>99797</v>
      </c>
      <c r="AF27" s="37">
        <v>1117129207</v>
      </c>
      <c r="AG27" s="37">
        <v>3438972</v>
      </c>
      <c r="AH27" s="37">
        <v>56.27</v>
      </c>
      <c r="AI27" s="37">
        <v>115.15</v>
      </c>
      <c r="AJ27" s="37">
        <v>45.4</v>
      </c>
    </row>
    <row r="28" spans="2:46" ht="15.75" customHeight="1" x14ac:dyDescent="0.25">
      <c r="M28" s="41"/>
      <c r="O28" s="123"/>
      <c r="Y28" s="37">
        <v>2018</v>
      </c>
      <c r="Z28" s="37">
        <v>188</v>
      </c>
      <c r="AA28" s="37">
        <v>206.8</v>
      </c>
      <c r="AB28" s="37">
        <v>147</v>
      </c>
      <c r="AC28" s="37">
        <v>158.44999999999999</v>
      </c>
      <c r="AD28" s="37">
        <v>1580945</v>
      </c>
      <c r="AE28" s="37">
        <v>28915</v>
      </c>
      <c r="AF28" s="37">
        <v>284559951</v>
      </c>
      <c r="AG28" s="37">
        <v>840412</v>
      </c>
      <c r="AH28" s="37">
        <v>53.16</v>
      </c>
      <c r="AI28" s="37">
        <v>59.8</v>
      </c>
      <c r="AJ28" s="37">
        <v>-29.55</v>
      </c>
    </row>
    <row r="29" spans="2:46" ht="15.75" customHeight="1" x14ac:dyDescent="0.25">
      <c r="M29" s="41"/>
      <c r="O29" s="123"/>
      <c r="Y29" s="37" t="s">
        <v>472</v>
      </c>
    </row>
    <row r="30" spans="2:46" ht="15.75" customHeight="1" x14ac:dyDescent="0.25">
      <c r="M30" s="41"/>
      <c r="O30" s="123"/>
    </row>
    <row r="31" spans="2:46" ht="15.75" customHeight="1" x14ac:dyDescent="0.25">
      <c r="M31" s="41"/>
      <c r="O31" s="123"/>
      <c r="Z31" s="37">
        <f>(100*AT17)/Z11</f>
        <v>2575</v>
      </c>
    </row>
    <row r="32" spans="2:46" ht="15.75" customHeight="1" x14ac:dyDescent="0.25">
      <c r="M32" s="41"/>
      <c r="O32" s="123"/>
    </row>
    <row r="33" spans="13:15" ht="15.75" customHeight="1" x14ac:dyDescent="0.25">
      <c r="M33" s="41"/>
      <c r="O33" s="123"/>
    </row>
    <row r="34" spans="13:15" ht="15.75" customHeight="1" x14ac:dyDescent="0.25">
      <c r="M34" s="41"/>
      <c r="O34" s="123"/>
    </row>
    <row r="35" spans="13:15" ht="15.75" customHeight="1" x14ac:dyDescent="0.25">
      <c r="M35" s="41"/>
      <c r="O35" s="123"/>
    </row>
    <row r="36" spans="13:15" ht="15.75" customHeight="1" x14ac:dyDescent="0.25">
      <c r="M36" s="41"/>
      <c r="O36" s="123"/>
    </row>
    <row r="37" spans="13:15" ht="15.75" customHeight="1" x14ac:dyDescent="0.25">
      <c r="M37" s="41"/>
      <c r="O37" s="123"/>
    </row>
    <row r="38" spans="13:15" ht="15.75" customHeight="1" x14ac:dyDescent="0.25">
      <c r="M38" s="41"/>
      <c r="O38" s="123"/>
    </row>
    <row r="39" spans="13:15" ht="15.75" customHeight="1" x14ac:dyDescent="0.25">
      <c r="M39" s="41"/>
      <c r="O39" s="123"/>
    </row>
    <row r="40" spans="13:15" ht="15.75" customHeight="1" x14ac:dyDescent="0.25">
      <c r="M40" s="41"/>
      <c r="O40" s="123"/>
    </row>
    <row r="41" spans="13:15" ht="15.75" customHeight="1" x14ac:dyDescent="0.25">
      <c r="M41" s="41"/>
      <c r="O41" s="123"/>
    </row>
    <row r="42" spans="13:15" ht="15.75" customHeight="1" x14ac:dyDescent="0.25">
      <c r="M42" s="41"/>
      <c r="O42" s="123"/>
    </row>
    <row r="43" spans="13:15" ht="15.75" customHeight="1" x14ac:dyDescent="0.25">
      <c r="M43" s="41"/>
      <c r="O43" s="123"/>
    </row>
    <row r="44" spans="13:15" ht="15.75" customHeight="1" x14ac:dyDescent="0.25">
      <c r="M44" s="41"/>
      <c r="O44" s="123"/>
    </row>
    <row r="45" spans="13:15" ht="15.75" customHeight="1" x14ac:dyDescent="0.25">
      <c r="M45" s="41"/>
      <c r="O45" s="123"/>
    </row>
    <row r="46" spans="13:15" ht="15.75" customHeight="1" x14ac:dyDescent="0.25">
      <c r="M46" s="41"/>
      <c r="O46" s="123"/>
    </row>
    <row r="47" spans="13:15" ht="15.75" customHeight="1" x14ac:dyDescent="0.25">
      <c r="M47" s="41"/>
      <c r="O47" s="123"/>
    </row>
    <row r="48" spans="13:15" ht="15.75" customHeight="1" x14ac:dyDescent="0.25">
      <c r="M48" s="41"/>
      <c r="O48" s="123"/>
    </row>
    <row r="49" spans="13:15" ht="15.75" customHeight="1" x14ac:dyDescent="0.25">
      <c r="M49" s="41"/>
      <c r="O49" s="123"/>
    </row>
    <row r="50" spans="13:15" ht="15.75" customHeight="1" x14ac:dyDescent="0.25">
      <c r="M50" s="41"/>
      <c r="O50" s="123"/>
    </row>
    <row r="51" spans="13:15" ht="15.75" customHeight="1" x14ac:dyDescent="0.25">
      <c r="M51" s="41"/>
      <c r="O51" s="123"/>
    </row>
    <row r="52" spans="13:15" ht="15.75" customHeight="1" x14ac:dyDescent="0.25">
      <c r="M52" s="41"/>
      <c r="O52" s="123"/>
    </row>
    <row r="53" spans="13:15" ht="15.75" customHeight="1" x14ac:dyDescent="0.25">
      <c r="M53" s="41"/>
      <c r="O53" s="123"/>
    </row>
    <row r="54" spans="13:15" ht="15.75" customHeight="1" x14ac:dyDescent="0.25">
      <c r="M54" s="41"/>
      <c r="O54" s="123"/>
    </row>
    <row r="55" spans="13:15" ht="15.75" customHeight="1" x14ac:dyDescent="0.25">
      <c r="M55" s="41"/>
      <c r="O55" s="123"/>
    </row>
    <row r="56" spans="13:15" ht="15.75" customHeight="1" x14ac:dyDescent="0.25">
      <c r="M56" s="41"/>
      <c r="O56" s="123"/>
    </row>
    <row r="57" spans="13:15" ht="15.75" customHeight="1" x14ac:dyDescent="0.25"/>
    <row r="58" spans="13:15" ht="15.75" customHeight="1" x14ac:dyDescent="0.25"/>
    <row r="59" spans="13:15" ht="15.75" customHeight="1" x14ac:dyDescent="0.25"/>
    <row r="60" spans="13:15" ht="15.75" customHeight="1" x14ac:dyDescent="0.25"/>
    <row r="61" spans="13:15" ht="15.75" customHeight="1" x14ac:dyDescent="0.25"/>
    <row r="62" spans="13:15" ht="15.75" customHeight="1" x14ac:dyDescent="0.25"/>
    <row r="63" spans="13:15" ht="15.75" customHeight="1" x14ac:dyDescent="0.25"/>
    <row r="64" spans="13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hyperlinks>
    <hyperlink ref="AN3" r:id="rId1" display="https://www.bseindia.com/corporates/ScripWiseCorpAction.aspx?scrip_cd=523716" xr:uid="{00000000-0004-0000-0900-000000000000}"/>
    <hyperlink ref="AN4" r:id="rId2" display="https://www.bseindia.com/corporates/ScripWiseCorpAction.aspx?scrip_cd=523716" xr:uid="{00000000-0004-0000-0900-000001000000}"/>
    <hyperlink ref="AN5" r:id="rId3" display="https://www.bseindia.com/corporates/ScripWiseCorpAction.aspx?scrip_cd=523716" xr:uid="{00000000-0004-0000-0900-000002000000}"/>
    <hyperlink ref="AN6" r:id="rId4" display="https://www.bseindia.com/corporates/ScripWiseCorpAction.aspx?scrip_cd=523716" xr:uid="{00000000-0004-0000-0900-000003000000}"/>
    <hyperlink ref="AN7" r:id="rId5" display="https://www.bseindia.com/corporates/ScripWiseCorpAction.aspx?scrip_cd=523716" xr:uid="{00000000-0004-0000-0900-000004000000}"/>
    <hyperlink ref="AN8" r:id="rId6" display="https://www.bseindia.com/corporates/ScripWiseCorpAction.aspx?scrip_cd=523716" xr:uid="{00000000-0004-0000-0900-000005000000}"/>
    <hyperlink ref="AN9" r:id="rId7" display="https://www.bseindia.com/corporates/ScripWiseCorpAction.aspx?scrip_cd=523716" xr:uid="{00000000-0004-0000-0900-000006000000}"/>
    <hyperlink ref="AN10" r:id="rId8" display="https://www.bseindia.com/corporates/ScripWiseCorpAction.aspx?scrip_cd=523716" xr:uid="{00000000-0004-0000-0900-000007000000}"/>
    <hyperlink ref="AN11" r:id="rId9" display="https://www.bseindia.com/corporates/ScripWiseCorpAction.aspx?scrip_cd=523716" xr:uid="{00000000-0004-0000-0900-000008000000}"/>
    <hyperlink ref="AN12" r:id="rId10" display="https://www.bseindia.com/corporates/ScripWiseCorpAction.aspx?scrip_cd=523716" xr:uid="{00000000-0004-0000-0900-000009000000}"/>
    <hyperlink ref="AN13" r:id="rId11" display="https://www.bseindia.com/corporates/ScripWiseCorpAction.aspx?scrip_cd=523716" xr:uid="{00000000-0004-0000-0900-00000A000000}"/>
    <hyperlink ref="AN14" r:id="rId12" display="https://www.bseindia.com/corporates/ScripWiseCorpAction.aspx?scrip_cd=523716" xr:uid="{00000000-0004-0000-0900-00000B000000}"/>
    <hyperlink ref="AN15" r:id="rId13" display="https://www.bseindia.com/corporates/ScripWiseCorpAction.aspx?scrip_cd=523716" xr:uid="{00000000-0004-0000-0900-00000C000000}"/>
    <hyperlink ref="AN16" r:id="rId14" display="https://www.bseindia.com/corporates/ScripWiseCorpAction.aspx?scrip_cd=523716" xr:uid="{00000000-0004-0000-0900-00000D000000}"/>
  </hyperlink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AT1000"/>
  <sheetViews>
    <sheetView workbookViewId="0"/>
  </sheetViews>
  <sheetFormatPr defaultColWidth="12.59765625" defaultRowHeight="15" customHeight="1" x14ac:dyDescent="0.25"/>
  <cols>
    <col min="1" max="46" width="7.59765625" customWidth="1"/>
  </cols>
  <sheetData>
    <row r="2" spans="2:46" ht="24" x14ac:dyDescent="0.25">
      <c r="B2" s="166" t="s">
        <v>473</v>
      </c>
      <c r="C2" s="166">
        <v>2017</v>
      </c>
      <c r="D2" s="166">
        <v>2016</v>
      </c>
      <c r="E2" s="166">
        <v>2015</v>
      </c>
      <c r="F2" s="166">
        <v>2014</v>
      </c>
      <c r="G2" s="166">
        <v>2013</v>
      </c>
      <c r="H2" s="133"/>
      <c r="I2" s="167" t="s">
        <v>288</v>
      </c>
      <c r="J2" s="168">
        <v>41364</v>
      </c>
      <c r="K2" s="168">
        <v>40999</v>
      </c>
      <c r="L2" s="168">
        <v>40633</v>
      </c>
      <c r="M2" s="168">
        <v>40268</v>
      </c>
      <c r="N2" s="133"/>
      <c r="O2" s="167" t="s">
        <v>428</v>
      </c>
      <c r="P2" s="168">
        <v>39903</v>
      </c>
      <c r="Q2" s="168">
        <v>39538</v>
      </c>
      <c r="R2" s="168">
        <v>39172</v>
      </c>
      <c r="T2" s="37" t="s">
        <v>266</v>
      </c>
      <c r="U2" s="37" t="s">
        <v>267</v>
      </c>
      <c r="V2" s="37" t="s">
        <v>268</v>
      </c>
      <c r="W2" s="37" t="s">
        <v>269</v>
      </c>
      <c r="X2" s="37" t="s">
        <v>270</v>
      </c>
      <c r="Y2" s="37" t="s">
        <v>271</v>
      </c>
      <c r="Z2" s="37" t="s">
        <v>272</v>
      </c>
      <c r="AA2" s="37" t="s">
        <v>273</v>
      </c>
      <c r="AB2" s="37" t="s">
        <v>274</v>
      </c>
      <c r="AC2" s="37" t="s">
        <v>275</v>
      </c>
      <c r="AD2" s="37" t="s">
        <v>276</v>
      </c>
      <c r="AE2" s="37" t="s">
        <v>277</v>
      </c>
      <c r="AF2" s="37" t="s">
        <v>278</v>
      </c>
    </row>
    <row r="3" spans="2:46" ht="24" x14ac:dyDescent="0.25">
      <c r="B3" s="281" t="s">
        <v>429</v>
      </c>
      <c r="C3" s="282"/>
      <c r="D3" s="282"/>
      <c r="E3" s="282"/>
      <c r="F3" s="282"/>
      <c r="G3" s="282"/>
      <c r="H3" s="283"/>
      <c r="I3" s="167" t="s">
        <v>292</v>
      </c>
      <c r="J3" s="169">
        <v>12</v>
      </c>
      <c r="K3" s="169">
        <v>12</v>
      </c>
      <c r="L3" s="169">
        <v>12</v>
      </c>
      <c r="M3" s="169">
        <v>12</v>
      </c>
      <c r="N3" s="133"/>
      <c r="O3" s="167" t="s">
        <v>292</v>
      </c>
      <c r="P3" s="169">
        <v>12</v>
      </c>
      <c r="Q3" s="169">
        <v>12</v>
      </c>
      <c r="R3" s="169">
        <v>12</v>
      </c>
      <c r="T3" s="37">
        <v>2007</v>
      </c>
      <c r="U3" s="37">
        <v>101.5</v>
      </c>
      <c r="V3" s="37">
        <v>775</v>
      </c>
      <c r="W3" s="37">
        <v>101.5</v>
      </c>
      <c r="X3" s="37">
        <v>336.05</v>
      </c>
      <c r="Y3" s="37">
        <v>22158140</v>
      </c>
      <c r="Z3" s="37">
        <v>185393</v>
      </c>
      <c r="AA3" s="37">
        <v>6620293938</v>
      </c>
      <c r="AB3" s="37">
        <v>12778428</v>
      </c>
      <c r="AC3" s="37">
        <v>57.67</v>
      </c>
      <c r="AD3" s="37">
        <v>673.5</v>
      </c>
      <c r="AE3" s="37">
        <v>234.55</v>
      </c>
      <c r="AI3" s="170"/>
      <c r="AJ3" s="171"/>
      <c r="AK3" s="171"/>
      <c r="AL3" s="171"/>
      <c r="AM3" s="171"/>
      <c r="AN3" s="171"/>
      <c r="AO3" s="171"/>
      <c r="AP3" s="171"/>
      <c r="AQ3" s="171"/>
      <c r="AR3" s="172"/>
    </row>
    <row r="4" spans="2:46" ht="36" x14ac:dyDescent="0.25">
      <c r="B4" s="173" t="s">
        <v>243</v>
      </c>
      <c r="C4" s="174">
        <v>14265.21</v>
      </c>
      <c r="D4" s="174">
        <v>12495.8</v>
      </c>
      <c r="E4" s="174">
        <v>10599.24</v>
      </c>
      <c r="F4" s="174">
        <v>9603.44</v>
      </c>
      <c r="G4" s="174">
        <v>13882.13</v>
      </c>
      <c r="H4" s="133"/>
      <c r="I4" s="166" t="s">
        <v>293</v>
      </c>
      <c r="J4" s="284" t="s">
        <v>295</v>
      </c>
      <c r="K4" s="282"/>
      <c r="L4" s="282"/>
      <c r="M4" s="283"/>
      <c r="N4" s="133"/>
      <c r="O4" s="166" t="s">
        <v>293</v>
      </c>
      <c r="P4" s="284" t="s">
        <v>295</v>
      </c>
      <c r="Q4" s="282"/>
      <c r="R4" s="283"/>
      <c r="T4" s="37">
        <v>2008</v>
      </c>
      <c r="U4" s="37">
        <v>339.7</v>
      </c>
      <c r="V4" s="37">
        <v>393</v>
      </c>
      <c r="W4" s="37">
        <v>25.2</v>
      </c>
      <c r="X4" s="37">
        <v>29.2</v>
      </c>
      <c r="Y4" s="37">
        <v>13394468</v>
      </c>
      <c r="Z4" s="37">
        <v>45221</v>
      </c>
      <c r="AA4" s="37">
        <v>1916537694</v>
      </c>
      <c r="AB4" s="37">
        <v>10374550</v>
      </c>
      <c r="AC4" s="37">
        <v>77.45</v>
      </c>
      <c r="AD4" s="37">
        <v>367.8</v>
      </c>
      <c r="AE4" s="37">
        <v>-310.5</v>
      </c>
      <c r="AI4" s="175" t="s">
        <v>41</v>
      </c>
      <c r="AJ4" s="175" t="s">
        <v>5</v>
      </c>
      <c r="AK4" s="175" t="s">
        <v>279</v>
      </c>
      <c r="AL4" s="175" t="s">
        <v>280</v>
      </c>
      <c r="AM4" s="175" t="s">
        <v>281</v>
      </c>
      <c r="AN4" s="175" t="s">
        <v>282</v>
      </c>
      <c r="AO4" s="175" t="s">
        <v>283</v>
      </c>
      <c r="AP4" s="175" t="s">
        <v>284</v>
      </c>
      <c r="AQ4" s="175" t="s">
        <v>285</v>
      </c>
      <c r="AR4" s="176" t="s">
        <v>286</v>
      </c>
    </row>
    <row r="5" spans="2:46" ht="58.2" x14ac:dyDescent="0.3">
      <c r="B5" s="173" t="s">
        <v>299</v>
      </c>
      <c r="C5" s="177">
        <v>84.41</v>
      </c>
      <c r="D5" s="177">
        <v>135.81</v>
      </c>
      <c r="E5" s="177">
        <v>116.89</v>
      </c>
      <c r="F5" s="177">
        <v>144.31</v>
      </c>
      <c r="G5" s="177">
        <v>153.79</v>
      </c>
      <c r="H5" s="133"/>
      <c r="I5" s="173" t="s">
        <v>298</v>
      </c>
      <c r="J5" s="174">
        <v>13882.13</v>
      </c>
      <c r="K5" s="174">
        <v>13636.1</v>
      </c>
      <c r="L5" s="174">
        <v>16895.54</v>
      </c>
      <c r="M5" s="174">
        <v>15676.87</v>
      </c>
      <c r="N5" s="133"/>
      <c r="O5" s="173" t="s">
        <v>298</v>
      </c>
      <c r="P5" s="174">
        <v>11640.79</v>
      </c>
      <c r="Q5" s="174">
        <v>8800.94</v>
      </c>
      <c r="R5" s="174">
        <v>6684.01</v>
      </c>
      <c r="T5" s="37">
        <v>2009</v>
      </c>
      <c r="U5" s="37">
        <v>28.25</v>
      </c>
      <c r="V5" s="37">
        <v>200.85</v>
      </c>
      <c r="W5" s="37">
        <v>27.55</v>
      </c>
      <c r="X5" s="37">
        <v>193.5</v>
      </c>
      <c r="Y5" s="37">
        <v>37880523</v>
      </c>
      <c r="Z5" s="37">
        <v>178346</v>
      </c>
      <c r="AA5" s="37">
        <v>4582482095</v>
      </c>
      <c r="AB5" s="37">
        <v>21501810</v>
      </c>
      <c r="AC5" s="37">
        <v>56.76</v>
      </c>
      <c r="AD5" s="37">
        <v>173.3</v>
      </c>
      <c r="AE5" s="37">
        <v>165.25</v>
      </c>
      <c r="AI5" s="144">
        <v>532811</v>
      </c>
      <c r="AJ5" s="145" t="s">
        <v>207</v>
      </c>
      <c r="AK5" s="146">
        <v>39339</v>
      </c>
      <c r="AL5" s="145" t="s">
        <v>474</v>
      </c>
      <c r="AM5" s="147" t="s">
        <v>289</v>
      </c>
      <c r="AN5" s="146">
        <v>39346</v>
      </c>
      <c r="AO5" s="146">
        <v>39354</v>
      </c>
      <c r="AP5" s="146">
        <v>39339</v>
      </c>
      <c r="AQ5" s="146">
        <v>39345</v>
      </c>
      <c r="AR5" s="145" t="s">
        <v>475</v>
      </c>
      <c r="AS5" s="37" t="s">
        <v>289</v>
      </c>
      <c r="AT5" s="37">
        <v>0.3</v>
      </c>
    </row>
    <row r="6" spans="2:46" ht="35.4" x14ac:dyDescent="0.3">
      <c r="B6" s="173" t="s">
        <v>301</v>
      </c>
      <c r="C6" s="174">
        <v>14349.62</v>
      </c>
      <c r="D6" s="174">
        <v>12631.61</v>
      </c>
      <c r="E6" s="174">
        <v>10716.13</v>
      </c>
      <c r="F6" s="174">
        <v>9747.75</v>
      </c>
      <c r="G6" s="174">
        <v>14035.92</v>
      </c>
      <c r="H6" s="133"/>
      <c r="I6" s="173" t="s">
        <v>299</v>
      </c>
      <c r="J6" s="177">
        <v>153.79</v>
      </c>
      <c r="K6" s="177">
        <v>109.2</v>
      </c>
      <c r="L6" s="177">
        <v>62.1</v>
      </c>
      <c r="M6" s="177">
        <v>57.47</v>
      </c>
      <c r="N6" s="133"/>
      <c r="O6" s="173" t="s">
        <v>299</v>
      </c>
      <c r="P6" s="177">
        <v>78.77</v>
      </c>
      <c r="Q6" s="177">
        <v>64.81</v>
      </c>
      <c r="R6" s="177">
        <v>53.67</v>
      </c>
      <c r="T6" s="37">
        <v>2010</v>
      </c>
      <c r="U6" s="37">
        <v>194.25</v>
      </c>
      <c r="V6" s="37">
        <v>245.95</v>
      </c>
      <c r="W6" s="37">
        <v>125</v>
      </c>
      <c r="X6" s="37">
        <v>149.05000000000001</v>
      </c>
      <c r="Y6" s="37">
        <v>17170610</v>
      </c>
      <c r="Z6" s="37">
        <v>167414</v>
      </c>
      <c r="AA6" s="37">
        <v>3520332992</v>
      </c>
      <c r="AB6" s="37">
        <v>7252716</v>
      </c>
      <c r="AC6" s="37">
        <v>42.24</v>
      </c>
      <c r="AD6" s="37">
        <v>120.95</v>
      </c>
      <c r="AE6" s="37">
        <v>-45.2</v>
      </c>
      <c r="AI6" s="144">
        <v>532811</v>
      </c>
      <c r="AJ6" s="145" t="s">
        <v>207</v>
      </c>
      <c r="AK6" s="146">
        <v>39708</v>
      </c>
      <c r="AL6" s="145" t="s">
        <v>476</v>
      </c>
      <c r="AM6" s="147" t="s">
        <v>289</v>
      </c>
      <c r="AN6" s="146">
        <v>39710</v>
      </c>
      <c r="AO6" s="146">
        <v>39721</v>
      </c>
      <c r="AP6" s="146">
        <v>39703</v>
      </c>
      <c r="AQ6" s="146">
        <v>39709</v>
      </c>
      <c r="AR6" s="145" t="s">
        <v>454</v>
      </c>
      <c r="AS6" s="37" t="s">
        <v>289</v>
      </c>
      <c r="AT6" s="37">
        <v>0.7</v>
      </c>
    </row>
    <row r="7" spans="2:46" ht="35.4" x14ac:dyDescent="0.3">
      <c r="B7" s="173" t="s">
        <v>303</v>
      </c>
      <c r="C7" s="174">
        <v>-12802.35</v>
      </c>
      <c r="D7" s="174">
        <v>-10887.46</v>
      </c>
      <c r="E7" s="174">
        <v>-9450.7000000000007</v>
      </c>
      <c r="F7" s="174">
        <v>-9045.2199999999993</v>
      </c>
      <c r="G7" s="174">
        <v>-14111.66</v>
      </c>
      <c r="H7" s="133"/>
      <c r="I7" s="173" t="s">
        <v>303</v>
      </c>
      <c r="J7" s="174">
        <v>-14111.66</v>
      </c>
      <c r="K7" s="174">
        <v>-13457.37</v>
      </c>
      <c r="L7" s="174">
        <v>-15386.68</v>
      </c>
      <c r="M7" s="174">
        <v>-13989.02</v>
      </c>
      <c r="N7" s="133"/>
      <c r="O7" s="173" t="s">
        <v>301</v>
      </c>
      <c r="P7" s="174">
        <v>11719.56</v>
      </c>
      <c r="Q7" s="174">
        <v>8865.75</v>
      </c>
      <c r="R7" s="174">
        <v>6737.68</v>
      </c>
      <c r="T7" s="37">
        <v>2011</v>
      </c>
      <c r="U7" s="37">
        <v>150</v>
      </c>
      <c r="V7" s="37">
        <v>156.4</v>
      </c>
      <c r="W7" s="37">
        <v>45.6</v>
      </c>
      <c r="X7" s="37">
        <v>52.5</v>
      </c>
      <c r="Y7" s="37">
        <v>3079868</v>
      </c>
      <c r="Z7" s="37">
        <v>29650</v>
      </c>
      <c r="AA7" s="37">
        <v>368687175</v>
      </c>
      <c r="AB7" s="37">
        <v>2378535</v>
      </c>
      <c r="AC7" s="37">
        <v>77.23</v>
      </c>
      <c r="AD7" s="37">
        <v>110.8</v>
      </c>
      <c r="AE7" s="37">
        <v>-97.5</v>
      </c>
      <c r="AI7" s="144">
        <v>532811</v>
      </c>
      <c r="AJ7" s="145" t="s">
        <v>207</v>
      </c>
      <c r="AK7" s="146">
        <v>40073</v>
      </c>
      <c r="AL7" s="145" t="s">
        <v>476</v>
      </c>
      <c r="AM7" s="147" t="s">
        <v>289</v>
      </c>
      <c r="AN7" s="146">
        <v>40078</v>
      </c>
      <c r="AO7" s="146">
        <v>40086</v>
      </c>
      <c r="AP7" s="146">
        <v>40070</v>
      </c>
      <c r="AQ7" s="146">
        <v>40074</v>
      </c>
      <c r="AR7" s="145" t="s">
        <v>454</v>
      </c>
      <c r="AS7" s="37" t="s">
        <v>289</v>
      </c>
      <c r="AT7" s="37">
        <v>0.7</v>
      </c>
    </row>
    <row r="8" spans="2:46" ht="35.4" x14ac:dyDescent="0.3">
      <c r="B8" s="173" t="s">
        <v>304</v>
      </c>
      <c r="C8" s="177">
        <v>-267.36</v>
      </c>
      <c r="D8" s="177">
        <v>-352.01</v>
      </c>
      <c r="E8" s="177">
        <v>-386.03</v>
      </c>
      <c r="F8" s="177">
        <v>-363</v>
      </c>
      <c r="G8" s="177">
        <v>-333.92</v>
      </c>
      <c r="H8" s="133"/>
      <c r="I8" s="173" t="s">
        <v>304</v>
      </c>
      <c r="J8" s="177">
        <v>-333.92</v>
      </c>
      <c r="K8" s="177">
        <v>-264.37</v>
      </c>
      <c r="L8" s="177">
        <v>-157.74</v>
      </c>
      <c r="M8" s="177">
        <v>-162.65</v>
      </c>
      <c r="N8" s="133"/>
      <c r="O8" s="173" t="s">
        <v>303</v>
      </c>
      <c r="P8" s="174">
        <v>-10230.01</v>
      </c>
      <c r="Q8" s="174">
        <v>-7770.55</v>
      </c>
      <c r="R8" s="174">
        <v>-6016.3</v>
      </c>
      <c r="T8" s="37">
        <v>2012</v>
      </c>
      <c r="U8" s="37">
        <v>52.95</v>
      </c>
      <c r="V8" s="37">
        <v>88</v>
      </c>
      <c r="W8" s="37">
        <v>32</v>
      </c>
      <c r="X8" s="37">
        <v>34.700000000000003</v>
      </c>
      <c r="Y8" s="37">
        <v>801966</v>
      </c>
      <c r="Z8" s="37">
        <v>60180</v>
      </c>
      <c r="AA8" s="37">
        <v>44550877</v>
      </c>
      <c r="AB8" s="37">
        <v>570197</v>
      </c>
      <c r="AC8" s="37">
        <v>71.099999999999994</v>
      </c>
      <c r="AD8" s="37">
        <v>56</v>
      </c>
      <c r="AE8" s="37">
        <v>-18.25</v>
      </c>
      <c r="AI8" s="144">
        <v>532811</v>
      </c>
      <c r="AJ8" s="145" t="s">
        <v>207</v>
      </c>
      <c r="AK8" s="146">
        <v>40429</v>
      </c>
      <c r="AL8" s="145" t="s">
        <v>477</v>
      </c>
      <c r="AM8" s="147" t="s">
        <v>289</v>
      </c>
      <c r="AN8" s="146">
        <v>40431</v>
      </c>
      <c r="AO8" s="146">
        <v>40438</v>
      </c>
      <c r="AP8" s="146">
        <v>40424</v>
      </c>
      <c r="AQ8" s="146">
        <v>40429</v>
      </c>
      <c r="AR8" s="145" t="s">
        <v>454</v>
      </c>
      <c r="AS8" s="37" t="s">
        <v>289</v>
      </c>
      <c r="AT8" s="37">
        <v>0.8</v>
      </c>
    </row>
    <row r="9" spans="2:46" ht="58.2" x14ac:dyDescent="0.3">
      <c r="B9" s="173" t="s">
        <v>431</v>
      </c>
      <c r="C9" s="174">
        <v>1547.27</v>
      </c>
      <c r="D9" s="174">
        <v>1392.14</v>
      </c>
      <c r="E9" s="177">
        <v>879.4</v>
      </c>
      <c r="F9" s="177">
        <v>339.53</v>
      </c>
      <c r="G9" s="177">
        <v>-409.67</v>
      </c>
      <c r="H9" s="133"/>
      <c r="I9" s="173" t="s">
        <v>308</v>
      </c>
      <c r="J9" s="177">
        <v>-409.66</v>
      </c>
      <c r="K9" s="177">
        <v>23.56</v>
      </c>
      <c r="L9" s="174">
        <v>1413.22</v>
      </c>
      <c r="M9" s="174">
        <v>1582.67</v>
      </c>
      <c r="N9" s="133"/>
      <c r="O9" s="173" t="s">
        <v>309</v>
      </c>
      <c r="P9" s="174">
        <v>1489.55</v>
      </c>
      <c r="Q9" s="174">
        <v>1095.2</v>
      </c>
      <c r="R9" s="177">
        <v>721.37</v>
      </c>
      <c r="T9" s="37">
        <v>2013</v>
      </c>
      <c r="U9" s="37">
        <v>34.799999999999997</v>
      </c>
      <c r="V9" s="37">
        <v>43</v>
      </c>
      <c r="W9" s="37">
        <v>15.55</v>
      </c>
      <c r="X9" s="37">
        <v>26.1</v>
      </c>
      <c r="Y9" s="37">
        <v>779311</v>
      </c>
      <c r="Z9" s="37">
        <v>23688</v>
      </c>
      <c r="AA9" s="37">
        <v>21664681</v>
      </c>
      <c r="AB9" s="37">
        <v>626574</v>
      </c>
      <c r="AC9" s="37">
        <v>80.400000000000006</v>
      </c>
      <c r="AD9" s="37">
        <v>27.45</v>
      </c>
      <c r="AE9" s="37">
        <v>-8.6999999999999993</v>
      </c>
      <c r="AI9" s="144">
        <v>532811</v>
      </c>
      <c r="AJ9" s="145" t="s">
        <v>207</v>
      </c>
      <c r="AK9" s="146">
        <v>40801</v>
      </c>
      <c r="AL9" s="145" t="s">
        <v>478</v>
      </c>
      <c r="AM9" s="147" t="s">
        <v>289</v>
      </c>
      <c r="AN9" s="146">
        <v>40805</v>
      </c>
      <c r="AO9" s="146">
        <v>40816</v>
      </c>
      <c r="AP9" s="146">
        <v>40798</v>
      </c>
      <c r="AQ9" s="146">
        <v>40802</v>
      </c>
      <c r="AR9" s="145" t="s">
        <v>454</v>
      </c>
      <c r="AS9" s="37" t="s">
        <v>289</v>
      </c>
      <c r="AT9" s="37">
        <v>0.4</v>
      </c>
    </row>
    <row r="10" spans="2:46" ht="23.4" x14ac:dyDescent="0.25">
      <c r="B10" s="173" t="s">
        <v>312</v>
      </c>
      <c r="C10" s="177">
        <v>-241.34</v>
      </c>
      <c r="D10" s="177">
        <v>-200.59</v>
      </c>
      <c r="E10" s="177">
        <v>-211.75</v>
      </c>
      <c r="F10" s="177">
        <v>-121.55</v>
      </c>
      <c r="G10" s="177">
        <v>-351.96</v>
      </c>
      <c r="H10" s="133"/>
      <c r="I10" s="173" t="s">
        <v>312</v>
      </c>
      <c r="J10" s="177">
        <v>-351.96</v>
      </c>
      <c r="K10" s="177">
        <v>-428.65</v>
      </c>
      <c r="L10" s="177">
        <v>-338.15</v>
      </c>
      <c r="M10" s="177">
        <v>-330.67</v>
      </c>
      <c r="N10" s="133"/>
      <c r="O10" s="173" t="s">
        <v>304</v>
      </c>
      <c r="P10" s="177">
        <v>-145.69</v>
      </c>
      <c r="Q10" s="177">
        <v>-85.76</v>
      </c>
      <c r="R10" s="177">
        <v>-39.869999999999997</v>
      </c>
      <c r="T10" s="37">
        <v>2014</v>
      </c>
      <c r="U10" s="37">
        <v>26.4</v>
      </c>
      <c r="V10" s="37">
        <v>237.4</v>
      </c>
      <c r="W10" s="37">
        <v>21.15</v>
      </c>
      <c r="X10" s="37">
        <v>224.4</v>
      </c>
      <c r="Y10" s="37">
        <v>16994925</v>
      </c>
      <c r="Z10" s="37">
        <v>291737</v>
      </c>
      <c r="AA10" s="37">
        <v>2404996575</v>
      </c>
      <c r="AB10" s="37">
        <v>9401585</v>
      </c>
      <c r="AC10" s="37">
        <v>55.32</v>
      </c>
      <c r="AD10" s="37">
        <v>216.25</v>
      </c>
      <c r="AE10" s="37">
        <v>198</v>
      </c>
      <c r="AT10" s="37">
        <f>SUM(AT5:AT9)</f>
        <v>2.9</v>
      </c>
    </row>
    <row r="11" spans="2:46" ht="57.6" x14ac:dyDescent="0.25">
      <c r="B11" s="173" t="s">
        <v>432</v>
      </c>
      <c r="C11" s="174">
        <v>1305.93</v>
      </c>
      <c r="D11" s="174">
        <v>1191.55</v>
      </c>
      <c r="E11" s="177">
        <v>667.65</v>
      </c>
      <c r="F11" s="177">
        <v>217.98</v>
      </c>
      <c r="G11" s="177">
        <v>-761.63</v>
      </c>
      <c r="H11" s="133"/>
      <c r="I11" s="173" t="s">
        <v>315</v>
      </c>
      <c r="J11" s="177">
        <v>-761.63</v>
      </c>
      <c r="K11" s="177">
        <v>-405.08</v>
      </c>
      <c r="L11" s="174">
        <v>1075.08</v>
      </c>
      <c r="M11" s="174">
        <v>1252</v>
      </c>
      <c r="N11" s="133"/>
      <c r="O11" s="173" t="s">
        <v>308</v>
      </c>
      <c r="P11" s="174">
        <v>1343.86</v>
      </c>
      <c r="Q11" s="174">
        <v>1009.44</v>
      </c>
      <c r="R11" s="177">
        <v>681.51</v>
      </c>
      <c r="T11" s="37">
        <v>2015</v>
      </c>
      <c r="U11" s="37">
        <v>223.55</v>
      </c>
      <c r="V11" s="37">
        <v>300</v>
      </c>
      <c r="W11" s="37">
        <v>189.2</v>
      </c>
      <c r="X11" s="37">
        <v>279.3</v>
      </c>
      <c r="Y11" s="37">
        <v>9735788</v>
      </c>
      <c r="Z11" s="37">
        <v>228346</v>
      </c>
      <c r="AA11" s="37">
        <v>2354553201</v>
      </c>
      <c r="AB11" s="37">
        <v>6390129</v>
      </c>
      <c r="AC11" s="37">
        <v>65.64</v>
      </c>
      <c r="AD11" s="37">
        <v>110.8</v>
      </c>
      <c r="AE11" s="37">
        <v>55.75</v>
      </c>
    </row>
    <row r="12" spans="2:46" ht="23.4" x14ac:dyDescent="0.25">
      <c r="B12" s="173" t="s">
        <v>318</v>
      </c>
      <c r="C12" s="177">
        <v>-445.9</v>
      </c>
      <c r="D12" s="177">
        <v>-347.44</v>
      </c>
      <c r="E12" s="177">
        <v>-26.27</v>
      </c>
      <c r="F12" s="177">
        <v>-0.5</v>
      </c>
      <c r="G12" s="177">
        <v>-0.6</v>
      </c>
      <c r="H12" s="133"/>
      <c r="I12" s="173" t="s">
        <v>318</v>
      </c>
      <c r="J12" s="177">
        <v>-0.6</v>
      </c>
      <c r="K12" s="177">
        <v>-1.23</v>
      </c>
      <c r="L12" s="177">
        <v>-367.22</v>
      </c>
      <c r="M12" s="177">
        <v>-434.16</v>
      </c>
      <c r="N12" s="133"/>
      <c r="O12" s="173" t="s">
        <v>312</v>
      </c>
      <c r="P12" s="177">
        <v>-464.2</v>
      </c>
      <c r="Q12" s="177">
        <v>-228.02</v>
      </c>
      <c r="R12" s="177">
        <v>-198.66</v>
      </c>
      <c r="T12" s="37">
        <v>2016</v>
      </c>
      <c r="U12" s="37">
        <v>276.89999999999998</v>
      </c>
      <c r="V12" s="37">
        <v>336.2</v>
      </c>
      <c r="W12" s="37">
        <v>210</v>
      </c>
      <c r="X12" s="37">
        <v>258</v>
      </c>
      <c r="Y12" s="37">
        <v>3045379</v>
      </c>
      <c r="Z12" s="37">
        <v>25172</v>
      </c>
      <c r="AA12" s="37">
        <v>829924942</v>
      </c>
      <c r="AB12" s="37">
        <v>2343793</v>
      </c>
      <c r="AC12" s="37">
        <v>76.959999999999994</v>
      </c>
      <c r="AD12" s="37">
        <v>126.2</v>
      </c>
      <c r="AE12" s="37">
        <v>-18.899999999999999</v>
      </c>
    </row>
    <row r="13" spans="2:46" ht="23.4" x14ac:dyDescent="0.25">
      <c r="B13" s="173" t="s">
        <v>320</v>
      </c>
      <c r="C13" s="177">
        <v>860.03</v>
      </c>
      <c r="D13" s="177">
        <v>844.11</v>
      </c>
      <c r="E13" s="177">
        <v>641.38</v>
      </c>
      <c r="F13" s="177">
        <v>217.48</v>
      </c>
      <c r="G13" s="177">
        <v>-762.23</v>
      </c>
      <c r="H13" s="133"/>
      <c r="I13" s="173" t="s">
        <v>320</v>
      </c>
      <c r="J13" s="177">
        <v>-762.23</v>
      </c>
      <c r="K13" s="177">
        <v>-406.32</v>
      </c>
      <c r="L13" s="177">
        <v>707.86</v>
      </c>
      <c r="M13" s="177">
        <v>817.83</v>
      </c>
      <c r="N13" s="133"/>
      <c r="O13" s="173" t="s">
        <v>315</v>
      </c>
      <c r="P13" s="177">
        <v>879.66</v>
      </c>
      <c r="Q13" s="177">
        <v>781.42</v>
      </c>
      <c r="R13" s="177">
        <v>482.84</v>
      </c>
      <c r="T13" s="37">
        <v>2017</v>
      </c>
      <c r="U13" s="37">
        <v>258</v>
      </c>
      <c r="V13" s="37">
        <v>425.7</v>
      </c>
      <c r="W13" s="37">
        <v>236</v>
      </c>
      <c r="X13" s="37">
        <v>390.05</v>
      </c>
      <c r="Y13" s="37">
        <v>1916907</v>
      </c>
      <c r="Z13" s="37">
        <v>44915</v>
      </c>
      <c r="AA13" s="37">
        <v>610738256</v>
      </c>
      <c r="AB13" s="37">
        <v>1035099</v>
      </c>
      <c r="AC13" s="37">
        <v>54</v>
      </c>
      <c r="AD13" s="37">
        <v>189.7</v>
      </c>
      <c r="AE13" s="37">
        <v>132.05000000000001</v>
      </c>
    </row>
    <row r="14" spans="2:46" ht="23.4" x14ac:dyDescent="0.25">
      <c r="B14" s="173" t="s">
        <v>244</v>
      </c>
      <c r="C14" s="177" t="s">
        <v>442</v>
      </c>
      <c r="D14" s="177">
        <v>133.97999999999999</v>
      </c>
      <c r="E14" s="177">
        <v>133.97999999999999</v>
      </c>
      <c r="F14" s="177">
        <v>125.53</v>
      </c>
      <c r="G14" s="177">
        <v>125.53</v>
      </c>
      <c r="H14" s="133"/>
      <c r="I14" s="173" t="s">
        <v>323</v>
      </c>
      <c r="J14" s="177">
        <v>125.53</v>
      </c>
      <c r="K14" s="177">
        <v>125.53</v>
      </c>
      <c r="L14" s="177">
        <v>125.53</v>
      </c>
      <c r="M14" s="177">
        <v>125.53</v>
      </c>
      <c r="N14" s="133"/>
      <c r="O14" s="173" t="s">
        <v>318</v>
      </c>
      <c r="P14" s="177">
        <v>-302.49</v>
      </c>
      <c r="Q14" s="177">
        <v>-265.07</v>
      </c>
      <c r="R14" s="177">
        <v>-169.01</v>
      </c>
      <c r="T14" s="37">
        <v>2018</v>
      </c>
      <c r="U14" s="37">
        <v>399</v>
      </c>
      <c r="V14" s="37">
        <v>445</v>
      </c>
      <c r="W14" s="37">
        <v>309</v>
      </c>
      <c r="X14" s="37">
        <v>397.75</v>
      </c>
      <c r="Y14" s="37">
        <v>969093</v>
      </c>
      <c r="Z14" s="37">
        <v>9802</v>
      </c>
      <c r="AA14" s="37">
        <v>384201378</v>
      </c>
      <c r="AB14" s="37">
        <v>814804</v>
      </c>
      <c r="AC14" s="37">
        <v>84.08</v>
      </c>
      <c r="AD14" s="37">
        <v>136</v>
      </c>
      <c r="AE14" s="37">
        <v>-1.25</v>
      </c>
    </row>
    <row r="15" spans="2:46" ht="46.2" x14ac:dyDescent="0.25">
      <c r="B15" s="173" t="s">
        <v>249</v>
      </c>
      <c r="C15" s="177">
        <v>12.84</v>
      </c>
      <c r="D15" s="177">
        <v>12.6</v>
      </c>
      <c r="E15" s="177">
        <v>10</v>
      </c>
      <c r="F15" s="177">
        <v>3.47</v>
      </c>
      <c r="G15" s="177">
        <v>-12.14</v>
      </c>
      <c r="H15" s="133"/>
      <c r="I15" s="173" t="s">
        <v>325</v>
      </c>
      <c r="J15" s="174">
        <v>1911.65</v>
      </c>
      <c r="K15" s="174">
        <v>2673.88</v>
      </c>
      <c r="L15" s="174">
        <v>3080.19</v>
      </c>
      <c r="M15" s="174">
        <v>2401.31</v>
      </c>
      <c r="N15" s="133"/>
      <c r="O15" s="173" t="s">
        <v>479</v>
      </c>
      <c r="P15" s="177">
        <v>0</v>
      </c>
      <c r="Q15" s="177">
        <v>0</v>
      </c>
      <c r="R15" s="177">
        <v>0.09</v>
      </c>
    </row>
    <row r="16" spans="2:46" ht="46.2" x14ac:dyDescent="0.25">
      <c r="B16" s="173" t="s">
        <v>433</v>
      </c>
      <c r="C16" s="177" t="s">
        <v>442</v>
      </c>
      <c r="D16" s="177">
        <v>15.59</v>
      </c>
      <c r="E16" s="177">
        <v>12.74</v>
      </c>
      <c r="F16" s="177">
        <v>5.4</v>
      </c>
      <c r="G16" s="177">
        <v>-6.54</v>
      </c>
      <c r="H16" s="133"/>
      <c r="I16" s="173" t="s">
        <v>330</v>
      </c>
      <c r="J16" s="177">
        <v>-12.14</v>
      </c>
      <c r="K16" s="177">
        <v>-6.47</v>
      </c>
      <c r="L16" s="177" t="s">
        <v>289</v>
      </c>
      <c r="M16" s="177" t="s">
        <v>289</v>
      </c>
      <c r="N16" s="133"/>
      <c r="O16" s="173" t="s">
        <v>320</v>
      </c>
      <c r="P16" s="177">
        <v>577.16999999999996</v>
      </c>
      <c r="Q16" s="177">
        <v>516.35</v>
      </c>
      <c r="R16" s="177">
        <v>313.92</v>
      </c>
      <c r="V16" s="37">
        <f>(100*AT10)/U3</f>
        <v>2.8571428571428572</v>
      </c>
    </row>
    <row r="17" spans="2:18" ht="46.2" x14ac:dyDescent="0.25">
      <c r="B17" s="173" t="s">
        <v>434</v>
      </c>
      <c r="C17" s="177">
        <v>10.85</v>
      </c>
      <c r="D17" s="177">
        <v>13.96</v>
      </c>
      <c r="E17" s="177">
        <v>11.94</v>
      </c>
      <c r="F17" s="177">
        <v>7.32</v>
      </c>
      <c r="G17" s="177">
        <v>-0.55000000000000004</v>
      </c>
      <c r="H17" s="133"/>
      <c r="I17" s="173" t="s">
        <v>332</v>
      </c>
      <c r="J17" s="177">
        <v>-12.14</v>
      </c>
      <c r="K17" s="177">
        <v>-6.47</v>
      </c>
      <c r="L17" s="177" t="s">
        <v>289</v>
      </c>
      <c r="M17" s="177" t="s">
        <v>289</v>
      </c>
      <c r="N17" s="133"/>
      <c r="O17" s="173" t="s">
        <v>323</v>
      </c>
      <c r="P17" s="177">
        <v>125.53</v>
      </c>
      <c r="Q17" s="177">
        <v>125.53</v>
      </c>
      <c r="R17" s="177">
        <v>125.53</v>
      </c>
    </row>
    <row r="18" spans="2:18" ht="34.799999999999997" x14ac:dyDescent="0.25">
      <c r="B18" s="173" t="s">
        <v>435</v>
      </c>
      <c r="C18" s="177">
        <v>6.03</v>
      </c>
      <c r="D18" s="177">
        <v>6.76</v>
      </c>
      <c r="E18" s="177">
        <v>6.05</v>
      </c>
      <c r="F18" s="177">
        <v>2.2599999999999998</v>
      </c>
      <c r="G18" s="177">
        <v>-5.49</v>
      </c>
      <c r="H18" s="133"/>
      <c r="I18" s="173" t="s">
        <v>334</v>
      </c>
      <c r="J18" s="177" t="s">
        <v>480</v>
      </c>
      <c r="K18" s="177" t="s">
        <v>480</v>
      </c>
      <c r="L18" s="177" t="s">
        <v>480</v>
      </c>
      <c r="M18" s="177" t="s">
        <v>481</v>
      </c>
      <c r="N18" s="133"/>
      <c r="O18" s="173" t="s">
        <v>325</v>
      </c>
      <c r="P18" s="174">
        <v>1642.22</v>
      </c>
      <c r="Q18" s="174">
        <v>1116.46</v>
      </c>
      <c r="R18" s="177">
        <v>0</v>
      </c>
    </row>
    <row r="19" spans="2:18" ht="58.2" x14ac:dyDescent="0.3">
      <c r="B19" s="150"/>
      <c r="C19" s="178" t="s">
        <v>437</v>
      </c>
      <c r="D19" s="178" t="s">
        <v>437</v>
      </c>
      <c r="E19" s="178" t="s">
        <v>437</v>
      </c>
      <c r="F19" s="178" t="s">
        <v>437</v>
      </c>
      <c r="G19" s="178" t="s">
        <v>437</v>
      </c>
      <c r="I19" s="150" t="s">
        <v>345</v>
      </c>
      <c r="J19" s="152">
        <v>27.39</v>
      </c>
      <c r="K19" s="152">
        <v>27.39</v>
      </c>
      <c r="L19" s="152">
        <v>27.39</v>
      </c>
      <c r="M19" s="152">
        <v>26.76</v>
      </c>
      <c r="O19" s="150" t="s">
        <v>329</v>
      </c>
      <c r="P19" s="152">
        <v>9.1999999999999993</v>
      </c>
      <c r="Q19" s="152">
        <v>8.23</v>
      </c>
      <c r="R19" s="152">
        <v>25.01</v>
      </c>
    </row>
    <row r="20" spans="2:18" ht="34.799999999999997" x14ac:dyDescent="0.25">
      <c r="B20" s="150"/>
      <c r="I20" s="150" t="s">
        <v>351</v>
      </c>
      <c r="J20" s="152">
        <v>-0.55000000000000004</v>
      </c>
      <c r="K20" s="152">
        <v>2.11</v>
      </c>
      <c r="L20" s="152">
        <v>9.3000000000000007</v>
      </c>
      <c r="M20" s="152">
        <v>11.13</v>
      </c>
      <c r="O20" s="150" t="s">
        <v>334</v>
      </c>
      <c r="P20" s="152" t="s">
        <v>482</v>
      </c>
      <c r="Q20" s="152" t="s">
        <v>483</v>
      </c>
      <c r="R20" s="152" t="s">
        <v>484</v>
      </c>
    </row>
    <row r="21" spans="2:18" ht="15.75" customHeight="1" x14ac:dyDescent="0.25">
      <c r="I21" s="150" t="s">
        <v>355</v>
      </c>
      <c r="J21" s="152">
        <v>-5.49</v>
      </c>
      <c r="K21" s="152">
        <v>-2.98</v>
      </c>
      <c r="L21" s="152">
        <v>4.1900000000000004</v>
      </c>
      <c r="M21" s="152">
        <v>5.22</v>
      </c>
      <c r="O21" s="150" t="s">
        <v>345</v>
      </c>
      <c r="P21" s="152">
        <v>25.47</v>
      </c>
      <c r="Q21" s="152">
        <v>25.93</v>
      </c>
      <c r="R21" s="152">
        <v>25.93</v>
      </c>
    </row>
    <row r="22" spans="2:18" ht="15.75" customHeight="1" x14ac:dyDescent="0.25">
      <c r="I22" s="150" t="s">
        <v>360</v>
      </c>
      <c r="J22" s="152">
        <v>-6.54</v>
      </c>
      <c r="K22" s="152">
        <v>0.36</v>
      </c>
      <c r="L22" s="152">
        <v>16.670000000000002</v>
      </c>
      <c r="M22" s="152">
        <v>18.3</v>
      </c>
      <c r="O22" s="150" t="s">
        <v>351</v>
      </c>
      <c r="P22" s="152">
        <v>12.8</v>
      </c>
      <c r="Q22" s="152">
        <v>12.44</v>
      </c>
      <c r="R22" s="152">
        <v>10.79</v>
      </c>
    </row>
    <row r="23" spans="2:18" ht="15.75" customHeight="1" x14ac:dyDescent="0.3">
      <c r="I23" s="150" t="s">
        <v>361</v>
      </c>
      <c r="J23" s="154" t="s">
        <v>361</v>
      </c>
      <c r="K23" s="154" t="s">
        <v>361</v>
      </c>
      <c r="L23" s="154" t="s">
        <v>361</v>
      </c>
      <c r="M23" s="154" t="s">
        <v>361</v>
      </c>
      <c r="O23" s="150" t="s">
        <v>355</v>
      </c>
      <c r="P23" s="152">
        <v>4.96</v>
      </c>
      <c r="Q23" s="152">
        <v>5.87</v>
      </c>
      <c r="R23" s="152">
        <v>4.7</v>
      </c>
    </row>
    <row r="24" spans="2:18" ht="15.75" customHeight="1" x14ac:dyDescent="0.25">
      <c r="O24" s="150" t="s">
        <v>360</v>
      </c>
      <c r="P24" s="152">
        <v>16.59</v>
      </c>
      <c r="Q24" s="152">
        <v>11.86</v>
      </c>
      <c r="R24" s="152" t="s">
        <v>289</v>
      </c>
    </row>
    <row r="25" spans="2:18" ht="15.75" customHeight="1" x14ac:dyDescent="0.3">
      <c r="O25" s="150" t="s">
        <v>361</v>
      </c>
      <c r="P25" s="154" t="s">
        <v>361</v>
      </c>
      <c r="Q25" s="154" t="s">
        <v>361</v>
      </c>
      <c r="R25" s="154" t="s">
        <v>361</v>
      </c>
    </row>
    <row r="26" spans="2:18" ht="15.75" customHeight="1" x14ac:dyDescent="0.25"/>
    <row r="27" spans="2:18" ht="15.75" customHeight="1" x14ac:dyDescent="0.25"/>
    <row r="28" spans="2:18" ht="15.75" customHeight="1" x14ac:dyDescent="0.25"/>
    <row r="29" spans="2:18" ht="15.75" customHeight="1" x14ac:dyDescent="0.25"/>
    <row r="30" spans="2:18" ht="15.75" customHeight="1" x14ac:dyDescent="0.25"/>
    <row r="31" spans="2:18" ht="15.75" customHeight="1" x14ac:dyDescent="0.25"/>
    <row r="32" spans="2:1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B3:H3"/>
    <mergeCell ref="J4:M4"/>
    <mergeCell ref="P4:R4"/>
  </mergeCells>
  <hyperlinks>
    <hyperlink ref="AI5" r:id="rId1" display="https://www.bseindia.com/corporates/ScripWiseCorpAction.aspx?scrip_cd=532811" xr:uid="{00000000-0004-0000-0A00-000000000000}"/>
    <hyperlink ref="AI6" r:id="rId2" display="https://www.bseindia.com/corporates/ScripWiseCorpAction.aspx?scrip_cd=532811" xr:uid="{00000000-0004-0000-0A00-000001000000}"/>
    <hyperlink ref="AI7" r:id="rId3" display="https://www.bseindia.com/corporates/ScripWiseCorpAction.aspx?scrip_cd=532811" xr:uid="{00000000-0004-0000-0A00-000002000000}"/>
    <hyperlink ref="AI8" r:id="rId4" display="https://www.bseindia.com/corporates/ScripWiseCorpAction.aspx?scrip_cd=532811" xr:uid="{00000000-0004-0000-0A00-000003000000}"/>
    <hyperlink ref="AI9" r:id="rId5" display="https://www.bseindia.com/corporates/ScripWiseCorpAction.aspx?scrip_cd=532811" xr:uid="{00000000-0004-0000-0A00-000004000000}"/>
    <hyperlink ref="C19" r:id="rId6" xr:uid="{00000000-0004-0000-0A00-000005000000}"/>
    <hyperlink ref="D19" r:id="rId7" xr:uid="{00000000-0004-0000-0A00-000006000000}"/>
    <hyperlink ref="E19" r:id="rId8" xr:uid="{00000000-0004-0000-0A00-000007000000}"/>
    <hyperlink ref="F19" r:id="rId9" xr:uid="{00000000-0004-0000-0A00-000008000000}"/>
    <hyperlink ref="G19" r:id="rId10" xr:uid="{00000000-0004-0000-0A00-000009000000}"/>
  </hyperlink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G1000"/>
  <sheetViews>
    <sheetView workbookViewId="0"/>
  </sheetViews>
  <sheetFormatPr defaultColWidth="12.59765625" defaultRowHeight="15" customHeight="1" x14ac:dyDescent="0.25"/>
  <cols>
    <col min="1" max="33" width="7.59765625" customWidth="1"/>
  </cols>
  <sheetData>
    <row r="2" spans="2:33" ht="24" x14ac:dyDescent="0.25">
      <c r="B2" s="142" t="s">
        <v>287</v>
      </c>
      <c r="C2" s="143">
        <v>42826</v>
      </c>
      <c r="D2" s="142" t="s">
        <v>287</v>
      </c>
      <c r="E2" s="143">
        <v>42461</v>
      </c>
      <c r="F2" s="142" t="s">
        <v>287</v>
      </c>
      <c r="G2" s="143">
        <v>42095</v>
      </c>
      <c r="H2" s="142" t="s">
        <v>288</v>
      </c>
      <c r="I2" s="143">
        <v>42094</v>
      </c>
      <c r="J2" s="143">
        <v>41729</v>
      </c>
      <c r="K2" s="143">
        <v>41364</v>
      </c>
      <c r="L2" s="143">
        <v>40999</v>
      </c>
      <c r="M2" s="142" t="s">
        <v>428</v>
      </c>
      <c r="N2" s="143">
        <v>40633</v>
      </c>
      <c r="Q2" s="37" t="s">
        <v>266</v>
      </c>
      <c r="R2" s="37" t="s">
        <v>267</v>
      </c>
      <c r="S2" s="37" t="s">
        <v>268</v>
      </c>
      <c r="T2" s="37" t="s">
        <v>269</v>
      </c>
      <c r="U2" s="37" t="s">
        <v>270</v>
      </c>
      <c r="V2" s="37" t="s">
        <v>271</v>
      </c>
      <c r="W2" s="37" t="s">
        <v>272</v>
      </c>
      <c r="X2" s="37" t="s">
        <v>273</v>
      </c>
      <c r="Y2" s="37" t="s">
        <v>274</v>
      </c>
      <c r="Z2" s="37" t="s">
        <v>275</v>
      </c>
      <c r="AA2" s="37" t="s">
        <v>276</v>
      </c>
      <c r="AB2" s="37" t="s">
        <v>277</v>
      </c>
      <c r="AC2" s="37" t="s">
        <v>278</v>
      </c>
      <c r="AF2" s="179" t="s">
        <v>485</v>
      </c>
      <c r="AG2" s="179" t="s">
        <v>486</v>
      </c>
    </row>
    <row r="3" spans="2:33" ht="24" x14ac:dyDescent="0.25">
      <c r="B3" s="142" t="s">
        <v>291</v>
      </c>
      <c r="C3" s="143">
        <v>43190</v>
      </c>
      <c r="D3" s="142" t="s">
        <v>291</v>
      </c>
      <c r="E3" s="143">
        <v>42825</v>
      </c>
      <c r="F3" s="142" t="s">
        <v>291</v>
      </c>
      <c r="G3" s="143">
        <v>42460</v>
      </c>
      <c r="H3" s="142" t="s">
        <v>292</v>
      </c>
      <c r="I3" s="148">
        <v>12</v>
      </c>
      <c r="J3" s="148">
        <v>12</v>
      </c>
      <c r="K3" s="148">
        <v>12</v>
      </c>
      <c r="L3" s="148">
        <v>12</v>
      </c>
      <c r="M3" s="142" t="s">
        <v>292</v>
      </c>
      <c r="N3" s="148">
        <v>12</v>
      </c>
      <c r="Q3" s="37">
        <v>2010</v>
      </c>
      <c r="R3" s="37">
        <v>190</v>
      </c>
      <c r="S3" s="37">
        <v>232</v>
      </c>
      <c r="T3" s="37">
        <v>140.05000000000001</v>
      </c>
      <c r="U3" s="37">
        <v>170.35</v>
      </c>
      <c r="V3" s="37">
        <v>24184006</v>
      </c>
      <c r="W3" s="37">
        <v>251965</v>
      </c>
      <c r="X3" s="37">
        <v>4789371310</v>
      </c>
      <c r="Y3" s="37">
        <v>6732027</v>
      </c>
      <c r="Z3" s="37">
        <v>27.84</v>
      </c>
      <c r="AA3" s="37">
        <v>91.95</v>
      </c>
      <c r="AB3" s="37">
        <v>-19.649999999999999</v>
      </c>
      <c r="AF3" s="180">
        <v>42997</v>
      </c>
      <c r="AG3" s="181">
        <v>1.2</v>
      </c>
    </row>
    <row r="4" spans="2:33" ht="36" x14ac:dyDescent="0.25">
      <c r="B4" s="149" t="s">
        <v>293</v>
      </c>
      <c r="C4" s="149" t="s">
        <v>295</v>
      </c>
      <c r="D4" s="149" t="s">
        <v>293</v>
      </c>
      <c r="E4" s="149" t="s">
        <v>295</v>
      </c>
      <c r="F4" s="149" t="s">
        <v>293</v>
      </c>
      <c r="G4" s="149" t="s">
        <v>295</v>
      </c>
      <c r="H4" s="149" t="s">
        <v>293</v>
      </c>
      <c r="I4" s="275" t="s">
        <v>295</v>
      </c>
      <c r="J4" s="276"/>
      <c r="K4" s="276"/>
      <c r="L4" s="277"/>
      <c r="M4" s="149" t="s">
        <v>293</v>
      </c>
      <c r="N4" s="149" t="s">
        <v>295</v>
      </c>
      <c r="Q4" s="37">
        <v>2011</v>
      </c>
      <c r="R4" s="37">
        <v>176</v>
      </c>
      <c r="S4" s="37">
        <v>190</v>
      </c>
      <c r="T4" s="37">
        <v>57.55</v>
      </c>
      <c r="U4" s="37">
        <v>70.75</v>
      </c>
      <c r="V4" s="37">
        <v>12295734</v>
      </c>
      <c r="W4" s="37">
        <v>128138</v>
      </c>
      <c r="X4" s="37">
        <v>1477396164</v>
      </c>
      <c r="Y4" s="37">
        <v>7472355</v>
      </c>
      <c r="Z4" s="37">
        <v>60.77</v>
      </c>
      <c r="AA4" s="37">
        <v>132.44999999999999</v>
      </c>
      <c r="AB4" s="37">
        <v>-105.25</v>
      </c>
      <c r="AF4" s="180">
        <v>42459</v>
      </c>
      <c r="AG4" s="181">
        <v>1.2</v>
      </c>
    </row>
    <row r="5" spans="2:33" ht="57.6" x14ac:dyDescent="0.25">
      <c r="B5" s="150" t="s">
        <v>297</v>
      </c>
      <c r="C5" s="151">
        <v>54986</v>
      </c>
      <c r="D5" s="150" t="s">
        <v>297</v>
      </c>
      <c r="E5" s="151">
        <v>47744.5</v>
      </c>
      <c r="F5" s="150" t="s">
        <v>297</v>
      </c>
      <c r="G5" s="151">
        <v>46343.5</v>
      </c>
      <c r="H5" s="150" t="s">
        <v>298</v>
      </c>
      <c r="I5" s="151">
        <v>23743.4</v>
      </c>
      <c r="J5" s="151">
        <v>20051.900000000001</v>
      </c>
      <c r="K5" s="151">
        <v>15123.7</v>
      </c>
      <c r="L5" s="151">
        <v>7454.7</v>
      </c>
      <c r="M5" s="150" t="s">
        <v>298</v>
      </c>
      <c r="N5" s="151">
        <v>13850</v>
      </c>
      <c r="Q5" s="37">
        <v>2012</v>
      </c>
      <c r="R5" s="37">
        <v>72.5</v>
      </c>
      <c r="S5" s="37">
        <v>191.7</v>
      </c>
      <c r="T5" s="37">
        <v>67.650000000000006</v>
      </c>
      <c r="U5" s="37">
        <v>179.15</v>
      </c>
      <c r="V5" s="37">
        <v>13590684</v>
      </c>
      <c r="W5" s="37">
        <v>189950</v>
      </c>
      <c r="X5" s="37">
        <v>1735969821</v>
      </c>
      <c r="Y5" s="37">
        <v>8901592</v>
      </c>
      <c r="Z5" s="37">
        <v>65.5</v>
      </c>
      <c r="AA5" s="37">
        <v>124.05</v>
      </c>
      <c r="AB5" s="37">
        <v>106.65</v>
      </c>
      <c r="AF5" s="180">
        <v>42270</v>
      </c>
      <c r="AG5" s="181">
        <v>1.5</v>
      </c>
    </row>
    <row r="6" spans="2:33" ht="46.2" x14ac:dyDescent="0.25">
      <c r="B6" s="150" t="s">
        <v>299</v>
      </c>
      <c r="C6" s="152">
        <v>679</v>
      </c>
      <c r="D6" s="150" t="s">
        <v>398</v>
      </c>
      <c r="E6" s="151">
        <v>47744.5</v>
      </c>
      <c r="F6" s="150" t="s">
        <v>302</v>
      </c>
      <c r="G6" s="152">
        <v>646</v>
      </c>
      <c r="H6" s="150" t="s">
        <v>299</v>
      </c>
      <c r="I6" s="151">
        <v>1986.9</v>
      </c>
      <c r="J6" s="151">
        <v>1472.6</v>
      </c>
      <c r="K6" s="152">
        <v>939.3</v>
      </c>
      <c r="L6" s="152">
        <v>537.6</v>
      </c>
      <c r="M6" s="150" t="s">
        <v>299</v>
      </c>
      <c r="N6" s="152">
        <v>764.8</v>
      </c>
      <c r="Q6" s="37">
        <v>2013</v>
      </c>
      <c r="R6" s="37">
        <v>180.8</v>
      </c>
      <c r="S6" s="37">
        <v>194.9</v>
      </c>
      <c r="T6" s="37">
        <v>105.1</v>
      </c>
      <c r="U6" s="37">
        <v>162.30000000000001</v>
      </c>
      <c r="V6" s="37">
        <v>9919120</v>
      </c>
      <c r="W6" s="37">
        <v>142479</v>
      </c>
      <c r="X6" s="37">
        <v>1474041356</v>
      </c>
      <c r="Y6" s="37">
        <v>7667510</v>
      </c>
      <c r="Z6" s="37">
        <v>77.3</v>
      </c>
      <c r="AA6" s="37">
        <v>89.8</v>
      </c>
      <c r="AB6" s="37">
        <v>-18.5</v>
      </c>
      <c r="AF6" s="180">
        <v>41900</v>
      </c>
      <c r="AG6" s="181">
        <v>1.5</v>
      </c>
    </row>
    <row r="7" spans="2:33" ht="57.6" x14ac:dyDescent="0.25">
      <c r="B7" s="150" t="s">
        <v>301</v>
      </c>
      <c r="C7" s="151">
        <v>55665</v>
      </c>
      <c r="D7" s="150" t="s">
        <v>299</v>
      </c>
      <c r="E7" s="152">
        <v>872.4</v>
      </c>
      <c r="F7" s="150" t="s">
        <v>487</v>
      </c>
      <c r="G7" s="151">
        <v>45697.5</v>
      </c>
      <c r="H7" s="150" t="s">
        <v>303</v>
      </c>
      <c r="I7" s="151">
        <v>-17520.2</v>
      </c>
      <c r="J7" s="151">
        <v>-15026.4</v>
      </c>
      <c r="K7" s="151">
        <v>-10950.2</v>
      </c>
      <c r="L7" s="151">
        <v>-5085.8</v>
      </c>
      <c r="M7" s="150" t="s">
        <v>303</v>
      </c>
      <c r="N7" s="151">
        <v>-10612.1</v>
      </c>
      <c r="Q7" s="37">
        <v>2014</v>
      </c>
      <c r="R7" s="37">
        <v>163</v>
      </c>
      <c r="S7" s="37">
        <v>270</v>
      </c>
      <c r="T7" s="37">
        <v>131.35</v>
      </c>
      <c r="U7" s="37">
        <v>239.25</v>
      </c>
      <c r="V7" s="37">
        <v>5959748</v>
      </c>
      <c r="W7" s="37">
        <v>294747</v>
      </c>
      <c r="X7" s="37">
        <v>1303380795</v>
      </c>
      <c r="Y7" s="37">
        <v>2511735</v>
      </c>
      <c r="Z7" s="37">
        <v>42.14</v>
      </c>
      <c r="AA7" s="37">
        <v>138.65</v>
      </c>
      <c r="AB7" s="37">
        <v>76.25</v>
      </c>
      <c r="AF7" s="180">
        <v>41515</v>
      </c>
      <c r="AG7" s="181">
        <v>1.2</v>
      </c>
    </row>
    <row r="8" spans="2:33" ht="24" x14ac:dyDescent="0.25">
      <c r="B8" s="153" t="s">
        <v>303</v>
      </c>
      <c r="C8" s="151">
        <v>-49420</v>
      </c>
      <c r="D8" s="150" t="s">
        <v>301</v>
      </c>
      <c r="E8" s="151">
        <v>48616.9</v>
      </c>
      <c r="F8" s="150" t="s">
        <v>299</v>
      </c>
      <c r="G8" s="152">
        <v>837.7</v>
      </c>
      <c r="H8" s="150" t="s">
        <v>304</v>
      </c>
      <c r="I8" s="151">
        <v>-1882.8</v>
      </c>
      <c r="J8" s="151">
        <v>-1260.5</v>
      </c>
      <c r="K8" s="152">
        <v>-897.2</v>
      </c>
      <c r="L8" s="152">
        <v>-765.1</v>
      </c>
      <c r="M8" s="150" t="s">
        <v>304</v>
      </c>
      <c r="N8" s="152">
        <v>-787.2</v>
      </c>
      <c r="Q8" s="37">
        <v>2015</v>
      </c>
      <c r="R8" s="37">
        <v>241.05</v>
      </c>
      <c r="S8" s="37">
        <v>323.7</v>
      </c>
      <c r="T8" s="37">
        <v>181</v>
      </c>
      <c r="U8" s="37">
        <v>192.7</v>
      </c>
      <c r="V8" s="37">
        <v>11449253</v>
      </c>
      <c r="W8" s="37">
        <v>279859</v>
      </c>
      <c r="X8" s="37">
        <v>2922443671</v>
      </c>
      <c r="Y8" s="37">
        <v>7390741</v>
      </c>
      <c r="Z8" s="37">
        <v>64.55</v>
      </c>
      <c r="AA8" s="37">
        <v>142.69999999999999</v>
      </c>
      <c r="AB8" s="37">
        <v>-48.35</v>
      </c>
      <c r="AF8" s="180">
        <v>41151</v>
      </c>
      <c r="AG8" s="181">
        <v>1.2</v>
      </c>
    </row>
    <row r="9" spans="2:33" ht="57.6" x14ac:dyDescent="0.25">
      <c r="B9" s="150" t="s">
        <v>305</v>
      </c>
      <c r="C9" s="151">
        <v>-32977</v>
      </c>
      <c r="D9" s="153" t="s">
        <v>303</v>
      </c>
      <c r="E9" s="151">
        <v>-43344</v>
      </c>
      <c r="F9" s="150" t="s">
        <v>307</v>
      </c>
      <c r="G9" s="151">
        <v>-2471.3000000000002</v>
      </c>
      <c r="H9" s="150" t="s">
        <v>308</v>
      </c>
      <c r="I9" s="151">
        <v>6327.3</v>
      </c>
      <c r="J9" s="151">
        <v>5237.6000000000004</v>
      </c>
      <c r="K9" s="151">
        <v>4215.6000000000004</v>
      </c>
      <c r="L9" s="151">
        <v>2141.4</v>
      </c>
      <c r="M9" s="150" t="s">
        <v>308</v>
      </c>
      <c r="N9" s="151">
        <v>3215.5</v>
      </c>
      <c r="Q9" s="37">
        <v>2016</v>
      </c>
      <c r="R9" s="37">
        <v>195</v>
      </c>
      <c r="S9" s="37">
        <v>224</v>
      </c>
      <c r="T9" s="37">
        <v>129.85</v>
      </c>
      <c r="U9" s="37">
        <v>171.2</v>
      </c>
      <c r="V9" s="37">
        <v>16048212</v>
      </c>
      <c r="W9" s="37">
        <v>117750</v>
      </c>
      <c r="X9" s="37">
        <v>2804889237</v>
      </c>
      <c r="Y9" s="37">
        <v>13624637</v>
      </c>
      <c r="Z9" s="37">
        <v>84.9</v>
      </c>
      <c r="AA9" s="37">
        <v>94.15</v>
      </c>
      <c r="AB9" s="37">
        <v>-23.8</v>
      </c>
      <c r="AF9" s="180">
        <v>40745</v>
      </c>
      <c r="AG9" s="181">
        <v>1.2</v>
      </c>
    </row>
    <row r="10" spans="2:33" ht="57.6" x14ac:dyDescent="0.25">
      <c r="B10" s="150" t="s">
        <v>310</v>
      </c>
      <c r="C10" s="151">
        <v>-3827</v>
      </c>
      <c r="D10" s="150" t="s">
        <v>310</v>
      </c>
      <c r="E10" s="151">
        <v>-3159.6</v>
      </c>
      <c r="F10" s="150" t="s">
        <v>488</v>
      </c>
      <c r="G10" s="151">
        <v>-39760.5</v>
      </c>
      <c r="H10" s="150" t="s">
        <v>312</v>
      </c>
      <c r="I10" s="152">
        <v>-422.5</v>
      </c>
      <c r="J10" s="152">
        <v>-355.4</v>
      </c>
      <c r="K10" s="152">
        <v>-329.6</v>
      </c>
      <c r="L10" s="152">
        <v>-324.5</v>
      </c>
      <c r="M10" s="150" t="s">
        <v>312</v>
      </c>
      <c r="N10" s="152">
        <v>-332.3</v>
      </c>
      <c r="Q10" s="37">
        <v>2017</v>
      </c>
      <c r="R10" s="37">
        <v>172</v>
      </c>
      <c r="S10" s="37">
        <v>346</v>
      </c>
      <c r="T10" s="37">
        <v>148</v>
      </c>
      <c r="U10" s="37">
        <v>317.2</v>
      </c>
      <c r="V10" s="37">
        <v>8863019</v>
      </c>
      <c r="W10" s="37">
        <v>152157</v>
      </c>
      <c r="X10" s="37">
        <v>2450396642</v>
      </c>
      <c r="Y10" s="37">
        <v>4677510</v>
      </c>
      <c r="Z10" s="37">
        <v>52.78</v>
      </c>
      <c r="AA10" s="37">
        <v>198</v>
      </c>
      <c r="AB10" s="37">
        <v>145.19999999999999</v>
      </c>
      <c r="AG10" s="37">
        <f>SUM(AG3:AG9)</f>
        <v>9</v>
      </c>
    </row>
    <row r="11" spans="2:33" ht="103.2" x14ac:dyDescent="0.25">
      <c r="B11" s="150" t="s">
        <v>313</v>
      </c>
      <c r="C11" s="151">
        <v>-1547</v>
      </c>
      <c r="D11" s="150" t="s">
        <v>307</v>
      </c>
      <c r="E11" s="151">
        <v>-2073</v>
      </c>
      <c r="F11" s="150" t="s">
        <v>489</v>
      </c>
      <c r="G11" s="151">
        <v>8377.6</v>
      </c>
      <c r="H11" s="150" t="s">
        <v>315</v>
      </c>
      <c r="I11" s="151">
        <v>5904.8</v>
      </c>
      <c r="J11" s="151">
        <v>4882.2</v>
      </c>
      <c r="K11" s="151">
        <v>3886</v>
      </c>
      <c r="L11" s="151">
        <v>1816.9</v>
      </c>
      <c r="M11" s="150" t="s">
        <v>315</v>
      </c>
      <c r="N11" s="151">
        <v>2883.2</v>
      </c>
      <c r="Q11" s="37">
        <v>2018</v>
      </c>
      <c r="R11" s="37">
        <v>320</v>
      </c>
      <c r="S11" s="37">
        <v>356.1</v>
      </c>
      <c r="T11" s="37">
        <v>221.2</v>
      </c>
      <c r="U11" s="37">
        <v>268.39999999999998</v>
      </c>
      <c r="V11" s="37">
        <v>10742609</v>
      </c>
      <c r="W11" s="37">
        <v>76808</v>
      </c>
      <c r="X11" s="37">
        <v>3096254008</v>
      </c>
      <c r="Y11" s="37">
        <v>8818076</v>
      </c>
      <c r="Z11" s="37">
        <v>82.09</v>
      </c>
      <c r="AA11" s="37">
        <v>134.9</v>
      </c>
      <c r="AB11" s="37">
        <v>-51.6</v>
      </c>
    </row>
    <row r="12" spans="2:33" ht="34.799999999999997" x14ac:dyDescent="0.25">
      <c r="B12" s="150" t="s">
        <v>307</v>
      </c>
      <c r="C12" s="151">
        <v>-2512</v>
      </c>
      <c r="D12" s="150" t="s">
        <v>319</v>
      </c>
      <c r="E12" s="151">
        <v>-2933.3</v>
      </c>
      <c r="F12" s="150" t="s">
        <v>311</v>
      </c>
      <c r="G12" s="151">
        <v>-2065.5</v>
      </c>
      <c r="H12" s="150" t="s">
        <v>318</v>
      </c>
      <c r="I12" s="151">
        <v>-1762.5</v>
      </c>
      <c r="J12" s="151">
        <v>-1482</v>
      </c>
      <c r="K12" s="151">
        <v>-1125.3</v>
      </c>
      <c r="L12" s="152">
        <v>-526.20000000000005</v>
      </c>
      <c r="M12" s="150" t="s">
        <v>318</v>
      </c>
      <c r="N12" s="152">
        <v>-847.7</v>
      </c>
    </row>
    <row r="13" spans="2:33" ht="57.6" x14ac:dyDescent="0.25">
      <c r="B13" s="150" t="s">
        <v>490</v>
      </c>
      <c r="C13" s="151">
        <v>-5605</v>
      </c>
      <c r="D13" s="150" t="s">
        <v>406</v>
      </c>
      <c r="E13" s="151">
        <v>-1636.8</v>
      </c>
      <c r="F13" s="150" t="s">
        <v>317</v>
      </c>
      <c r="G13" s="151">
        <v>-1584.1</v>
      </c>
      <c r="H13" s="150" t="s">
        <v>320</v>
      </c>
      <c r="I13" s="151">
        <v>4142.3</v>
      </c>
      <c r="J13" s="151">
        <v>3400.2</v>
      </c>
      <c r="K13" s="151">
        <v>2760.7</v>
      </c>
      <c r="L13" s="151">
        <v>1290.7</v>
      </c>
      <c r="M13" s="150" t="s">
        <v>320</v>
      </c>
      <c r="N13" s="151">
        <v>2035.5</v>
      </c>
      <c r="R13" s="37">
        <f>(100*AG10)/R3</f>
        <v>4.7368421052631575</v>
      </c>
    </row>
    <row r="14" spans="2:33" ht="57.6" x14ac:dyDescent="0.25">
      <c r="B14" s="150" t="s">
        <v>319</v>
      </c>
      <c r="C14" s="151">
        <v>-2952</v>
      </c>
      <c r="D14" s="150" t="s">
        <v>491</v>
      </c>
      <c r="E14" s="151">
        <v>-5256.6</v>
      </c>
      <c r="F14" s="153" t="s">
        <v>303</v>
      </c>
      <c r="G14" s="151">
        <v>-37503.800000000003</v>
      </c>
      <c r="H14" s="150" t="s">
        <v>323</v>
      </c>
      <c r="I14" s="151">
        <v>3750</v>
      </c>
      <c r="J14" s="151">
        <v>3500</v>
      </c>
      <c r="K14" s="151">
        <v>3500</v>
      </c>
      <c r="L14" s="151">
        <v>3280.7</v>
      </c>
      <c r="M14" s="150" t="s">
        <v>323</v>
      </c>
      <c r="N14" s="151">
        <v>3280.7</v>
      </c>
    </row>
    <row r="15" spans="2:33" ht="57.6" x14ac:dyDescent="0.25">
      <c r="B15" s="150" t="s">
        <v>322</v>
      </c>
      <c r="C15" s="151">
        <v>6245</v>
      </c>
      <c r="D15" s="150" t="s">
        <v>492</v>
      </c>
      <c r="E15" s="151">
        <v>-28284.7</v>
      </c>
      <c r="F15" s="150" t="s">
        <v>304</v>
      </c>
      <c r="G15" s="151">
        <v>-3587.1</v>
      </c>
      <c r="H15" s="150" t="s">
        <v>325</v>
      </c>
      <c r="I15" s="151">
        <v>35195.1</v>
      </c>
      <c r="J15" s="151">
        <v>26210.7</v>
      </c>
      <c r="K15" s="151">
        <v>23584</v>
      </c>
      <c r="L15" s="151">
        <v>17989.5</v>
      </c>
      <c r="M15" s="150" t="s">
        <v>330</v>
      </c>
      <c r="N15" s="152">
        <v>6.98</v>
      </c>
    </row>
    <row r="16" spans="2:33" ht="69" x14ac:dyDescent="0.25">
      <c r="B16" s="150" t="s">
        <v>324</v>
      </c>
      <c r="C16" s="152">
        <v>0</v>
      </c>
      <c r="D16" s="150" t="s">
        <v>321</v>
      </c>
      <c r="E16" s="151">
        <v>5272.9</v>
      </c>
      <c r="F16" s="150" t="s">
        <v>321</v>
      </c>
      <c r="G16" s="151">
        <v>6090.3</v>
      </c>
      <c r="H16" s="150" t="s">
        <v>329</v>
      </c>
      <c r="I16" s="152">
        <v>11.32</v>
      </c>
      <c r="J16" s="152">
        <v>9.7100000000000009</v>
      </c>
      <c r="K16" s="152" t="s">
        <v>289</v>
      </c>
      <c r="L16" s="152" t="s">
        <v>289</v>
      </c>
      <c r="M16" s="150" t="s">
        <v>332</v>
      </c>
      <c r="N16" s="152">
        <v>6.98</v>
      </c>
    </row>
    <row r="17" spans="2:14" ht="69" x14ac:dyDescent="0.25">
      <c r="B17" s="150" t="s">
        <v>321</v>
      </c>
      <c r="C17" s="151">
        <v>6245</v>
      </c>
      <c r="D17" s="150" t="s">
        <v>318</v>
      </c>
      <c r="E17" s="151">
        <v>-1600.5</v>
      </c>
      <c r="F17" s="150" t="s">
        <v>318</v>
      </c>
      <c r="G17" s="151">
        <v>-2142.1999999999998</v>
      </c>
      <c r="H17" s="150" t="s">
        <v>330</v>
      </c>
      <c r="I17" s="152" t="s">
        <v>289</v>
      </c>
      <c r="J17" s="152" t="s">
        <v>289</v>
      </c>
      <c r="K17" s="152">
        <v>8.32</v>
      </c>
      <c r="L17" s="152">
        <v>3.93</v>
      </c>
      <c r="M17" s="150" t="s">
        <v>334</v>
      </c>
      <c r="N17" s="152" t="s">
        <v>493</v>
      </c>
    </row>
    <row r="18" spans="2:14" ht="69" x14ac:dyDescent="0.25">
      <c r="B18" s="150" t="s">
        <v>318</v>
      </c>
      <c r="C18" s="151">
        <v>-2135</v>
      </c>
      <c r="D18" s="150" t="s">
        <v>327</v>
      </c>
      <c r="E18" s="151">
        <v>3672.4</v>
      </c>
      <c r="F18" s="150" t="s">
        <v>327</v>
      </c>
      <c r="G18" s="151">
        <v>3948.1</v>
      </c>
      <c r="H18" s="150" t="s">
        <v>332</v>
      </c>
      <c r="I18" s="152" t="s">
        <v>289</v>
      </c>
      <c r="J18" s="152" t="s">
        <v>289</v>
      </c>
      <c r="K18" s="152">
        <v>8.32</v>
      </c>
      <c r="L18" s="152">
        <v>3.93</v>
      </c>
      <c r="M18" s="150" t="s">
        <v>345</v>
      </c>
      <c r="N18" s="152">
        <v>19.989999999999998</v>
      </c>
    </row>
    <row r="19" spans="2:14" ht="34.799999999999997" x14ac:dyDescent="0.25">
      <c r="B19" s="150" t="s">
        <v>331</v>
      </c>
      <c r="C19" s="151">
        <v>-2188</v>
      </c>
      <c r="D19" s="150" t="s">
        <v>320</v>
      </c>
      <c r="E19" s="151">
        <v>3793.1</v>
      </c>
      <c r="F19" s="150" t="s">
        <v>344</v>
      </c>
      <c r="G19" s="152">
        <v>0</v>
      </c>
      <c r="H19" s="150" t="s">
        <v>334</v>
      </c>
      <c r="I19" s="152" t="s">
        <v>494</v>
      </c>
      <c r="J19" s="152" t="s">
        <v>495</v>
      </c>
      <c r="K19" s="152" t="s">
        <v>495</v>
      </c>
      <c r="L19" s="152" t="s">
        <v>493</v>
      </c>
      <c r="M19" s="150" t="s">
        <v>351</v>
      </c>
      <c r="N19" s="152">
        <v>28.9</v>
      </c>
    </row>
    <row r="20" spans="2:14" ht="34.799999999999997" x14ac:dyDescent="0.25">
      <c r="B20" s="150" t="s">
        <v>333</v>
      </c>
      <c r="C20" s="152">
        <v>53</v>
      </c>
      <c r="D20" s="150" t="s">
        <v>331</v>
      </c>
      <c r="E20" s="151">
        <v>-2299.3000000000002</v>
      </c>
      <c r="F20" s="150" t="s">
        <v>350</v>
      </c>
      <c r="G20" s="152">
        <v>0</v>
      </c>
      <c r="H20" s="150" t="s">
        <v>345</v>
      </c>
      <c r="I20" s="152">
        <v>30</v>
      </c>
      <c r="J20" s="152">
        <v>25</v>
      </c>
      <c r="K20" s="152">
        <v>25</v>
      </c>
      <c r="L20" s="152">
        <v>20</v>
      </c>
      <c r="M20" s="150" t="s">
        <v>355</v>
      </c>
      <c r="N20" s="152">
        <v>14.7</v>
      </c>
    </row>
    <row r="21" spans="2:14" ht="15.75" customHeight="1" x14ac:dyDescent="0.25">
      <c r="B21" s="150" t="s">
        <v>327</v>
      </c>
      <c r="C21" s="151">
        <v>4110</v>
      </c>
      <c r="D21" s="150" t="s">
        <v>333</v>
      </c>
      <c r="E21" s="152">
        <v>698.8</v>
      </c>
      <c r="F21" s="150" t="s">
        <v>320</v>
      </c>
      <c r="G21" s="151">
        <v>3948.1</v>
      </c>
      <c r="H21" s="150" t="s">
        <v>351</v>
      </c>
      <c r="I21" s="152">
        <v>34.58</v>
      </c>
      <c r="J21" s="152">
        <v>32.409999999999997</v>
      </c>
      <c r="K21" s="152">
        <v>33.81</v>
      </c>
      <c r="L21" s="152">
        <v>38.99</v>
      </c>
      <c r="M21" s="150" t="s">
        <v>360</v>
      </c>
      <c r="N21" s="152">
        <v>7.22</v>
      </c>
    </row>
    <row r="22" spans="2:14" ht="15.75" customHeight="1" x14ac:dyDescent="0.3">
      <c r="B22" s="150" t="s">
        <v>349</v>
      </c>
      <c r="C22" s="152">
        <v>0</v>
      </c>
      <c r="D22" s="150" t="s">
        <v>348</v>
      </c>
      <c r="E22" s="152">
        <v>0</v>
      </c>
      <c r="F22" s="150" t="s">
        <v>348</v>
      </c>
      <c r="G22" s="152">
        <v>-370.7</v>
      </c>
      <c r="H22" s="150" t="s">
        <v>355</v>
      </c>
      <c r="I22" s="152">
        <v>17.45</v>
      </c>
      <c r="J22" s="152">
        <v>16.96</v>
      </c>
      <c r="K22" s="152">
        <v>18.25</v>
      </c>
      <c r="L22" s="152">
        <v>17.309999999999999</v>
      </c>
      <c r="M22" s="150" t="s">
        <v>361</v>
      </c>
      <c r="N22" s="154" t="s">
        <v>361</v>
      </c>
    </row>
    <row r="23" spans="2:14" ht="15.75" customHeight="1" x14ac:dyDescent="0.25">
      <c r="B23" s="150" t="s">
        <v>354</v>
      </c>
      <c r="C23" s="151">
        <v>4110</v>
      </c>
      <c r="D23" s="150" t="s">
        <v>353</v>
      </c>
      <c r="E23" s="152">
        <v>0</v>
      </c>
      <c r="F23" s="150" t="s">
        <v>353</v>
      </c>
      <c r="G23" s="152">
        <v>-65.599999999999994</v>
      </c>
      <c r="H23" s="150" t="s">
        <v>360</v>
      </c>
      <c r="I23" s="152">
        <v>12.17</v>
      </c>
      <c r="J23" s="152">
        <v>10.73</v>
      </c>
      <c r="K23" s="152">
        <v>8.83</v>
      </c>
      <c r="L23" s="152">
        <v>4.92</v>
      </c>
    </row>
    <row r="24" spans="2:14" ht="15.75" customHeight="1" x14ac:dyDescent="0.3">
      <c r="B24" s="150" t="s">
        <v>359</v>
      </c>
      <c r="C24" s="152">
        <v>0</v>
      </c>
      <c r="D24" s="150" t="s">
        <v>358</v>
      </c>
      <c r="E24" s="151">
        <v>3793.1</v>
      </c>
      <c r="F24" s="150" t="s">
        <v>358</v>
      </c>
      <c r="G24" s="151">
        <v>3511.8</v>
      </c>
      <c r="H24" s="150" t="s">
        <v>361</v>
      </c>
      <c r="I24" s="154" t="s">
        <v>361</v>
      </c>
      <c r="J24" s="154" t="s">
        <v>361</v>
      </c>
      <c r="K24" s="154" t="s">
        <v>361</v>
      </c>
      <c r="L24" s="154" t="s">
        <v>361</v>
      </c>
    </row>
    <row r="25" spans="2:14" ht="15.75" customHeight="1" x14ac:dyDescent="0.25">
      <c r="B25" s="150" t="s">
        <v>364</v>
      </c>
      <c r="C25" s="152">
        <v>0</v>
      </c>
      <c r="D25" s="150" t="s">
        <v>363</v>
      </c>
      <c r="E25" s="152">
        <v>0</v>
      </c>
      <c r="F25" s="150" t="s">
        <v>363</v>
      </c>
      <c r="G25" s="152">
        <v>0</v>
      </c>
    </row>
    <row r="26" spans="2:14" ht="15.75" customHeight="1" x14ac:dyDescent="0.25">
      <c r="B26" s="150" t="s">
        <v>367</v>
      </c>
      <c r="C26" s="152">
        <v>0</v>
      </c>
      <c r="D26" s="150" t="s">
        <v>366</v>
      </c>
      <c r="E26" s="151">
        <v>3793.1</v>
      </c>
      <c r="F26" s="150" t="s">
        <v>366</v>
      </c>
      <c r="G26" s="151">
        <v>3511.8</v>
      </c>
    </row>
    <row r="27" spans="2:14" ht="15.75" customHeight="1" x14ac:dyDescent="0.25">
      <c r="B27" s="150" t="s">
        <v>369</v>
      </c>
      <c r="C27" s="152">
        <v>136</v>
      </c>
      <c r="D27" s="153" t="s">
        <v>368</v>
      </c>
      <c r="E27" s="152"/>
      <c r="F27" s="150" t="s">
        <v>370</v>
      </c>
      <c r="G27" s="152">
        <v>0</v>
      </c>
    </row>
    <row r="28" spans="2:14" ht="15.75" customHeight="1" x14ac:dyDescent="0.25">
      <c r="B28" s="150" t="s">
        <v>320</v>
      </c>
      <c r="C28" s="151">
        <v>4246</v>
      </c>
      <c r="D28" s="150" t="s">
        <v>324</v>
      </c>
      <c r="E28" s="152">
        <v>0</v>
      </c>
      <c r="F28" s="150" t="s">
        <v>323</v>
      </c>
      <c r="G28" s="151">
        <v>3750</v>
      </c>
    </row>
    <row r="29" spans="2:14" ht="15.75" customHeight="1" x14ac:dyDescent="0.25">
      <c r="B29" s="150" t="s">
        <v>348</v>
      </c>
      <c r="C29" s="152">
        <v>0</v>
      </c>
      <c r="D29" s="150" t="s">
        <v>322</v>
      </c>
      <c r="E29" s="151">
        <v>5272.9</v>
      </c>
      <c r="F29" s="150" t="s">
        <v>325</v>
      </c>
      <c r="G29" s="151">
        <v>37688.5</v>
      </c>
    </row>
    <row r="30" spans="2:14" ht="15.75" customHeight="1" x14ac:dyDescent="0.25">
      <c r="B30" s="150" t="s">
        <v>353</v>
      </c>
      <c r="C30" s="152">
        <v>0</v>
      </c>
      <c r="D30" s="150" t="s">
        <v>354</v>
      </c>
      <c r="E30" s="151">
        <v>3672.4</v>
      </c>
      <c r="F30" s="153" t="s">
        <v>368</v>
      </c>
      <c r="G30" s="152"/>
    </row>
    <row r="31" spans="2:14" ht="15.75" customHeight="1" x14ac:dyDescent="0.25">
      <c r="B31" s="150" t="s">
        <v>358</v>
      </c>
      <c r="C31" s="151">
        <v>4246</v>
      </c>
      <c r="D31" s="150" t="s">
        <v>359</v>
      </c>
      <c r="E31" s="152">
        <v>0</v>
      </c>
      <c r="F31" s="150" t="s">
        <v>324</v>
      </c>
      <c r="G31" s="152">
        <v>0</v>
      </c>
    </row>
    <row r="32" spans="2:14" ht="15.75" customHeight="1" x14ac:dyDescent="0.25">
      <c r="B32" s="150" t="s">
        <v>363</v>
      </c>
      <c r="C32" s="152">
        <v>0</v>
      </c>
      <c r="D32" s="150" t="s">
        <v>364</v>
      </c>
      <c r="E32" s="152">
        <v>0</v>
      </c>
      <c r="F32" s="150" t="s">
        <v>374</v>
      </c>
      <c r="G32" s="152">
        <v>10</v>
      </c>
    </row>
    <row r="33" spans="2:7" ht="15.75" customHeight="1" x14ac:dyDescent="0.25">
      <c r="B33" s="150" t="s">
        <v>366</v>
      </c>
      <c r="C33" s="151">
        <v>4246</v>
      </c>
      <c r="D33" s="150" t="s">
        <v>367</v>
      </c>
      <c r="E33" s="152">
        <v>0</v>
      </c>
      <c r="F33" s="153" t="s">
        <v>377</v>
      </c>
      <c r="G33" s="152"/>
    </row>
    <row r="34" spans="2:7" ht="15.75" customHeight="1" x14ac:dyDescent="0.25">
      <c r="B34" s="150" t="s">
        <v>371</v>
      </c>
      <c r="C34" s="152">
        <v>6</v>
      </c>
      <c r="D34" s="150" t="s">
        <v>371</v>
      </c>
      <c r="E34" s="152">
        <v>-9.9</v>
      </c>
      <c r="F34" s="150" t="s">
        <v>379</v>
      </c>
      <c r="G34" s="151">
        <v>8839.7000000000007</v>
      </c>
    </row>
    <row r="35" spans="2:7" ht="15.75" customHeight="1" x14ac:dyDescent="0.25">
      <c r="B35" s="150" t="s">
        <v>373</v>
      </c>
      <c r="C35" s="152">
        <v>0</v>
      </c>
      <c r="D35" s="150" t="s">
        <v>372</v>
      </c>
      <c r="E35" s="152">
        <v>0</v>
      </c>
      <c r="F35" s="150" t="s">
        <v>381</v>
      </c>
      <c r="G35" s="151">
        <v>9677.4</v>
      </c>
    </row>
    <row r="36" spans="2:7" ht="15.75" customHeight="1" x14ac:dyDescent="0.25">
      <c r="B36" s="150" t="s">
        <v>376</v>
      </c>
      <c r="C36" s="152">
        <v>0</v>
      </c>
      <c r="D36" s="150" t="s">
        <v>375</v>
      </c>
      <c r="E36" s="151">
        <v>3783.2</v>
      </c>
      <c r="F36" s="150" t="s">
        <v>322</v>
      </c>
      <c r="G36" s="151">
        <v>6090.3</v>
      </c>
    </row>
    <row r="37" spans="2:7" ht="15.75" customHeight="1" x14ac:dyDescent="0.25">
      <c r="B37" s="150" t="s">
        <v>378</v>
      </c>
      <c r="C37" s="152">
        <v>0</v>
      </c>
      <c r="D37" s="150" t="s">
        <v>373</v>
      </c>
      <c r="E37" s="152">
        <v>0</v>
      </c>
      <c r="F37" s="150" t="s">
        <v>354</v>
      </c>
      <c r="G37" s="151">
        <v>3948.1</v>
      </c>
    </row>
    <row r="38" spans="2:7" ht="15.75" customHeight="1" x14ac:dyDescent="0.25">
      <c r="B38" s="150" t="s">
        <v>380</v>
      </c>
      <c r="C38" s="152">
        <v>0</v>
      </c>
      <c r="D38" s="150" t="s">
        <v>376</v>
      </c>
      <c r="E38" s="152">
        <v>0</v>
      </c>
      <c r="F38" s="150" t="s">
        <v>359</v>
      </c>
      <c r="G38" s="152">
        <v>0</v>
      </c>
    </row>
    <row r="39" spans="2:7" ht="15.75" customHeight="1" x14ac:dyDescent="0.25">
      <c r="B39" s="150" t="s">
        <v>372</v>
      </c>
      <c r="C39" s="152">
        <v>0</v>
      </c>
      <c r="D39" s="150" t="s">
        <v>378</v>
      </c>
      <c r="E39" s="152">
        <v>0</v>
      </c>
      <c r="F39" s="150" t="s">
        <v>364</v>
      </c>
      <c r="G39" s="152">
        <v>0</v>
      </c>
    </row>
    <row r="40" spans="2:7" ht="15.75" customHeight="1" x14ac:dyDescent="0.25">
      <c r="B40" s="150" t="s">
        <v>375</v>
      </c>
      <c r="C40" s="151">
        <v>4252</v>
      </c>
      <c r="D40" s="150" t="s">
        <v>380</v>
      </c>
      <c r="E40" s="152">
        <v>0</v>
      </c>
      <c r="F40" s="150" t="s">
        <v>367</v>
      </c>
      <c r="G40" s="152">
        <v>0</v>
      </c>
    </row>
    <row r="41" spans="2:7" ht="15.75" customHeight="1" x14ac:dyDescent="0.25">
      <c r="B41" s="153" t="s">
        <v>368</v>
      </c>
      <c r="C41" s="152"/>
      <c r="D41" s="150" t="s">
        <v>349</v>
      </c>
      <c r="E41" s="152">
        <v>0</v>
      </c>
      <c r="F41" s="150" t="s">
        <v>371</v>
      </c>
      <c r="G41" s="152" t="s">
        <v>289</v>
      </c>
    </row>
    <row r="42" spans="2:7" ht="15.75" customHeight="1" x14ac:dyDescent="0.25">
      <c r="B42" s="150" t="s">
        <v>382</v>
      </c>
      <c r="C42" s="152">
        <v>9.9</v>
      </c>
      <c r="D42" s="150" t="s">
        <v>369</v>
      </c>
      <c r="E42" s="152">
        <v>120.7</v>
      </c>
      <c r="F42" s="150" t="s">
        <v>372</v>
      </c>
      <c r="G42" s="152" t="s">
        <v>289</v>
      </c>
    </row>
    <row r="43" spans="2:7" ht="15.75" customHeight="1" x14ac:dyDescent="0.25">
      <c r="B43" s="150" t="s">
        <v>383</v>
      </c>
      <c r="C43" s="152">
        <v>9.9</v>
      </c>
      <c r="D43" s="150" t="s">
        <v>382</v>
      </c>
      <c r="E43" s="152">
        <v>7.2</v>
      </c>
      <c r="F43" s="150" t="s">
        <v>375</v>
      </c>
      <c r="G43" s="152" t="s">
        <v>289</v>
      </c>
    </row>
    <row r="44" spans="2:7" ht="15.75" customHeight="1" x14ac:dyDescent="0.3">
      <c r="B44" s="153"/>
      <c r="C44" s="154" t="s">
        <v>361</v>
      </c>
      <c r="D44" s="150" t="s">
        <v>383</v>
      </c>
      <c r="E44" s="152">
        <v>7.2</v>
      </c>
      <c r="F44" s="150" t="s">
        <v>386</v>
      </c>
      <c r="G44" s="152" t="s">
        <v>289</v>
      </c>
    </row>
    <row r="45" spans="2:7" ht="15.75" customHeight="1" x14ac:dyDescent="0.3">
      <c r="D45" s="153"/>
      <c r="E45" s="154" t="s">
        <v>361</v>
      </c>
      <c r="F45" s="150" t="s">
        <v>387</v>
      </c>
      <c r="G45" s="152" t="s">
        <v>289</v>
      </c>
    </row>
    <row r="46" spans="2:7" ht="15.75" customHeight="1" x14ac:dyDescent="0.25">
      <c r="F46" s="150" t="s">
        <v>388</v>
      </c>
      <c r="G46" s="152" t="s">
        <v>289</v>
      </c>
    </row>
    <row r="47" spans="2:7" ht="15.75" customHeight="1" x14ac:dyDescent="0.25">
      <c r="F47" s="150" t="s">
        <v>391</v>
      </c>
      <c r="G47" s="152" t="s">
        <v>289</v>
      </c>
    </row>
    <row r="48" spans="2:7" ht="15.75" customHeight="1" x14ac:dyDescent="0.25">
      <c r="F48" s="150" t="s">
        <v>330</v>
      </c>
      <c r="G48" s="152">
        <v>9.36</v>
      </c>
    </row>
    <row r="49" spans="1:10" ht="15.75" customHeight="1" x14ac:dyDescent="0.25">
      <c r="F49" s="150" t="s">
        <v>332</v>
      </c>
      <c r="G49" s="152">
        <v>9.36</v>
      </c>
    </row>
    <row r="50" spans="1:10" ht="15.75" customHeight="1" x14ac:dyDescent="0.3">
      <c r="F50" s="153"/>
      <c r="G50" s="154" t="s">
        <v>362</v>
      </c>
    </row>
    <row r="51" spans="1:10" ht="15.75" customHeight="1" x14ac:dyDescent="0.25"/>
    <row r="52" spans="1:10" ht="15.75" customHeight="1" x14ac:dyDescent="0.25"/>
    <row r="53" spans="1:10" ht="15.75" customHeight="1" x14ac:dyDescent="0.25"/>
    <row r="54" spans="1:10" ht="15.75" customHeight="1" x14ac:dyDescent="0.25"/>
    <row r="55" spans="1:10" ht="15.75" customHeight="1" x14ac:dyDescent="0.25"/>
    <row r="56" spans="1:10" ht="15.75" customHeight="1" x14ac:dyDescent="0.25"/>
    <row r="57" spans="1:10" ht="15.75" customHeight="1" x14ac:dyDescent="0.25"/>
    <row r="58" spans="1:10" ht="15.75" customHeight="1" x14ac:dyDescent="0.25"/>
    <row r="59" spans="1:10" ht="15.75" customHeight="1" x14ac:dyDescent="0.25"/>
    <row r="60" spans="1:10" ht="15.75" customHeight="1" x14ac:dyDescent="0.25">
      <c r="A60" s="142" t="s">
        <v>287</v>
      </c>
      <c r="B60" s="143">
        <v>43191</v>
      </c>
      <c r="F60" s="142" t="s">
        <v>287</v>
      </c>
      <c r="G60" s="143">
        <v>42826</v>
      </c>
    </row>
    <row r="61" spans="1:10" ht="15.75" customHeight="1" x14ac:dyDescent="0.25">
      <c r="A61" s="142" t="s">
        <v>291</v>
      </c>
      <c r="B61" s="143">
        <v>43281</v>
      </c>
      <c r="F61" s="142" t="s">
        <v>291</v>
      </c>
      <c r="G61" s="143">
        <v>42916</v>
      </c>
    </row>
    <row r="62" spans="1:10" ht="15.75" customHeight="1" x14ac:dyDescent="0.25">
      <c r="A62" s="149" t="s">
        <v>293</v>
      </c>
      <c r="B62" s="275" t="s">
        <v>295</v>
      </c>
      <c r="C62" s="276"/>
      <c r="D62" s="276"/>
      <c r="E62" s="277"/>
      <c r="F62" s="149" t="s">
        <v>293</v>
      </c>
      <c r="G62" s="275" t="s">
        <v>295</v>
      </c>
      <c r="H62" s="276"/>
      <c r="I62" s="276"/>
      <c r="J62" s="277"/>
    </row>
    <row r="63" spans="1:10" ht="15.75" customHeight="1" x14ac:dyDescent="0.25">
      <c r="A63" s="150" t="s">
        <v>297</v>
      </c>
      <c r="B63" s="151">
        <v>8613</v>
      </c>
      <c r="F63" s="150" t="s">
        <v>297</v>
      </c>
      <c r="G63" s="151">
        <v>12796</v>
      </c>
    </row>
    <row r="64" spans="1:10" ht="15.75" customHeight="1" x14ac:dyDescent="0.25">
      <c r="A64" s="150" t="s">
        <v>299</v>
      </c>
      <c r="B64" s="152">
        <v>314</v>
      </c>
      <c r="F64" s="150" t="s">
        <v>299</v>
      </c>
      <c r="G64" s="152">
        <v>222</v>
      </c>
    </row>
    <row r="65" spans="1:7" ht="15.75" customHeight="1" x14ac:dyDescent="0.25">
      <c r="A65" s="150" t="s">
        <v>301</v>
      </c>
      <c r="B65" s="151">
        <v>8927</v>
      </c>
      <c r="F65" s="150" t="s">
        <v>301</v>
      </c>
      <c r="G65" s="151">
        <v>13018</v>
      </c>
    </row>
    <row r="66" spans="1:7" ht="15.75" customHeight="1" x14ac:dyDescent="0.25">
      <c r="A66" s="153" t="s">
        <v>303</v>
      </c>
      <c r="B66" s="151">
        <v>-8216</v>
      </c>
      <c r="F66" s="153" t="s">
        <v>303</v>
      </c>
      <c r="G66" s="151">
        <v>-11350</v>
      </c>
    </row>
    <row r="67" spans="1:7" ht="15.75" customHeight="1" x14ac:dyDescent="0.25">
      <c r="A67" s="150" t="s">
        <v>305</v>
      </c>
      <c r="B67" s="151">
        <v>-8096</v>
      </c>
      <c r="F67" s="150" t="s">
        <v>305</v>
      </c>
      <c r="G67" s="151">
        <v>-7320</v>
      </c>
    </row>
    <row r="68" spans="1:7" ht="15.75" customHeight="1" x14ac:dyDescent="0.25">
      <c r="A68" s="150" t="s">
        <v>310</v>
      </c>
      <c r="B68" s="151">
        <v>-1583</v>
      </c>
      <c r="F68" s="150" t="s">
        <v>310</v>
      </c>
      <c r="G68" s="152">
        <v>-820</v>
      </c>
    </row>
    <row r="69" spans="1:7" ht="15.75" customHeight="1" x14ac:dyDescent="0.25">
      <c r="A69" s="150" t="s">
        <v>307</v>
      </c>
      <c r="B69" s="151">
        <v>-1045</v>
      </c>
      <c r="F69" s="150" t="s">
        <v>313</v>
      </c>
      <c r="G69" s="152">
        <v>-376</v>
      </c>
    </row>
    <row r="70" spans="1:7" ht="15.75" customHeight="1" x14ac:dyDescent="0.25">
      <c r="A70" s="150" t="s">
        <v>490</v>
      </c>
      <c r="B70" s="151">
        <v>-1094</v>
      </c>
      <c r="F70" s="150" t="s">
        <v>307</v>
      </c>
      <c r="G70" s="152">
        <v>-723</v>
      </c>
    </row>
    <row r="71" spans="1:7" ht="15.75" customHeight="1" x14ac:dyDescent="0.25">
      <c r="A71" s="150" t="s">
        <v>496</v>
      </c>
      <c r="B71" s="151">
        <v>6484</v>
      </c>
      <c r="F71" s="150" t="s">
        <v>319</v>
      </c>
      <c r="G71" s="152">
        <v>-749</v>
      </c>
    </row>
    <row r="72" spans="1:7" ht="15.75" customHeight="1" x14ac:dyDescent="0.25">
      <c r="A72" s="150" t="s">
        <v>319</v>
      </c>
      <c r="B72" s="152">
        <v>-846</v>
      </c>
      <c r="F72" s="150" t="s">
        <v>491</v>
      </c>
      <c r="G72" s="151">
        <v>-1362</v>
      </c>
    </row>
    <row r="73" spans="1:7" ht="15.75" customHeight="1" x14ac:dyDescent="0.25">
      <c r="A73" s="150" t="s">
        <v>406</v>
      </c>
      <c r="B73" s="152">
        <v>-582</v>
      </c>
      <c r="F73" s="150" t="s">
        <v>321</v>
      </c>
      <c r="G73" s="151">
        <v>1668</v>
      </c>
    </row>
    <row r="74" spans="1:7" ht="15.75" customHeight="1" x14ac:dyDescent="0.25">
      <c r="A74" s="150" t="s">
        <v>497</v>
      </c>
      <c r="B74" s="152">
        <v>-230</v>
      </c>
      <c r="F74" s="150" t="s">
        <v>318</v>
      </c>
      <c r="G74" s="152">
        <v>-533</v>
      </c>
    </row>
    <row r="75" spans="1:7" ht="15.75" customHeight="1" x14ac:dyDescent="0.25">
      <c r="A75" s="150" t="s">
        <v>498</v>
      </c>
      <c r="B75" s="152">
        <v>-690</v>
      </c>
      <c r="F75" s="150" t="s">
        <v>327</v>
      </c>
      <c r="G75" s="151">
        <v>1135</v>
      </c>
    </row>
    <row r="76" spans="1:7" ht="15.75" customHeight="1" x14ac:dyDescent="0.25">
      <c r="A76" s="150" t="s">
        <v>499</v>
      </c>
      <c r="B76" s="152">
        <v>-534</v>
      </c>
      <c r="F76" s="150" t="s">
        <v>320</v>
      </c>
      <c r="G76" s="151">
        <v>1191</v>
      </c>
    </row>
    <row r="77" spans="1:7" ht="15.75" customHeight="1" x14ac:dyDescent="0.25">
      <c r="A77" s="150" t="s">
        <v>321</v>
      </c>
      <c r="B77" s="151">
        <v>1605</v>
      </c>
      <c r="F77" s="150" t="s">
        <v>331</v>
      </c>
      <c r="G77" s="152">
        <v>-660</v>
      </c>
    </row>
    <row r="78" spans="1:7" ht="15.75" customHeight="1" x14ac:dyDescent="0.25">
      <c r="A78" s="150" t="s">
        <v>318</v>
      </c>
      <c r="B78" s="152">
        <v>-376</v>
      </c>
      <c r="F78" s="150" t="s">
        <v>333</v>
      </c>
      <c r="G78" s="152">
        <v>127</v>
      </c>
    </row>
    <row r="79" spans="1:7" ht="15.75" customHeight="1" x14ac:dyDescent="0.25">
      <c r="A79" s="150" t="s">
        <v>327</v>
      </c>
      <c r="B79" s="151">
        <v>1229</v>
      </c>
      <c r="F79" s="150" t="s">
        <v>348</v>
      </c>
      <c r="G79" s="152">
        <v>0</v>
      </c>
    </row>
    <row r="80" spans="1:7" ht="15.75" customHeight="1" x14ac:dyDescent="0.25">
      <c r="A80" s="150" t="s">
        <v>320</v>
      </c>
      <c r="B80" s="151">
        <v>1304</v>
      </c>
      <c r="F80" s="150" t="s">
        <v>353</v>
      </c>
      <c r="G80" s="152">
        <v>0</v>
      </c>
    </row>
    <row r="81" spans="1:7" ht="15.75" customHeight="1" x14ac:dyDescent="0.25">
      <c r="A81" s="150" t="s">
        <v>331</v>
      </c>
      <c r="B81" s="152">
        <v>-319</v>
      </c>
      <c r="F81" s="150" t="s">
        <v>358</v>
      </c>
      <c r="G81" s="151">
        <v>1191</v>
      </c>
    </row>
    <row r="82" spans="1:7" ht="15.75" customHeight="1" x14ac:dyDescent="0.25">
      <c r="A82" s="150" t="s">
        <v>333</v>
      </c>
      <c r="B82" s="152">
        <v>-57</v>
      </c>
      <c r="F82" s="150" t="s">
        <v>363</v>
      </c>
      <c r="G82" s="152">
        <v>0</v>
      </c>
    </row>
    <row r="83" spans="1:7" ht="15.75" customHeight="1" x14ac:dyDescent="0.25">
      <c r="A83" s="150" t="s">
        <v>348</v>
      </c>
      <c r="B83" s="152">
        <v>0</v>
      </c>
      <c r="F83" s="150" t="s">
        <v>366</v>
      </c>
      <c r="G83" s="151">
        <v>1191</v>
      </c>
    </row>
    <row r="84" spans="1:7" ht="15.75" customHeight="1" x14ac:dyDescent="0.25">
      <c r="A84" s="150" t="s">
        <v>353</v>
      </c>
      <c r="B84" s="152">
        <v>0</v>
      </c>
      <c r="F84" s="153" t="s">
        <v>368</v>
      </c>
      <c r="G84" s="152"/>
    </row>
    <row r="85" spans="1:7" ht="15.75" customHeight="1" x14ac:dyDescent="0.25">
      <c r="A85" s="150" t="s">
        <v>358</v>
      </c>
      <c r="B85" s="151">
        <v>1304</v>
      </c>
      <c r="F85" s="150" t="s">
        <v>324</v>
      </c>
      <c r="G85" s="152">
        <v>0</v>
      </c>
    </row>
    <row r="86" spans="1:7" ht="15.75" customHeight="1" x14ac:dyDescent="0.25">
      <c r="A86" s="150" t="s">
        <v>363</v>
      </c>
      <c r="B86" s="152">
        <v>0</v>
      </c>
      <c r="F86" s="150" t="s">
        <v>322</v>
      </c>
      <c r="G86" s="151">
        <v>1668</v>
      </c>
    </row>
    <row r="87" spans="1:7" ht="15.75" customHeight="1" x14ac:dyDescent="0.25">
      <c r="A87" s="150" t="s">
        <v>366</v>
      </c>
      <c r="B87" s="151">
        <v>1304</v>
      </c>
      <c r="F87" s="150" t="s">
        <v>354</v>
      </c>
      <c r="G87" s="151">
        <v>1135</v>
      </c>
    </row>
    <row r="88" spans="1:7" ht="15.75" customHeight="1" x14ac:dyDescent="0.25">
      <c r="A88" s="153" t="s">
        <v>368</v>
      </c>
      <c r="B88" s="152"/>
      <c r="F88" s="150" t="s">
        <v>359</v>
      </c>
      <c r="G88" s="152">
        <v>0</v>
      </c>
    </row>
    <row r="89" spans="1:7" ht="15.75" customHeight="1" x14ac:dyDescent="0.25">
      <c r="A89" s="150" t="s">
        <v>324</v>
      </c>
      <c r="B89" s="152">
        <v>894</v>
      </c>
      <c r="F89" s="150" t="s">
        <v>364</v>
      </c>
      <c r="G89" s="152">
        <v>0</v>
      </c>
    </row>
    <row r="90" spans="1:7" ht="15.75" customHeight="1" x14ac:dyDescent="0.25">
      <c r="A90" s="150" t="s">
        <v>322</v>
      </c>
      <c r="B90" s="152">
        <v>711</v>
      </c>
      <c r="F90" s="150" t="s">
        <v>367</v>
      </c>
      <c r="G90" s="152">
        <v>0</v>
      </c>
    </row>
    <row r="91" spans="1:7" ht="15.75" customHeight="1" x14ac:dyDescent="0.25">
      <c r="A91" s="150" t="s">
        <v>354</v>
      </c>
      <c r="B91" s="151">
        <v>1229</v>
      </c>
      <c r="F91" s="150" t="s">
        <v>371</v>
      </c>
      <c r="G91" s="152">
        <v>-2</v>
      </c>
    </row>
    <row r="92" spans="1:7" ht="15.75" customHeight="1" x14ac:dyDescent="0.25">
      <c r="A92" s="150" t="s">
        <v>359</v>
      </c>
      <c r="B92" s="152">
        <v>0</v>
      </c>
      <c r="F92" s="150" t="s">
        <v>372</v>
      </c>
      <c r="G92" s="152">
        <v>0</v>
      </c>
    </row>
    <row r="93" spans="1:7" ht="15.75" customHeight="1" x14ac:dyDescent="0.25">
      <c r="A93" s="150" t="s">
        <v>364</v>
      </c>
      <c r="B93" s="152">
        <v>0</v>
      </c>
      <c r="F93" s="150" t="s">
        <v>375</v>
      </c>
      <c r="G93" s="151">
        <v>1189</v>
      </c>
    </row>
    <row r="94" spans="1:7" ht="15.75" customHeight="1" x14ac:dyDescent="0.25">
      <c r="A94" s="150" t="s">
        <v>367</v>
      </c>
      <c r="B94" s="152">
        <v>0</v>
      </c>
      <c r="F94" s="150" t="s">
        <v>373</v>
      </c>
      <c r="G94" s="152">
        <v>0</v>
      </c>
    </row>
    <row r="95" spans="1:7" ht="15.75" customHeight="1" x14ac:dyDescent="0.25">
      <c r="A95" s="150" t="s">
        <v>371</v>
      </c>
      <c r="B95" s="152">
        <v>-2</v>
      </c>
      <c r="F95" s="150" t="s">
        <v>376</v>
      </c>
      <c r="G95" s="152">
        <v>0</v>
      </c>
    </row>
    <row r="96" spans="1:7" ht="15.75" customHeight="1" x14ac:dyDescent="0.25">
      <c r="A96" s="150" t="s">
        <v>372</v>
      </c>
      <c r="B96" s="152">
        <v>0</v>
      </c>
      <c r="F96" s="150" t="s">
        <v>378</v>
      </c>
      <c r="G96" s="152">
        <v>0</v>
      </c>
    </row>
    <row r="97" spans="1:7" ht="15.75" customHeight="1" x14ac:dyDescent="0.25">
      <c r="A97" s="150" t="s">
        <v>375</v>
      </c>
      <c r="B97" s="151">
        <v>1302</v>
      </c>
      <c r="F97" s="150" t="s">
        <v>380</v>
      </c>
      <c r="G97" s="152">
        <v>0</v>
      </c>
    </row>
    <row r="98" spans="1:7" ht="15.75" customHeight="1" x14ac:dyDescent="0.25">
      <c r="A98" s="150" t="s">
        <v>373</v>
      </c>
      <c r="B98" s="152">
        <v>0</v>
      </c>
      <c r="F98" s="150" t="s">
        <v>349</v>
      </c>
      <c r="G98" s="152">
        <v>0</v>
      </c>
    </row>
    <row r="99" spans="1:7" ht="15.75" customHeight="1" x14ac:dyDescent="0.25">
      <c r="A99" s="150" t="s">
        <v>376</v>
      </c>
      <c r="B99" s="152">
        <v>0</v>
      </c>
      <c r="F99" s="150" t="s">
        <v>369</v>
      </c>
      <c r="G99" s="152">
        <v>56</v>
      </c>
    </row>
    <row r="100" spans="1:7" ht="15.75" customHeight="1" x14ac:dyDescent="0.25">
      <c r="A100" s="150" t="s">
        <v>378</v>
      </c>
      <c r="B100" s="152">
        <v>0</v>
      </c>
      <c r="F100" s="150" t="s">
        <v>382</v>
      </c>
      <c r="G100" s="152">
        <v>2.5</v>
      </c>
    </row>
    <row r="101" spans="1:7" ht="15.75" customHeight="1" x14ac:dyDescent="0.25">
      <c r="A101" s="150" t="s">
        <v>380</v>
      </c>
      <c r="B101" s="152">
        <v>0</v>
      </c>
      <c r="F101" s="150" t="s">
        <v>383</v>
      </c>
      <c r="G101" s="152">
        <v>2.5</v>
      </c>
    </row>
    <row r="102" spans="1:7" ht="15.75" customHeight="1" x14ac:dyDescent="0.3">
      <c r="A102" s="150" t="s">
        <v>349</v>
      </c>
      <c r="B102" s="152">
        <v>0</v>
      </c>
      <c r="F102" s="153"/>
      <c r="G102" s="154" t="s">
        <v>362</v>
      </c>
    </row>
    <row r="103" spans="1:7" ht="15.75" customHeight="1" x14ac:dyDescent="0.25">
      <c r="A103" s="150" t="s">
        <v>369</v>
      </c>
      <c r="B103" s="152">
        <v>75</v>
      </c>
    </row>
    <row r="104" spans="1:7" ht="15.75" customHeight="1" x14ac:dyDescent="0.25">
      <c r="A104" s="150" t="s">
        <v>382</v>
      </c>
      <c r="B104" s="152">
        <v>3.24</v>
      </c>
    </row>
    <row r="105" spans="1:7" ht="15.75" customHeight="1" x14ac:dyDescent="0.25">
      <c r="A105" s="150" t="s">
        <v>383</v>
      </c>
      <c r="B105" s="152">
        <v>3.24</v>
      </c>
    </row>
    <row r="106" spans="1:7" ht="15.75" customHeight="1" x14ac:dyDescent="0.3">
      <c r="A106" s="153"/>
      <c r="B106" s="154" t="s">
        <v>361</v>
      </c>
    </row>
    <row r="107" spans="1:7" ht="15.75" customHeight="1" x14ac:dyDescent="0.25"/>
    <row r="108" spans="1:7" ht="15.75" customHeight="1" x14ac:dyDescent="0.25"/>
    <row r="109" spans="1:7" ht="15.75" customHeight="1" x14ac:dyDescent="0.25"/>
    <row r="110" spans="1:7" ht="15.75" customHeight="1" x14ac:dyDescent="0.25"/>
    <row r="111" spans="1:7" ht="15.75" customHeight="1" x14ac:dyDescent="0.25"/>
    <row r="112" spans="1:7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I4:L4"/>
    <mergeCell ref="B62:E62"/>
    <mergeCell ref="G62:J62"/>
  </mergeCells>
  <pageMargins left="0.7" right="0.7" top="0.75" bottom="0.75" header="0" footer="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AP1000"/>
  <sheetViews>
    <sheetView workbookViewId="0"/>
  </sheetViews>
  <sheetFormatPr defaultColWidth="12.59765625" defaultRowHeight="15" customHeight="1" x14ac:dyDescent="0.25"/>
  <cols>
    <col min="1" max="1" width="7.59765625" customWidth="1"/>
    <col min="2" max="2" width="15.3984375" customWidth="1"/>
    <col min="3" max="7" width="11.09765625" customWidth="1"/>
    <col min="8" max="8" width="37.8984375" customWidth="1"/>
    <col min="9" max="9" width="17.09765625" customWidth="1"/>
    <col min="10" max="12" width="11.69921875" customWidth="1"/>
    <col min="13" max="13" width="37.8984375" customWidth="1"/>
    <col min="14" max="14" width="17.09765625" customWidth="1"/>
    <col min="15" max="15" width="11.69921875" customWidth="1"/>
    <col min="16" max="42" width="7.59765625" customWidth="1"/>
  </cols>
  <sheetData>
    <row r="2" spans="2:42" ht="36" x14ac:dyDescent="0.25">
      <c r="B2" s="37" t="s">
        <v>427</v>
      </c>
      <c r="C2" s="37">
        <v>2018</v>
      </c>
      <c r="D2" s="37">
        <v>2017</v>
      </c>
      <c r="E2" s="37">
        <v>2016</v>
      </c>
      <c r="F2" s="37">
        <v>2015</v>
      </c>
      <c r="G2" s="37">
        <v>2014</v>
      </c>
      <c r="H2" s="37" t="s">
        <v>288</v>
      </c>
      <c r="I2" s="164">
        <v>41364</v>
      </c>
      <c r="J2" s="164">
        <v>40999</v>
      </c>
      <c r="K2" s="164">
        <v>40633</v>
      </c>
      <c r="L2" s="164">
        <v>40268</v>
      </c>
      <c r="M2" s="37" t="s">
        <v>288</v>
      </c>
      <c r="N2" s="164">
        <v>39903</v>
      </c>
      <c r="O2" s="164">
        <v>39538</v>
      </c>
      <c r="R2" s="37" t="s">
        <v>266</v>
      </c>
      <c r="S2" s="37" t="s">
        <v>267</v>
      </c>
      <c r="T2" s="37" t="s">
        <v>268</v>
      </c>
      <c r="U2" s="37" t="s">
        <v>269</v>
      </c>
      <c r="V2" s="37" t="s">
        <v>270</v>
      </c>
      <c r="W2" s="37" t="s">
        <v>271</v>
      </c>
      <c r="X2" s="37" t="s">
        <v>272</v>
      </c>
      <c r="Y2" s="37" t="s">
        <v>273</v>
      </c>
      <c r="Z2" s="37" t="s">
        <v>274</v>
      </c>
      <c r="AA2" s="37" t="s">
        <v>275</v>
      </c>
      <c r="AB2" s="37" t="s">
        <v>276</v>
      </c>
      <c r="AC2" s="37" t="s">
        <v>277</v>
      </c>
      <c r="AD2" s="37" t="s">
        <v>278</v>
      </c>
      <c r="AG2" s="140" t="s">
        <v>41</v>
      </c>
      <c r="AH2" s="140" t="s">
        <v>5</v>
      </c>
      <c r="AI2" s="140" t="s">
        <v>279</v>
      </c>
      <c r="AJ2" s="140" t="s">
        <v>280</v>
      </c>
      <c r="AK2" s="140" t="s">
        <v>281</v>
      </c>
      <c r="AL2" s="140" t="s">
        <v>282</v>
      </c>
      <c r="AM2" s="140" t="s">
        <v>283</v>
      </c>
      <c r="AN2" s="140" t="s">
        <v>284</v>
      </c>
      <c r="AO2" s="140" t="s">
        <v>285</v>
      </c>
      <c r="AP2" s="141" t="s">
        <v>286</v>
      </c>
    </row>
    <row r="3" spans="2:42" ht="24" x14ac:dyDescent="0.3">
      <c r="B3" s="37" t="s">
        <v>429</v>
      </c>
      <c r="H3" s="37" t="s">
        <v>292</v>
      </c>
      <c r="I3" s="37">
        <v>12</v>
      </c>
      <c r="J3" s="37">
        <v>12</v>
      </c>
      <c r="K3" s="37">
        <v>12</v>
      </c>
      <c r="L3" s="37">
        <v>12</v>
      </c>
      <c r="M3" s="37" t="s">
        <v>292</v>
      </c>
      <c r="N3" s="37">
        <v>12</v>
      </c>
      <c r="O3" s="37">
        <v>12</v>
      </c>
      <c r="R3" s="37">
        <v>2007</v>
      </c>
      <c r="S3" s="37">
        <v>399.7</v>
      </c>
      <c r="T3" s="37">
        <v>409.4</v>
      </c>
      <c r="U3" s="37">
        <v>365.8</v>
      </c>
      <c r="V3" s="37">
        <v>378.55</v>
      </c>
      <c r="W3" s="37">
        <v>4791618</v>
      </c>
      <c r="X3" s="37">
        <v>44790</v>
      </c>
      <c r="Y3" s="37">
        <v>1832460212</v>
      </c>
      <c r="Z3" s="37">
        <v>1633523</v>
      </c>
      <c r="AA3" s="37">
        <v>34.090000000000003</v>
      </c>
      <c r="AB3" s="37">
        <v>43.6</v>
      </c>
      <c r="AC3" s="37">
        <v>-21.15</v>
      </c>
      <c r="AG3" s="144">
        <v>532929</v>
      </c>
      <c r="AH3" s="145" t="s">
        <v>15</v>
      </c>
      <c r="AI3" s="146">
        <v>39617</v>
      </c>
      <c r="AJ3" s="37">
        <v>2</v>
      </c>
      <c r="AK3" s="147" t="s">
        <v>289</v>
      </c>
      <c r="AL3" s="146">
        <v>39619</v>
      </c>
      <c r="AM3" s="146">
        <v>39626</v>
      </c>
      <c r="AN3" s="146">
        <v>39612</v>
      </c>
      <c r="AO3" s="146">
        <v>39618</v>
      </c>
      <c r="AP3" s="145" t="s">
        <v>290</v>
      </c>
    </row>
    <row r="4" spans="2:42" ht="24" x14ac:dyDescent="0.3">
      <c r="B4" s="37" t="s">
        <v>243</v>
      </c>
      <c r="C4" s="165">
        <v>12651.2</v>
      </c>
      <c r="D4" s="165">
        <v>16547.7</v>
      </c>
      <c r="E4" s="165">
        <v>12264.5</v>
      </c>
      <c r="F4" s="165">
        <v>9880.5</v>
      </c>
      <c r="G4" s="165">
        <v>8952.4</v>
      </c>
      <c r="H4" s="37" t="s">
        <v>293</v>
      </c>
      <c r="I4" s="37" t="s">
        <v>295</v>
      </c>
      <c r="M4" s="37" t="s">
        <v>293</v>
      </c>
      <c r="N4" s="37" t="s">
        <v>295</v>
      </c>
      <c r="R4" s="37">
        <v>2008</v>
      </c>
      <c r="S4" s="37">
        <v>383</v>
      </c>
      <c r="T4" s="37">
        <v>428</v>
      </c>
      <c r="U4" s="37">
        <v>32.25</v>
      </c>
      <c r="V4" s="37">
        <v>43.45</v>
      </c>
      <c r="W4" s="37">
        <v>21966352</v>
      </c>
      <c r="X4" s="37">
        <v>336598</v>
      </c>
      <c r="Y4" s="37">
        <v>4808836863</v>
      </c>
      <c r="Z4" s="37">
        <v>10963328</v>
      </c>
      <c r="AA4" s="37">
        <v>49.91</v>
      </c>
      <c r="AB4" s="37">
        <v>395.75</v>
      </c>
      <c r="AC4" s="37">
        <v>-339.55</v>
      </c>
      <c r="AG4" s="144">
        <v>532929</v>
      </c>
      <c r="AH4" s="145" t="s">
        <v>15</v>
      </c>
      <c r="AI4" s="146">
        <v>40016</v>
      </c>
      <c r="AJ4" s="37">
        <v>1.2</v>
      </c>
      <c r="AK4" s="147" t="s">
        <v>289</v>
      </c>
      <c r="AL4" s="146">
        <v>40018</v>
      </c>
      <c r="AM4" s="146">
        <v>40024</v>
      </c>
      <c r="AN4" s="146">
        <v>40011</v>
      </c>
      <c r="AO4" s="146">
        <v>40017</v>
      </c>
      <c r="AP4" s="145" t="s">
        <v>290</v>
      </c>
    </row>
    <row r="5" spans="2:42" ht="24" x14ac:dyDescent="0.3">
      <c r="B5" s="37" t="s">
        <v>299</v>
      </c>
      <c r="C5" s="165">
        <v>1031.5</v>
      </c>
      <c r="D5" s="37">
        <v>929.7</v>
      </c>
      <c r="E5" s="37">
        <v>748.8</v>
      </c>
      <c r="F5" s="37">
        <v>199.6</v>
      </c>
      <c r="G5" s="37">
        <v>205.3</v>
      </c>
      <c r="H5" s="37" t="s">
        <v>298</v>
      </c>
      <c r="I5" s="165">
        <v>7787.1</v>
      </c>
      <c r="J5" s="165">
        <v>6011.1</v>
      </c>
      <c r="K5" s="165">
        <v>4506.12</v>
      </c>
      <c r="L5" s="165">
        <v>3552.62</v>
      </c>
      <c r="M5" s="37" t="s">
        <v>298</v>
      </c>
      <c r="N5" s="165">
        <v>3776.2</v>
      </c>
      <c r="O5" s="165">
        <v>4607.05</v>
      </c>
      <c r="R5" s="37">
        <v>2009</v>
      </c>
      <c r="S5" s="37">
        <v>44.3</v>
      </c>
      <c r="T5" s="37">
        <v>148</v>
      </c>
      <c r="U5" s="37">
        <v>27.8</v>
      </c>
      <c r="V5" s="37">
        <v>130.6</v>
      </c>
      <c r="W5" s="37">
        <v>36966396</v>
      </c>
      <c r="X5" s="37">
        <v>394927</v>
      </c>
      <c r="Y5" s="37">
        <v>4154031318</v>
      </c>
      <c r="Z5" s="37">
        <v>11310520</v>
      </c>
      <c r="AA5" s="37">
        <v>30.6</v>
      </c>
      <c r="AB5" s="37">
        <v>120.2</v>
      </c>
      <c r="AC5" s="37">
        <v>86.3</v>
      </c>
      <c r="AG5" s="144">
        <v>532929</v>
      </c>
      <c r="AH5" s="145" t="s">
        <v>15</v>
      </c>
      <c r="AI5" s="146">
        <v>40372</v>
      </c>
      <c r="AJ5" s="37">
        <v>1.2</v>
      </c>
      <c r="AK5" s="147" t="s">
        <v>289</v>
      </c>
      <c r="AL5" s="146">
        <v>40374</v>
      </c>
      <c r="AM5" s="146">
        <v>40382</v>
      </c>
      <c r="AN5" s="146">
        <v>40367</v>
      </c>
      <c r="AO5" s="146">
        <v>40373</v>
      </c>
      <c r="AP5" s="145" t="s">
        <v>290</v>
      </c>
    </row>
    <row r="6" spans="2:42" ht="24" x14ac:dyDescent="0.3">
      <c r="B6" s="37" t="s">
        <v>301</v>
      </c>
      <c r="C6" s="165">
        <v>13682.7</v>
      </c>
      <c r="D6" s="165">
        <v>17477.400000000001</v>
      </c>
      <c r="E6" s="165">
        <v>13013.3</v>
      </c>
      <c r="F6" s="165">
        <v>10080.1</v>
      </c>
      <c r="G6" s="165">
        <v>9157.7000000000007</v>
      </c>
      <c r="H6" s="37" t="s">
        <v>299</v>
      </c>
      <c r="I6" s="37">
        <v>94.1</v>
      </c>
      <c r="J6" s="37">
        <v>82.1</v>
      </c>
      <c r="K6" s="37">
        <v>68.540000000000006</v>
      </c>
      <c r="L6" s="37">
        <v>73.290000000000006</v>
      </c>
      <c r="M6" s="37" t="s">
        <v>299</v>
      </c>
      <c r="N6" s="37">
        <v>167.38</v>
      </c>
      <c r="O6" s="37">
        <v>334.48</v>
      </c>
      <c r="R6" s="37">
        <v>2010</v>
      </c>
      <c r="S6" s="37">
        <v>131.85</v>
      </c>
      <c r="T6" s="37">
        <v>187</v>
      </c>
      <c r="U6" s="37">
        <v>95.15</v>
      </c>
      <c r="V6" s="37">
        <v>113.65</v>
      </c>
      <c r="W6" s="37">
        <v>18495286</v>
      </c>
      <c r="X6" s="37">
        <v>262682</v>
      </c>
      <c r="Y6" s="37">
        <v>2744378159</v>
      </c>
      <c r="Z6" s="37">
        <v>5372612</v>
      </c>
      <c r="AA6" s="37">
        <v>29.05</v>
      </c>
      <c r="AB6" s="37">
        <v>91.85</v>
      </c>
      <c r="AC6" s="37">
        <v>-18.2</v>
      </c>
      <c r="AG6" s="144">
        <v>532929</v>
      </c>
      <c r="AH6" s="145" t="s">
        <v>15</v>
      </c>
      <c r="AI6" s="146">
        <v>40756</v>
      </c>
      <c r="AJ6" s="37">
        <v>1.5</v>
      </c>
      <c r="AK6" s="147" t="s">
        <v>289</v>
      </c>
      <c r="AL6" s="146">
        <v>40758</v>
      </c>
      <c r="AM6" s="146">
        <v>40766</v>
      </c>
      <c r="AN6" s="146">
        <v>40751</v>
      </c>
      <c r="AO6" s="146">
        <v>40757</v>
      </c>
      <c r="AP6" s="145" t="s">
        <v>290</v>
      </c>
    </row>
    <row r="7" spans="2:42" ht="24" x14ac:dyDescent="0.3">
      <c r="B7" s="37" t="s">
        <v>303</v>
      </c>
      <c r="C7" s="165">
        <v>-10474</v>
      </c>
      <c r="D7" s="165">
        <v>-14049.5</v>
      </c>
      <c r="E7" s="165">
        <v>-8462.7999999999993</v>
      </c>
      <c r="F7" s="165">
        <v>-6927.6</v>
      </c>
      <c r="G7" s="165">
        <v>-6492.3</v>
      </c>
      <c r="H7" s="37" t="s">
        <v>303</v>
      </c>
      <c r="I7" s="165">
        <v>-5729.8</v>
      </c>
      <c r="J7" s="165">
        <v>-4407.6000000000004</v>
      </c>
      <c r="K7" s="165">
        <v>-2619.5500000000002</v>
      </c>
      <c r="L7" s="165">
        <v>-2891.96</v>
      </c>
      <c r="M7" s="37" t="s">
        <v>301</v>
      </c>
      <c r="N7" s="165">
        <v>3943.58</v>
      </c>
      <c r="O7" s="165">
        <v>4941.53</v>
      </c>
      <c r="R7" s="37">
        <v>2011</v>
      </c>
      <c r="S7" s="37">
        <v>114.1</v>
      </c>
      <c r="T7" s="37">
        <v>119</v>
      </c>
      <c r="U7" s="37">
        <v>38.1</v>
      </c>
      <c r="V7" s="37">
        <v>41.85</v>
      </c>
      <c r="W7" s="37">
        <v>3821741</v>
      </c>
      <c r="X7" s="37">
        <v>67744</v>
      </c>
      <c r="Y7" s="37">
        <v>343633392</v>
      </c>
      <c r="Z7" s="37">
        <v>1436185</v>
      </c>
      <c r="AA7" s="37">
        <v>37.58</v>
      </c>
      <c r="AB7" s="37">
        <v>80.900000000000006</v>
      </c>
      <c r="AC7" s="37">
        <v>-72.25</v>
      </c>
      <c r="AG7" s="144">
        <v>532929</v>
      </c>
      <c r="AH7" s="145" t="s">
        <v>15</v>
      </c>
      <c r="AI7" s="146">
        <v>41120</v>
      </c>
      <c r="AJ7" s="37">
        <v>1.5</v>
      </c>
      <c r="AK7" s="147" t="s">
        <v>289</v>
      </c>
      <c r="AL7" s="146">
        <v>41122</v>
      </c>
      <c r="AM7" s="146">
        <v>41128</v>
      </c>
      <c r="AN7" s="146">
        <v>41115</v>
      </c>
      <c r="AO7" s="146">
        <v>41121</v>
      </c>
      <c r="AP7" s="145" t="s">
        <v>290</v>
      </c>
    </row>
    <row r="8" spans="2:42" ht="24" x14ac:dyDescent="0.3">
      <c r="B8" s="37" t="s">
        <v>304</v>
      </c>
      <c r="C8" s="165">
        <v>-1832.8</v>
      </c>
      <c r="D8" s="165">
        <v>-2005</v>
      </c>
      <c r="E8" s="165">
        <v>-1468.2</v>
      </c>
      <c r="F8" s="165">
        <v>-1146</v>
      </c>
      <c r="G8" s="37">
        <v>-688</v>
      </c>
      <c r="H8" s="37" t="s">
        <v>304</v>
      </c>
      <c r="I8" s="37">
        <v>-828.8</v>
      </c>
      <c r="J8" s="37">
        <v>-603.9</v>
      </c>
      <c r="K8" s="37">
        <v>-167.87</v>
      </c>
      <c r="L8" s="37">
        <v>-88.75</v>
      </c>
      <c r="M8" s="37" t="s">
        <v>303</v>
      </c>
      <c r="N8" s="165">
        <v>-2775.93</v>
      </c>
      <c r="O8" s="165">
        <v>-3446.23</v>
      </c>
      <c r="R8" s="37">
        <v>2012</v>
      </c>
      <c r="S8" s="37">
        <v>41.85</v>
      </c>
      <c r="T8" s="37">
        <v>112.6</v>
      </c>
      <c r="U8" s="37">
        <v>40</v>
      </c>
      <c r="V8" s="37">
        <v>93.1</v>
      </c>
      <c r="W8" s="37">
        <v>12848608</v>
      </c>
      <c r="X8" s="37">
        <v>203080</v>
      </c>
      <c r="Y8" s="37">
        <v>1006634030</v>
      </c>
      <c r="Z8" s="37">
        <v>5654007</v>
      </c>
      <c r="AA8" s="37">
        <v>44</v>
      </c>
      <c r="AB8" s="37">
        <v>72.599999999999994</v>
      </c>
      <c r="AC8" s="37">
        <v>51.25</v>
      </c>
      <c r="AG8" s="144">
        <v>532929</v>
      </c>
      <c r="AH8" s="145" t="s">
        <v>15</v>
      </c>
      <c r="AI8" s="146">
        <v>41477</v>
      </c>
      <c r="AJ8" s="37">
        <v>1.5</v>
      </c>
      <c r="AK8" s="147" t="s">
        <v>289</v>
      </c>
      <c r="AL8" s="146">
        <v>41479</v>
      </c>
      <c r="AM8" s="146">
        <v>41486</v>
      </c>
      <c r="AN8" s="146">
        <v>41472</v>
      </c>
      <c r="AO8" s="146">
        <v>41478</v>
      </c>
      <c r="AP8" s="145" t="s">
        <v>290</v>
      </c>
    </row>
    <row r="9" spans="2:42" ht="24" x14ac:dyDescent="0.3">
      <c r="B9" s="37" t="s">
        <v>431</v>
      </c>
      <c r="C9" s="165">
        <v>3208.7</v>
      </c>
      <c r="D9" s="165">
        <v>3427.9</v>
      </c>
      <c r="E9" s="165">
        <v>3082.3</v>
      </c>
      <c r="F9" s="165">
        <v>2006.5</v>
      </c>
      <c r="G9" s="165">
        <v>1977.4</v>
      </c>
      <c r="H9" s="37" t="s">
        <v>308</v>
      </c>
      <c r="I9" s="165">
        <v>1322.6</v>
      </c>
      <c r="J9" s="165">
        <v>1081.7</v>
      </c>
      <c r="K9" s="165">
        <v>1787.24</v>
      </c>
      <c r="L9" s="37">
        <v>645.20000000000005</v>
      </c>
      <c r="M9" s="37" t="s">
        <v>304</v>
      </c>
      <c r="N9" s="37">
        <v>-29.87</v>
      </c>
      <c r="O9" s="37">
        <v>-35.71</v>
      </c>
      <c r="R9" s="37">
        <v>2013</v>
      </c>
      <c r="S9" s="37">
        <v>93.9</v>
      </c>
      <c r="T9" s="37">
        <v>102.8</v>
      </c>
      <c r="U9" s="37">
        <v>45.1</v>
      </c>
      <c r="V9" s="37">
        <v>60</v>
      </c>
      <c r="W9" s="37">
        <v>7351006</v>
      </c>
      <c r="X9" s="37">
        <v>171350</v>
      </c>
      <c r="Y9" s="37">
        <v>529772274</v>
      </c>
      <c r="Z9" s="37">
        <v>2482883</v>
      </c>
      <c r="AA9" s="37">
        <v>33.78</v>
      </c>
      <c r="AB9" s="37">
        <v>57.7</v>
      </c>
      <c r="AC9" s="37">
        <v>-33.9</v>
      </c>
      <c r="AG9" s="144">
        <v>532929</v>
      </c>
      <c r="AH9" s="145" t="s">
        <v>15</v>
      </c>
      <c r="AI9" s="146">
        <v>41845</v>
      </c>
      <c r="AJ9" s="37">
        <v>2</v>
      </c>
      <c r="AK9" s="147" t="s">
        <v>289</v>
      </c>
      <c r="AL9" s="146">
        <v>41849</v>
      </c>
      <c r="AM9" s="146">
        <v>41856</v>
      </c>
      <c r="AN9" s="146">
        <v>41842</v>
      </c>
      <c r="AO9" s="146">
        <v>41845</v>
      </c>
      <c r="AP9" s="145" t="s">
        <v>290</v>
      </c>
    </row>
    <row r="10" spans="2:42" ht="24" x14ac:dyDescent="0.3">
      <c r="B10" s="37" t="s">
        <v>312</v>
      </c>
      <c r="C10" s="37">
        <v>-690.5</v>
      </c>
      <c r="D10" s="165">
        <v>-1087.0999999999999</v>
      </c>
      <c r="E10" s="37">
        <v>-979.8</v>
      </c>
      <c r="F10" s="37">
        <v>-919.9</v>
      </c>
      <c r="G10" s="37">
        <v>-776.7</v>
      </c>
      <c r="H10" s="37" t="s">
        <v>312</v>
      </c>
      <c r="I10" s="37">
        <v>-722.4</v>
      </c>
      <c r="J10" s="37">
        <v>-400.1</v>
      </c>
      <c r="K10" s="37">
        <v>-172.66</v>
      </c>
      <c r="L10" s="37">
        <v>-179.1</v>
      </c>
      <c r="M10" s="37" t="s">
        <v>308</v>
      </c>
      <c r="N10" s="165">
        <v>1137.78</v>
      </c>
      <c r="O10" s="165">
        <v>1459.59</v>
      </c>
      <c r="R10" s="37">
        <v>2014</v>
      </c>
      <c r="S10" s="37">
        <v>60.5</v>
      </c>
      <c r="T10" s="37">
        <v>169.95</v>
      </c>
      <c r="U10" s="37">
        <v>51.3</v>
      </c>
      <c r="V10" s="37">
        <v>152.94999999999999</v>
      </c>
      <c r="W10" s="37">
        <v>7971610</v>
      </c>
      <c r="X10" s="37">
        <v>254635</v>
      </c>
      <c r="Y10" s="37">
        <v>895204210</v>
      </c>
      <c r="Z10" s="37">
        <v>3123527</v>
      </c>
      <c r="AA10" s="37">
        <v>39.18</v>
      </c>
      <c r="AB10" s="37">
        <v>118.65</v>
      </c>
      <c r="AC10" s="37">
        <v>92.45</v>
      </c>
      <c r="AG10" s="144">
        <v>532929</v>
      </c>
      <c r="AH10" s="145" t="s">
        <v>15</v>
      </c>
      <c r="AI10" s="146">
        <v>42262</v>
      </c>
      <c r="AJ10" s="37">
        <v>2</v>
      </c>
      <c r="AK10" s="147" t="s">
        <v>289</v>
      </c>
      <c r="AL10" s="146">
        <v>42265</v>
      </c>
      <c r="AM10" s="146">
        <v>42265</v>
      </c>
      <c r="AN10" s="146">
        <v>42257</v>
      </c>
      <c r="AO10" s="146">
        <v>42263</v>
      </c>
      <c r="AP10" s="145" t="s">
        <v>290</v>
      </c>
    </row>
    <row r="11" spans="2:42" ht="24" x14ac:dyDescent="0.3">
      <c r="B11" s="37" t="s">
        <v>432</v>
      </c>
      <c r="C11" s="165">
        <v>2518.1999999999998</v>
      </c>
      <c r="D11" s="165">
        <v>2340.8000000000002</v>
      </c>
      <c r="E11" s="165">
        <v>2102.5</v>
      </c>
      <c r="F11" s="165">
        <v>1086.5999999999999</v>
      </c>
      <c r="G11" s="165">
        <v>1200.7</v>
      </c>
      <c r="H11" s="37" t="s">
        <v>315</v>
      </c>
      <c r="I11" s="37">
        <v>600.20000000000005</v>
      </c>
      <c r="J11" s="37">
        <v>681.6</v>
      </c>
      <c r="K11" s="165">
        <v>1614.58</v>
      </c>
      <c r="L11" s="37">
        <v>466.09</v>
      </c>
      <c r="M11" s="37" t="s">
        <v>312</v>
      </c>
      <c r="N11" s="37">
        <v>-133.88999999999999</v>
      </c>
      <c r="O11" s="37">
        <v>-85.54</v>
      </c>
      <c r="R11" s="37">
        <v>2015</v>
      </c>
      <c r="S11" s="37">
        <v>155</v>
      </c>
      <c r="T11" s="37">
        <v>179.6</v>
      </c>
      <c r="U11" s="37">
        <v>121</v>
      </c>
      <c r="V11" s="37">
        <v>154.69999999999999</v>
      </c>
      <c r="W11" s="37">
        <v>4991701</v>
      </c>
      <c r="X11" s="37">
        <v>191655</v>
      </c>
      <c r="Y11" s="37">
        <v>778344268</v>
      </c>
      <c r="Z11" s="37">
        <v>1978504</v>
      </c>
      <c r="AA11" s="37">
        <v>39.64</v>
      </c>
      <c r="AB11" s="37">
        <v>58.6</v>
      </c>
      <c r="AC11" s="37">
        <v>-0.3</v>
      </c>
      <c r="AG11" s="144">
        <v>532929</v>
      </c>
      <c r="AH11" s="145" t="s">
        <v>15</v>
      </c>
      <c r="AI11" s="146">
        <v>42451</v>
      </c>
      <c r="AJ11" s="37">
        <v>2</v>
      </c>
      <c r="AK11" s="146">
        <v>42453</v>
      </c>
      <c r="AL11" s="147"/>
      <c r="AM11" s="147"/>
      <c r="AN11" s="146">
        <v>42446</v>
      </c>
      <c r="AO11" s="146">
        <v>42451</v>
      </c>
      <c r="AP11" s="145" t="s">
        <v>296</v>
      </c>
    </row>
    <row r="12" spans="2:42" ht="24" x14ac:dyDescent="0.3">
      <c r="B12" s="37" t="s">
        <v>318</v>
      </c>
      <c r="C12" s="37">
        <v>-713</v>
      </c>
      <c r="D12" s="37">
        <v>-689.6</v>
      </c>
      <c r="E12" s="37">
        <v>-638.9</v>
      </c>
      <c r="F12" s="37">
        <v>-386.6</v>
      </c>
      <c r="G12" s="37">
        <v>-331.8</v>
      </c>
      <c r="H12" s="37" t="s">
        <v>318</v>
      </c>
      <c r="I12" s="37">
        <v>42.3</v>
      </c>
      <c r="J12" s="37">
        <v>-100.6</v>
      </c>
      <c r="K12" s="37">
        <v>-421.83</v>
      </c>
      <c r="L12" s="37">
        <v>-3.86</v>
      </c>
      <c r="M12" s="37" t="s">
        <v>315</v>
      </c>
      <c r="N12" s="165">
        <v>1003.88</v>
      </c>
      <c r="O12" s="165">
        <v>1374.05</v>
      </c>
      <c r="R12" s="37">
        <v>2016</v>
      </c>
      <c r="S12" s="37">
        <v>155</v>
      </c>
      <c r="T12" s="37">
        <v>188.95</v>
      </c>
      <c r="U12" s="37">
        <v>123.5</v>
      </c>
      <c r="V12" s="37">
        <v>150.5</v>
      </c>
      <c r="W12" s="37">
        <v>3059457</v>
      </c>
      <c r="X12" s="37">
        <v>44775</v>
      </c>
      <c r="Y12" s="37">
        <v>488918425</v>
      </c>
      <c r="Z12" s="37">
        <v>2141723</v>
      </c>
      <c r="AA12" s="37">
        <v>70</v>
      </c>
      <c r="AB12" s="37">
        <v>65.45</v>
      </c>
      <c r="AC12" s="37">
        <v>-4.5</v>
      </c>
      <c r="AG12" s="144">
        <v>532929</v>
      </c>
      <c r="AH12" s="145" t="s">
        <v>15</v>
      </c>
      <c r="AI12" s="146">
        <v>42991</v>
      </c>
      <c r="AJ12" s="37">
        <v>2</v>
      </c>
      <c r="AK12" s="146">
        <v>42992</v>
      </c>
      <c r="AL12" s="147"/>
      <c r="AM12" s="147"/>
      <c r="AN12" s="146">
        <v>42985</v>
      </c>
      <c r="AO12" s="146">
        <v>42991</v>
      </c>
      <c r="AP12" s="145" t="s">
        <v>290</v>
      </c>
    </row>
    <row r="13" spans="2:42" ht="24" x14ac:dyDescent="0.3">
      <c r="B13" s="37" t="s">
        <v>320</v>
      </c>
      <c r="C13" s="165">
        <v>1805.2</v>
      </c>
      <c r="D13" s="165">
        <v>1651.2</v>
      </c>
      <c r="E13" s="165">
        <v>1463.6</v>
      </c>
      <c r="F13" s="37">
        <v>700</v>
      </c>
      <c r="G13" s="37">
        <v>898</v>
      </c>
      <c r="H13" s="37" t="s">
        <v>320</v>
      </c>
      <c r="I13" s="37">
        <v>642.5</v>
      </c>
      <c r="J13" s="37">
        <v>581</v>
      </c>
      <c r="K13" s="165">
        <v>1192.76</v>
      </c>
      <c r="L13" s="37">
        <v>462.23</v>
      </c>
      <c r="M13" s="37" t="s">
        <v>318</v>
      </c>
      <c r="N13" s="37">
        <v>-173.35</v>
      </c>
      <c r="O13" s="37">
        <v>-343.21</v>
      </c>
      <c r="R13" s="37">
        <v>2017</v>
      </c>
      <c r="S13" s="37">
        <v>150.94999999999999</v>
      </c>
      <c r="T13" s="37">
        <v>324.64999999999998</v>
      </c>
      <c r="U13" s="37">
        <v>150.65</v>
      </c>
      <c r="V13" s="37">
        <v>315.89999999999998</v>
      </c>
      <c r="W13" s="37">
        <v>7199986</v>
      </c>
      <c r="X13" s="37">
        <v>118980</v>
      </c>
      <c r="Y13" s="37">
        <v>1827116080</v>
      </c>
      <c r="Z13" s="37">
        <v>4836174</v>
      </c>
      <c r="AA13" s="37">
        <v>67.17</v>
      </c>
      <c r="AB13" s="37">
        <v>174</v>
      </c>
      <c r="AC13" s="37">
        <v>164.95</v>
      </c>
      <c r="AG13" s="144">
        <v>532929</v>
      </c>
      <c r="AH13" s="145" t="s">
        <v>15</v>
      </c>
      <c r="AI13" s="146">
        <v>42991</v>
      </c>
      <c r="AJ13" s="37">
        <v>0.5</v>
      </c>
      <c r="AK13" s="146">
        <v>42992</v>
      </c>
      <c r="AL13" s="147"/>
      <c r="AM13" s="147"/>
      <c r="AN13" s="146">
        <v>42985</v>
      </c>
      <c r="AO13" s="146">
        <v>42991</v>
      </c>
      <c r="AP13" s="145" t="s">
        <v>500</v>
      </c>
    </row>
    <row r="14" spans="2:42" ht="13.8" x14ac:dyDescent="0.25">
      <c r="B14" s="37" t="s">
        <v>244</v>
      </c>
      <c r="C14" s="165">
        <v>1360.7</v>
      </c>
      <c r="D14" s="165">
        <v>1136.5999999999999</v>
      </c>
      <c r="E14" s="165">
        <v>1131.8</v>
      </c>
      <c r="F14" s="165">
        <v>1127.4000000000001</v>
      </c>
      <c r="G14" s="165">
        <v>1122.5</v>
      </c>
      <c r="H14" s="37" t="s">
        <v>323</v>
      </c>
      <c r="I14" s="165">
        <v>1122.5</v>
      </c>
      <c r="J14" s="165">
        <v>1122.5</v>
      </c>
      <c r="K14" s="165">
        <v>1122.52</v>
      </c>
      <c r="L14" s="165">
        <v>1122.52</v>
      </c>
      <c r="M14" s="37" t="s">
        <v>326</v>
      </c>
      <c r="N14" s="37">
        <v>830.53</v>
      </c>
      <c r="O14" s="165">
        <v>1030.8399999999999</v>
      </c>
      <c r="R14" s="37">
        <v>2018</v>
      </c>
      <c r="S14" s="37">
        <v>320</v>
      </c>
      <c r="T14" s="37">
        <v>324.05</v>
      </c>
      <c r="U14" s="37">
        <v>236</v>
      </c>
      <c r="V14" s="37">
        <v>240.85</v>
      </c>
      <c r="W14" s="37">
        <v>1343690</v>
      </c>
      <c r="X14" s="37">
        <v>15483</v>
      </c>
      <c r="Y14" s="37">
        <v>365701184</v>
      </c>
      <c r="Z14" s="37">
        <v>1117117</v>
      </c>
      <c r="AA14" s="37">
        <v>83.14</v>
      </c>
      <c r="AB14" s="37">
        <v>88.05</v>
      </c>
      <c r="AC14" s="37">
        <v>-79.150000000000006</v>
      </c>
      <c r="AJ14" s="37">
        <f>SUM(AJ3:AJ13)</f>
        <v>17.399999999999999</v>
      </c>
    </row>
    <row r="15" spans="2:42" ht="13.8" x14ac:dyDescent="0.25">
      <c r="B15" s="37" t="s">
        <v>249</v>
      </c>
      <c r="C15" s="37">
        <v>13.48</v>
      </c>
      <c r="D15" s="37">
        <v>14.62</v>
      </c>
      <c r="E15" s="37">
        <v>12.97</v>
      </c>
      <c r="F15" s="37">
        <v>6.23</v>
      </c>
      <c r="G15" s="37">
        <v>8</v>
      </c>
      <c r="H15" s="37" t="s">
        <v>325</v>
      </c>
      <c r="I15" s="165">
        <v>10958.6</v>
      </c>
      <c r="J15" s="165">
        <v>10503.1</v>
      </c>
      <c r="K15" s="165">
        <v>10127.76</v>
      </c>
      <c r="L15" s="165">
        <v>9131.35</v>
      </c>
      <c r="M15" s="37" t="s">
        <v>344</v>
      </c>
      <c r="N15" s="37">
        <v>0</v>
      </c>
      <c r="O15" s="37">
        <v>-1.25</v>
      </c>
    </row>
    <row r="16" spans="2:42" ht="13.8" x14ac:dyDescent="0.25">
      <c r="B16" s="37" t="s">
        <v>433</v>
      </c>
      <c r="C16" s="37">
        <v>18.34</v>
      </c>
      <c r="D16" s="37">
        <v>24.09</v>
      </c>
      <c r="E16" s="37">
        <v>21.59</v>
      </c>
      <c r="F16" s="37">
        <v>14.37</v>
      </c>
      <c r="G16" s="37">
        <v>14.92</v>
      </c>
      <c r="H16" s="37" t="s">
        <v>330</v>
      </c>
      <c r="I16" s="37">
        <v>5.72</v>
      </c>
      <c r="J16" s="37" t="s">
        <v>289</v>
      </c>
      <c r="K16" s="37" t="s">
        <v>289</v>
      </c>
      <c r="L16" s="37" t="s">
        <v>289</v>
      </c>
      <c r="M16" s="37" t="s">
        <v>320</v>
      </c>
      <c r="N16" s="37">
        <v>830.53</v>
      </c>
      <c r="O16" s="165">
        <v>1029.5899999999999</v>
      </c>
      <c r="S16" s="123">
        <f>(100*AJ14)/T3</f>
        <v>4.2501221299462628</v>
      </c>
    </row>
    <row r="17" spans="2:15" ht="13.8" x14ac:dyDescent="0.25">
      <c r="B17" s="37" t="s">
        <v>434</v>
      </c>
      <c r="C17" s="37">
        <v>25.36</v>
      </c>
      <c r="D17" s="37">
        <v>20.72</v>
      </c>
      <c r="E17" s="37">
        <v>37.1</v>
      </c>
      <c r="F17" s="37">
        <v>31.91</v>
      </c>
      <c r="G17" s="37">
        <v>29.77</v>
      </c>
      <c r="H17" s="37" t="s">
        <v>332</v>
      </c>
      <c r="I17" s="37">
        <v>5.72</v>
      </c>
      <c r="J17" s="37" t="s">
        <v>289</v>
      </c>
      <c r="K17" s="37" t="s">
        <v>289</v>
      </c>
      <c r="L17" s="37" t="s">
        <v>289</v>
      </c>
      <c r="M17" s="37" t="s">
        <v>323</v>
      </c>
      <c r="N17" s="165">
        <v>1122.52</v>
      </c>
      <c r="O17" s="165">
        <v>1122.52</v>
      </c>
    </row>
    <row r="18" spans="2:15" ht="13.8" x14ac:dyDescent="0.25">
      <c r="B18" s="37" t="s">
        <v>435</v>
      </c>
      <c r="C18" s="37">
        <v>14.27</v>
      </c>
      <c r="D18" s="37">
        <v>9.98</v>
      </c>
      <c r="E18" s="37">
        <v>11.93</v>
      </c>
      <c r="F18" s="37">
        <v>7.08</v>
      </c>
      <c r="G18" s="37">
        <v>10.029999999999999</v>
      </c>
      <c r="H18" s="37" t="s">
        <v>334</v>
      </c>
      <c r="I18" s="37" t="s">
        <v>501</v>
      </c>
      <c r="J18" s="37" t="s">
        <v>502</v>
      </c>
      <c r="K18" s="37" t="s">
        <v>502</v>
      </c>
      <c r="L18" s="37" t="s">
        <v>503</v>
      </c>
      <c r="M18" s="37" t="s">
        <v>325</v>
      </c>
      <c r="N18" s="165">
        <v>8984.31</v>
      </c>
      <c r="O18" s="165">
        <v>8416.59</v>
      </c>
    </row>
    <row r="19" spans="2:15" ht="13.8" x14ac:dyDescent="0.25">
      <c r="B19" s="37" t="s">
        <v>430</v>
      </c>
      <c r="C19" s="37" t="s">
        <v>437</v>
      </c>
      <c r="D19" s="37" t="s">
        <v>437</v>
      </c>
      <c r="E19" s="37" t="s">
        <v>437</v>
      </c>
      <c r="F19" s="37" t="s">
        <v>437</v>
      </c>
      <c r="G19" s="37" t="s">
        <v>437</v>
      </c>
      <c r="H19" s="37" t="s">
        <v>345</v>
      </c>
      <c r="I19" s="37">
        <v>42.42</v>
      </c>
      <c r="J19" s="37">
        <v>42.42</v>
      </c>
      <c r="K19" s="37">
        <v>42.42</v>
      </c>
      <c r="L19" s="37">
        <v>42.46</v>
      </c>
      <c r="M19" s="37" t="s">
        <v>329</v>
      </c>
      <c r="N19" s="37">
        <v>3.13</v>
      </c>
      <c r="O19" s="37">
        <v>9.17</v>
      </c>
    </row>
    <row r="20" spans="2:15" ht="13.8" x14ac:dyDescent="0.25">
      <c r="B20" s="37" t="s">
        <v>430</v>
      </c>
      <c r="C20" s="37" t="s">
        <v>438</v>
      </c>
      <c r="D20" s="37" t="s">
        <v>438</v>
      </c>
      <c r="E20" s="37" t="s">
        <v>438</v>
      </c>
      <c r="F20" s="37" t="s">
        <v>438</v>
      </c>
      <c r="G20" s="37" t="s">
        <v>438</v>
      </c>
      <c r="H20" s="37" t="s">
        <v>351</v>
      </c>
      <c r="I20" s="37">
        <v>27.63</v>
      </c>
      <c r="J20" s="37">
        <v>28.04</v>
      </c>
      <c r="K20" s="37">
        <v>43.39</v>
      </c>
      <c r="L20" s="37">
        <v>20.66</v>
      </c>
      <c r="M20" s="37" t="s">
        <v>334</v>
      </c>
      <c r="N20" s="37" t="s">
        <v>504</v>
      </c>
      <c r="O20" s="37" t="s">
        <v>505</v>
      </c>
    </row>
    <row r="21" spans="2:15" ht="15.75" customHeight="1" x14ac:dyDescent="0.25">
      <c r="B21" s="37" t="s">
        <v>430</v>
      </c>
      <c r="C21" s="37" t="s">
        <v>506</v>
      </c>
      <c r="D21" s="37" t="s">
        <v>506</v>
      </c>
      <c r="E21" s="37" t="s">
        <v>506</v>
      </c>
      <c r="F21" s="37" t="s">
        <v>506</v>
      </c>
      <c r="G21" s="37" t="s">
        <v>506</v>
      </c>
      <c r="H21" s="37" t="s">
        <v>355</v>
      </c>
      <c r="I21" s="37">
        <v>8.25</v>
      </c>
      <c r="J21" s="37">
        <v>9.67</v>
      </c>
      <c r="K21" s="37">
        <v>26.47</v>
      </c>
      <c r="L21" s="37">
        <v>13.01</v>
      </c>
      <c r="M21" s="37" t="s">
        <v>345</v>
      </c>
      <c r="N21" s="37">
        <v>42.53</v>
      </c>
      <c r="O21" s="37">
        <v>42.67</v>
      </c>
    </row>
    <row r="22" spans="2:15" ht="15.75" customHeight="1" x14ac:dyDescent="0.25">
      <c r="H22" s="37" t="s">
        <v>360</v>
      </c>
      <c r="I22" s="37">
        <v>12.16</v>
      </c>
      <c r="J22" s="37">
        <v>8.74</v>
      </c>
      <c r="K22" s="37">
        <v>12.16</v>
      </c>
      <c r="L22" s="37">
        <v>5.71</v>
      </c>
      <c r="M22" s="37" t="s">
        <v>351</v>
      </c>
      <c r="N22" s="37">
        <v>30.92</v>
      </c>
      <c r="O22" s="37">
        <v>32.46</v>
      </c>
    </row>
    <row r="23" spans="2:15" ht="15.75" customHeight="1" x14ac:dyDescent="0.25">
      <c r="H23" s="37" t="s">
        <v>361</v>
      </c>
      <c r="I23" s="37" t="s">
        <v>361</v>
      </c>
      <c r="J23" s="37" t="s">
        <v>361</v>
      </c>
      <c r="K23" s="37" t="s">
        <v>361</v>
      </c>
      <c r="L23" s="37" t="s">
        <v>362</v>
      </c>
      <c r="M23" s="37" t="s">
        <v>355</v>
      </c>
      <c r="N23" s="37">
        <v>21.99</v>
      </c>
      <c r="O23" s="37">
        <v>22.35</v>
      </c>
    </row>
    <row r="24" spans="2:15" ht="15.75" customHeight="1" x14ac:dyDescent="0.25">
      <c r="M24" s="37" t="s">
        <v>360</v>
      </c>
      <c r="N24" s="37">
        <v>8.59</v>
      </c>
      <c r="O24" s="37">
        <v>9.93</v>
      </c>
    </row>
    <row r="25" spans="2:15" ht="15.75" customHeight="1" x14ac:dyDescent="0.25">
      <c r="M25" s="37" t="s">
        <v>361</v>
      </c>
      <c r="N25" s="37" t="s">
        <v>361</v>
      </c>
      <c r="O25" s="37" t="s">
        <v>361</v>
      </c>
    </row>
    <row r="26" spans="2:15" ht="15.75" customHeight="1" x14ac:dyDescent="0.25"/>
    <row r="27" spans="2:15" ht="15.75" customHeight="1" x14ac:dyDescent="0.25"/>
    <row r="28" spans="2:15" ht="15.75" customHeight="1" x14ac:dyDescent="0.25"/>
    <row r="29" spans="2:15" ht="15.75" customHeight="1" x14ac:dyDescent="0.25"/>
    <row r="30" spans="2:15" ht="15.75" customHeight="1" x14ac:dyDescent="0.25"/>
    <row r="31" spans="2:15" ht="15.75" customHeight="1" x14ac:dyDescent="0.25"/>
    <row r="32" spans="2:1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hyperlinks>
    <hyperlink ref="AG3" r:id="rId1" display="https://www.bseindia.com/corporates/ScripWiseCorpAction.aspx?scrip_cd=532929" xr:uid="{00000000-0004-0000-0C00-000000000000}"/>
    <hyperlink ref="AG4" r:id="rId2" display="https://www.bseindia.com/corporates/ScripWiseCorpAction.aspx?scrip_cd=532929" xr:uid="{00000000-0004-0000-0C00-000001000000}"/>
    <hyperlink ref="AG5" r:id="rId3" display="https://www.bseindia.com/corporates/ScripWiseCorpAction.aspx?scrip_cd=532929" xr:uid="{00000000-0004-0000-0C00-000002000000}"/>
    <hyperlink ref="AG6" r:id="rId4" display="https://www.bseindia.com/corporates/ScripWiseCorpAction.aspx?scrip_cd=532929" xr:uid="{00000000-0004-0000-0C00-000003000000}"/>
    <hyperlink ref="AG7" r:id="rId5" display="https://www.bseindia.com/corporates/ScripWiseCorpAction.aspx?scrip_cd=532929" xr:uid="{00000000-0004-0000-0C00-000004000000}"/>
    <hyperlink ref="AG8" r:id="rId6" display="https://www.bseindia.com/corporates/ScripWiseCorpAction.aspx?scrip_cd=532929" xr:uid="{00000000-0004-0000-0C00-000005000000}"/>
    <hyperlink ref="AG9" r:id="rId7" display="https://www.bseindia.com/corporates/ScripWiseCorpAction.aspx?scrip_cd=532929" xr:uid="{00000000-0004-0000-0C00-000006000000}"/>
    <hyperlink ref="AG10" r:id="rId8" display="https://www.bseindia.com/corporates/ScripWiseCorpAction.aspx?scrip_cd=532929" xr:uid="{00000000-0004-0000-0C00-000007000000}"/>
    <hyperlink ref="AG11" r:id="rId9" display="https://www.bseindia.com/corporates/ScripWiseCorpAction.aspx?scrip_cd=532929" xr:uid="{00000000-0004-0000-0C00-000008000000}"/>
    <hyperlink ref="AG12" r:id="rId10" display="https://www.bseindia.com/corporates/ScripWiseCorpAction.aspx?scrip_cd=532929" xr:uid="{00000000-0004-0000-0C00-000009000000}"/>
    <hyperlink ref="AG13" r:id="rId11" display="https://www.bseindia.com/corporates/ScripWiseCorpAction.aspx?scrip_cd=532929" xr:uid="{00000000-0004-0000-0C00-00000A000000}"/>
  </hyperlink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V1000"/>
  <sheetViews>
    <sheetView workbookViewId="0"/>
  </sheetViews>
  <sheetFormatPr defaultColWidth="12.59765625" defaultRowHeight="15" customHeight="1" x14ac:dyDescent="0.25"/>
  <cols>
    <col min="1" max="1" width="7.69921875" customWidth="1"/>
    <col min="2" max="2" width="8" customWidth="1"/>
    <col min="3" max="3" width="8.19921875" customWidth="1"/>
    <col min="4" max="4" width="7.8984375" customWidth="1"/>
    <col min="5" max="26" width="7.69921875" customWidth="1"/>
  </cols>
  <sheetData>
    <row r="2" spans="2:22" ht="13.8" x14ac:dyDescent="0.25">
      <c r="B2" s="142" t="s">
        <v>507</v>
      </c>
      <c r="C2" s="148" t="s">
        <v>508</v>
      </c>
      <c r="J2" s="37" t="s">
        <v>266</v>
      </c>
      <c r="K2" s="37" t="s">
        <v>267</v>
      </c>
      <c r="L2" s="37" t="s">
        <v>268</v>
      </c>
      <c r="M2" s="37" t="s">
        <v>269</v>
      </c>
      <c r="N2" s="37" t="s">
        <v>270</v>
      </c>
      <c r="O2" s="37" t="s">
        <v>271</v>
      </c>
      <c r="P2" s="37" t="s">
        <v>272</v>
      </c>
      <c r="Q2" s="37" t="s">
        <v>273</v>
      </c>
      <c r="R2" s="37" t="s">
        <v>274</v>
      </c>
      <c r="S2" s="37" t="s">
        <v>275</v>
      </c>
      <c r="T2" s="37" t="s">
        <v>276</v>
      </c>
      <c r="U2" s="37" t="s">
        <v>277</v>
      </c>
      <c r="V2" s="37" t="s">
        <v>278</v>
      </c>
    </row>
    <row r="3" spans="2:22" ht="24" x14ac:dyDescent="0.25">
      <c r="B3" s="142" t="s">
        <v>287</v>
      </c>
      <c r="C3" s="143">
        <v>42826</v>
      </c>
      <c r="D3" s="143">
        <v>42461</v>
      </c>
      <c r="E3" s="37" t="s">
        <v>509</v>
      </c>
      <c r="F3" s="37" t="s">
        <v>510</v>
      </c>
      <c r="G3" s="37" t="s">
        <v>511</v>
      </c>
      <c r="J3" s="37">
        <v>2017</v>
      </c>
      <c r="K3" s="37">
        <v>399</v>
      </c>
      <c r="L3" s="37">
        <v>437.4</v>
      </c>
      <c r="M3" s="37">
        <v>326.10000000000002</v>
      </c>
      <c r="N3" s="37">
        <v>394.95</v>
      </c>
      <c r="O3" s="37">
        <v>15259471</v>
      </c>
      <c r="P3" s="37">
        <v>329723</v>
      </c>
      <c r="Q3" s="37">
        <v>5632744925</v>
      </c>
      <c r="R3" s="37">
        <v>3866802</v>
      </c>
      <c r="S3" s="37">
        <v>25.34</v>
      </c>
      <c r="T3" s="37">
        <v>111.3</v>
      </c>
      <c r="U3" s="37">
        <v>-4.05</v>
      </c>
    </row>
    <row r="4" spans="2:22" ht="13.8" x14ac:dyDescent="0.25">
      <c r="B4" s="142" t="s">
        <v>291</v>
      </c>
      <c r="C4" s="143">
        <v>43190</v>
      </c>
      <c r="D4" s="143">
        <v>42825</v>
      </c>
      <c r="J4" s="37">
        <v>2018</v>
      </c>
      <c r="K4" s="37">
        <v>397</v>
      </c>
      <c r="L4" s="37">
        <v>423.95</v>
      </c>
      <c r="M4" s="37">
        <v>269</v>
      </c>
      <c r="N4" s="37">
        <v>283.3</v>
      </c>
      <c r="O4" s="37">
        <v>3704127</v>
      </c>
      <c r="P4" s="37">
        <v>104782</v>
      </c>
      <c r="Q4" s="37">
        <v>1320057091</v>
      </c>
      <c r="R4" s="37">
        <v>1484291</v>
      </c>
      <c r="S4" s="37">
        <v>40.07</v>
      </c>
      <c r="T4" s="37">
        <v>154.94999999999999</v>
      </c>
      <c r="U4" s="37">
        <v>-113.7</v>
      </c>
    </row>
    <row r="5" spans="2:22" ht="36" x14ac:dyDescent="0.25">
      <c r="B5" s="149" t="s">
        <v>293</v>
      </c>
      <c r="C5" s="149" t="s">
        <v>295</v>
      </c>
    </row>
    <row r="6" spans="2:22" ht="13.8" x14ac:dyDescent="0.25">
      <c r="B6" s="150" t="s">
        <v>297</v>
      </c>
      <c r="C6" s="151">
        <v>13410.76</v>
      </c>
      <c r="D6" s="37">
        <v>11553</v>
      </c>
      <c r="E6" s="37">
        <v>8150</v>
      </c>
      <c r="F6" s="37">
        <v>5100</v>
      </c>
      <c r="G6" s="37">
        <v>2340</v>
      </c>
    </row>
    <row r="7" spans="2:22" ht="34.799999999999997" x14ac:dyDescent="0.25">
      <c r="B7" s="150" t="s">
        <v>398</v>
      </c>
      <c r="C7" s="151">
        <v>13410.76</v>
      </c>
    </row>
    <row r="8" spans="2:22" ht="23.4" x14ac:dyDescent="0.25">
      <c r="B8" s="150" t="s">
        <v>299</v>
      </c>
      <c r="C8" s="152">
        <v>241.53</v>
      </c>
    </row>
    <row r="9" spans="2:22" ht="23.4" x14ac:dyDescent="0.25">
      <c r="B9" s="150" t="s">
        <v>301</v>
      </c>
      <c r="C9" s="151">
        <v>13652.29</v>
      </c>
    </row>
    <row r="10" spans="2:22" ht="24" x14ac:dyDescent="0.25">
      <c r="B10" s="153" t="s">
        <v>303</v>
      </c>
      <c r="C10" s="151">
        <v>-12445.55</v>
      </c>
      <c r="D10" s="37">
        <v>-10588</v>
      </c>
    </row>
    <row r="11" spans="2:22" ht="34.799999999999997" x14ac:dyDescent="0.25">
      <c r="B11" s="150" t="s">
        <v>305</v>
      </c>
      <c r="C11" s="151">
        <v>-6343.37</v>
      </c>
    </row>
    <row r="12" spans="2:22" ht="34.799999999999997" x14ac:dyDescent="0.25">
      <c r="B12" s="150" t="s">
        <v>306</v>
      </c>
      <c r="C12" s="151">
        <v>-1166.56</v>
      </c>
    </row>
    <row r="13" spans="2:22" ht="23.4" x14ac:dyDescent="0.25">
      <c r="B13" s="150" t="s">
        <v>310</v>
      </c>
      <c r="C13" s="152">
        <v>-398.74</v>
      </c>
    </row>
    <row r="14" spans="2:22" ht="57.6" x14ac:dyDescent="0.25">
      <c r="B14" s="150" t="s">
        <v>313</v>
      </c>
      <c r="C14" s="152">
        <v>-672.18</v>
      </c>
    </row>
    <row r="15" spans="2:22" ht="23.4" x14ac:dyDescent="0.25">
      <c r="B15" s="150" t="s">
        <v>307</v>
      </c>
      <c r="C15" s="152">
        <v>-499.47</v>
      </c>
    </row>
    <row r="16" spans="2:22" ht="23.4" x14ac:dyDescent="0.25">
      <c r="B16" s="150" t="s">
        <v>512</v>
      </c>
      <c r="C16" s="151">
        <v>-4235.1000000000004</v>
      </c>
    </row>
    <row r="17" spans="2:7" ht="34.799999999999997" x14ac:dyDescent="0.25">
      <c r="B17" s="150" t="s">
        <v>319</v>
      </c>
      <c r="C17" s="151">
        <v>-1166.56</v>
      </c>
    </row>
    <row r="18" spans="2:7" ht="103.2" x14ac:dyDescent="0.25">
      <c r="B18" s="150" t="s">
        <v>496</v>
      </c>
      <c r="C18" s="152">
        <v>370.4</v>
      </c>
    </row>
    <row r="19" spans="2:7" ht="34.799999999999997" x14ac:dyDescent="0.25">
      <c r="B19" s="150" t="s">
        <v>513</v>
      </c>
      <c r="C19" s="151">
        <v>-3735.63</v>
      </c>
    </row>
    <row r="20" spans="2:7" ht="34.799999999999997" x14ac:dyDescent="0.25">
      <c r="B20" s="150" t="s">
        <v>514</v>
      </c>
      <c r="C20" s="151">
        <v>-3735.63</v>
      </c>
    </row>
    <row r="21" spans="2:7" ht="15.75" customHeight="1" x14ac:dyDescent="0.25">
      <c r="B21" s="150" t="s">
        <v>515</v>
      </c>
      <c r="C21" s="151">
        <v>-6343.37</v>
      </c>
    </row>
    <row r="22" spans="2:7" ht="15.75" customHeight="1" x14ac:dyDescent="0.25">
      <c r="B22" s="150" t="s">
        <v>516</v>
      </c>
      <c r="C22" s="152">
        <v>-499.47</v>
      </c>
    </row>
    <row r="23" spans="2:7" ht="15.75" customHeight="1" x14ac:dyDescent="0.25">
      <c r="B23" s="150" t="s">
        <v>517</v>
      </c>
      <c r="C23" s="152">
        <v>370.4</v>
      </c>
    </row>
    <row r="24" spans="2:7" ht="15.75" customHeight="1" x14ac:dyDescent="0.25">
      <c r="B24" s="150" t="s">
        <v>321</v>
      </c>
      <c r="C24" s="151">
        <v>1206.74</v>
      </c>
      <c r="D24" s="37">
        <v>1063</v>
      </c>
    </row>
    <row r="25" spans="2:7" ht="15.75" customHeight="1" x14ac:dyDescent="0.25">
      <c r="B25" s="150" t="s">
        <v>318</v>
      </c>
      <c r="C25" s="152">
        <v>-419.55</v>
      </c>
    </row>
    <row r="26" spans="2:7" ht="15.75" customHeight="1" x14ac:dyDescent="0.25">
      <c r="B26" s="150" t="s">
        <v>327</v>
      </c>
      <c r="C26" s="152">
        <v>787.19</v>
      </c>
    </row>
    <row r="27" spans="2:7" ht="15.75" customHeight="1" x14ac:dyDescent="0.25">
      <c r="B27" s="150" t="s">
        <v>320</v>
      </c>
      <c r="C27" s="152">
        <v>795.69</v>
      </c>
      <c r="D27" s="37">
        <v>695</v>
      </c>
      <c r="E27" s="37">
        <v>440</v>
      </c>
      <c r="F27" s="37">
        <v>270</v>
      </c>
      <c r="G27" s="37">
        <v>100</v>
      </c>
    </row>
    <row r="28" spans="2:7" ht="15.75" customHeight="1" x14ac:dyDescent="0.25">
      <c r="B28" s="150" t="s">
        <v>331</v>
      </c>
      <c r="C28" s="152">
        <v>-276.58</v>
      </c>
    </row>
    <row r="29" spans="2:7" ht="15.75" customHeight="1" x14ac:dyDescent="0.25">
      <c r="B29" s="150" t="s">
        <v>518</v>
      </c>
      <c r="C29" s="152">
        <v>-276.58</v>
      </c>
    </row>
    <row r="30" spans="2:7" ht="15.75" customHeight="1" x14ac:dyDescent="0.25">
      <c r="B30" s="150" t="s">
        <v>333</v>
      </c>
      <c r="C30" s="152">
        <v>-142.97</v>
      </c>
    </row>
    <row r="31" spans="2:7" ht="15.75" customHeight="1" x14ac:dyDescent="0.25">
      <c r="B31" s="150" t="s">
        <v>348</v>
      </c>
      <c r="C31" s="152">
        <v>0</v>
      </c>
    </row>
    <row r="32" spans="2:7" ht="15.75" customHeight="1" x14ac:dyDescent="0.25">
      <c r="B32" s="150" t="s">
        <v>353</v>
      </c>
      <c r="C32" s="152">
        <v>0</v>
      </c>
    </row>
    <row r="33" spans="2:3" ht="15.75" customHeight="1" x14ac:dyDescent="0.25">
      <c r="B33" s="150" t="s">
        <v>358</v>
      </c>
      <c r="C33" s="152">
        <v>795.69</v>
      </c>
    </row>
    <row r="34" spans="2:3" ht="15.75" customHeight="1" x14ac:dyDescent="0.25">
      <c r="B34" s="150" t="s">
        <v>363</v>
      </c>
      <c r="C34" s="152">
        <v>0</v>
      </c>
    </row>
    <row r="35" spans="2:3" ht="15.75" customHeight="1" x14ac:dyDescent="0.25">
      <c r="B35" s="150" t="s">
        <v>366</v>
      </c>
      <c r="C35" s="152">
        <v>795.69</v>
      </c>
    </row>
    <row r="36" spans="2:3" ht="15.75" customHeight="1" x14ac:dyDescent="0.25">
      <c r="B36" s="153" t="s">
        <v>368</v>
      </c>
      <c r="C36" s="152"/>
    </row>
    <row r="37" spans="2:3" ht="15.75" customHeight="1" x14ac:dyDescent="0.25">
      <c r="B37" s="150" t="s">
        <v>324</v>
      </c>
      <c r="C37" s="152">
        <v>0</v>
      </c>
    </row>
    <row r="38" spans="2:3" ht="15.75" customHeight="1" x14ac:dyDescent="0.25">
      <c r="B38" s="150" t="s">
        <v>322</v>
      </c>
      <c r="C38" s="151">
        <v>1206.74</v>
      </c>
    </row>
    <row r="39" spans="2:3" ht="15.75" customHeight="1" x14ac:dyDescent="0.25">
      <c r="B39" s="150" t="s">
        <v>354</v>
      </c>
      <c r="C39" s="152">
        <v>787.19</v>
      </c>
    </row>
    <row r="40" spans="2:3" ht="15.75" customHeight="1" x14ac:dyDescent="0.25">
      <c r="B40" s="150" t="s">
        <v>359</v>
      </c>
      <c r="C40" s="152">
        <v>0</v>
      </c>
    </row>
    <row r="41" spans="2:3" ht="15.75" customHeight="1" x14ac:dyDescent="0.25">
      <c r="B41" s="150" t="s">
        <v>364</v>
      </c>
      <c r="C41" s="152">
        <v>0</v>
      </c>
    </row>
    <row r="42" spans="2:3" ht="15.75" customHeight="1" x14ac:dyDescent="0.25">
      <c r="B42" s="150" t="s">
        <v>367</v>
      </c>
      <c r="C42" s="152">
        <v>0</v>
      </c>
    </row>
    <row r="43" spans="2:3" ht="15.75" customHeight="1" x14ac:dyDescent="0.25">
      <c r="B43" s="150" t="s">
        <v>371</v>
      </c>
      <c r="C43" s="152">
        <v>6.45</v>
      </c>
    </row>
    <row r="44" spans="2:3" ht="15.75" customHeight="1" x14ac:dyDescent="0.25">
      <c r="B44" s="150" t="s">
        <v>372</v>
      </c>
      <c r="C44" s="152">
        <v>0</v>
      </c>
    </row>
    <row r="45" spans="2:3" ht="15.75" customHeight="1" x14ac:dyDescent="0.25">
      <c r="B45" s="150" t="s">
        <v>375</v>
      </c>
      <c r="C45" s="152">
        <v>802.14</v>
      </c>
    </row>
    <row r="46" spans="2:3" ht="15.75" customHeight="1" x14ac:dyDescent="0.25">
      <c r="B46" s="150" t="s">
        <v>373</v>
      </c>
      <c r="C46" s="152">
        <v>0</v>
      </c>
    </row>
    <row r="47" spans="2:3" ht="15.75" customHeight="1" x14ac:dyDescent="0.25">
      <c r="B47" s="150" t="s">
        <v>376</v>
      </c>
      <c r="C47" s="152">
        <v>0</v>
      </c>
    </row>
    <row r="48" spans="2:3" ht="15.75" customHeight="1" x14ac:dyDescent="0.25">
      <c r="B48" s="150" t="s">
        <v>378</v>
      </c>
      <c r="C48" s="152">
        <v>0</v>
      </c>
    </row>
    <row r="49" spans="2:4" ht="15.75" customHeight="1" x14ac:dyDescent="0.25">
      <c r="B49" s="150" t="s">
        <v>380</v>
      </c>
      <c r="C49" s="152">
        <v>0</v>
      </c>
    </row>
    <row r="50" spans="2:4" ht="15.75" customHeight="1" x14ac:dyDescent="0.25">
      <c r="B50" s="150" t="s">
        <v>349</v>
      </c>
      <c r="C50" s="152">
        <v>0</v>
      </c>
    </row>
    <row r="51" spans="2:4" ht="15.75" customHeight="1" x14ac:dyDescent="0.25">
      <c r="B51" s="150" t="s">
        <v>369</v>
      </c>
      <c r="C51" s="152">
        <v>8.49</v>
      </c>
    </row>
    <row r="52" spans="2:4" ht="15.75" customHeight="1" x14ac:dyDescent="0.25">
      <c r="B52" s="150" t="s">
        <v>382</v>
      </c>
      <c r="C52" s="152">
        <v>13.85</v>
      </c>
      <c r="D52" s="37">
        <v>17.16</v>
      </c>
    </row>
    <row r="53" spans="2:4" ht="15.75" customHeight="1" x14ac:dyDescent="0.25">
      <c r="B53" s="150" t="s">
        <v>383</v>
      </c>
      <c r="C53" s="152">
        <v>13.85</v>
      </c>
    </row>
    <row r="54" spans="2:4" ht="15.75" customHeight="1" x14ac:dyDescent="0.3">
      <c r="B54" s="153"/>
      <c r="C54" s="154" t="s">
        <v>362</v>
      </c>
    </row>
    <row r="55" spans="2:4" ht="15.75" customHeight="1" x14ac:dyDescent="0.25">
      <c r="B55" s="150" t="s">
        <v>48</v>
      </c>
      <c r="C55" s="152">
        <v>679</v>
      </c>
    </row>
    <row r="56" spans="2:4" ht="15.75" customHeight="1" x14ac:dyDescent="0.25"/>
    <row r="57" spans="2:4" ht="15.75" customHeight="1" x14ac:dyDescent="0.25"/>
    <row r="58" spans="2:4" ht="15.75" customHeight="1" x14ac:dyDescent="0.25"/>
    <row r="59" spans="2:4" ht="15.75" customHeight="1" x14ac:dyDescent="0.25"/>
    <row r="60" spans="2:4" ht="15.75" customHeight="1" x14ac:dyDescent="0.25"/>
    <row r="61" spans="2:4" ht="15.75" customHeight="1" x14ac:dyDescent="0.25"/>
    <row r="62" spans="2:4" ht="15.75" customHeight="1" x14ac:dyDescent="0.25"/>
    <row r="63" spans="2:4" ht="15.75" customHeight="1" x14ac:dyDescent="0.25"/>
    <row r="64" spans="2:4" ht="15.75" customHeight="1" x14ac:dyDescent="0.25"/>
    <row r="65" spans="1:4" ht="15.75" customHeight="1" x14ac:dyDescent="0.25"/>
    <row r="66" spans="1:4" ht="15.75" customHeight="1" x14ac:dyDescent="0.25"/>
    <row r="67" spans="1:4" ht="15.75" customHeight="1" x14ac:dyDescent="0.25"/>
    <row r="68" spans="1:4" ht="15.75" customHeight="1" x14ac:dyDescent="0.25"/>
    <row r="69" spans="1:4" ht="15.75" customHeight="1" x14ac:dyDescent="0.25">
      <c r="B69" s="37" t="s">
        <v>294</v>
      </c>
      <c r="C69" s="37" t="s">
        <v>519</v>
      </c>
    </row>
    <row r="70" spans="1:4" ht="15.75" customHeight="1" x14ac:dyDescent="0.25">
      <c r="A70" s="37" t="s">
        <v>408</v>
      </c>
      <c r="B70" s="37">
        <v>4058</v>
      </c>
      <c r="C70" s="37">
        <v>2711</v>
      </c>
    </row>
    <row r="71" spans="1:4" ht="15.75" customHeight="1" x14ac:dyDescent="0.25">
      <c r="A71" s="37" t="s">
        <v>520</v>
      </c>
      <c r="B71" s="37">
        <v>227</v>
      </c>
      <c r="C71" s="37">
        <v>161</v>
      </c>
    </row>
    <row r="72" spans="1:4" ht="15.75" customHeight="1" x14ac:dyDescent="0.25">
      <c r="A72" s="37" t="s">
        <v>521</v>
      </c>
      <c r="B72" s="37">
        <v>679</v>
      </c>
      <c r="C72" s="37">
        <v>519</v>
      </c>
      <c r="D72" s="41">
        <f>(B72/C72)^(1/1)-1</f>
        <v>0.30828516377649318</v>
      </c>
    </row>
    <row r="73" spans="1:4" ht="15.75" customHeight="1" x14ac:dyDescent="0.25"/>
    <row r="74" spans="1:4" ht="15.75" customHeight="1" x14ac:dyDescent="0.25"/>
    <row r="75" spans="1:4" ht="15.75" customHeight="1" x14ac:dyDescent="0.25"/>
    <row r="76" spans="1:4" ht="15.75" customHeight="1" x14ac:dyDescent="0.25"/>
    <row r="77" spans="1:4" ht="15.75" customHeight="1" x14ac:dyDescent="0.25"/>
    <row r="78" spans="1:4" ht="15.75" customHeight="1" x14ac:dyDescent="0.25"/>
    <row r="79" spans="1:4" ht="15.75" customHeight="1" x14ac:dyDescent="0.25"/>
    <row r="80" spans="1:4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C1000"/>
  <sheetViews>
    <sheetView workbookViewId="0"/>
  </sheetViews>
  <sheetFormatPr defaultColWidth="12.59765625" defaultRowHeight="15" customHeight="1" x14ac:dyDescent="0.25"/>
  <cols>
    <col min="1" max="7" width="7.59765625" customWidth="1"/>
    <col min="8" max="9" width="6.8984375" customWidth="1"/>
    <col min="10" max="10" width="37.8984375" customWidth="1"/>
    <col min="11" max="11" width="17.09765625" customWidth="1"/>
    <col min="12" max="14" width="11.69921875" customWidth="1"/>
    <col min="15" max="15" width="7.59765625" customWidth="1"/>
    <col min="16" max="19" width="8.59765625" customWidth="1"/>
    <col min="20" max="20" width="7.59765625" customWidth="1"/>
    <col min="21" max="24" width="8.59765625" customWidth="1"/>
    <col min="25" max="55" width="7.59765625" customWidth="1"/>
  </cols>
  <sheetData>
    <row r="1" spans="1:55" ht="27.6" x14ac:dyDescent="0.25">
      <c r="J1" s="37" t="s">
        <v>507</v>
      </c>
      <c r="K1" s="37" t="s">
        <v>508</v>
      </c>
      <c r="L1" s="37" t="s">
        <v>508</v>
      </c>
      <c r="M1" s="37" t="s">
        <v>508</v>
      </c>
      <c r="N1" s="37" t="s">
        <v>508</v>
      </c>
      <c r="O1" s="182" t="s">
        <v>507</v>
      </c>
      <c r="P1" s="183" t="s">
        <v>508</v>
      </c>
      <c r="Q1" s="183" t="s">
        <v>508</v>
      </c>
      <c r="R1" s="183" t="s">
        <v>522</v>
      </c>
      <c r="S1" s="183" t="s">
        <v>508</v>
      </c>
      <c r="T1" s="182" t="s">
        <v>507</v>
      </c>
      <c r="U1" s="183" t="s">
        <v>508</v>
      </c>
      <c r="V1" s="183" t="s">
        <v>508</v>
      </c>
      <c r="W1" s="183" t="s">
        <v>508</v>
      </c>
      <c r="X1" s="183" t="s">
        <v>508</v>
      </c>
    </row>
    <row r="2" spans="1:55" ht="27.6" x14ac:dyDescent="0.25">
      <c r="A2" s="184" t="s">
        <v>287</v>
      </c>
      <c r="B2" s="185">
        <v>42826</v>
      </c>
      <c r="C2" s="184" t="s">
        <v>287</v>
      </c>
      <c r="D2" s="185">
        <v>42461</v>
      </c>
      <c r="E2" s="184" t="s">
        <v>287</v>
      </c>
      <c r="F2" s="185">
        <v>42095</v>
      </c>
      <c r="G2" s="149" t="s">
        <v>427</v>
      </c>
      <c r="H2" s="149">
        <v>2015</v>
      </c>
      <c r="I2" s="149">
        <v>2014</v>
      </c>
      <c r="J2" s="37" t="s">
        <v>288</v>
      </c>
      <c r="K2" s="186">
        <v>41364</v>
      </c>
      <c r="L2" s="186">
        <v>40999</v>
      </c>
      <c r="M2" s="186">
        <v>40633</v>
      </c>
      <c r="N2" s="186">
        <v>40268</v>
      </c>
      <c r="O2" s="182" t="s">
        <v>288</v>
      </c>
      <c r="P2" s="186">
        <v>39903</v>
      </c>
      <c r="Q2" s="186">
        <v>39538</v>
      </c>
      <c r="R2" s="186">
        <v>39172</v>
      </c>
      <c r="S2" s="186">
        <v>38807</v>
      </c>
      <c r="T2" s="182" t="s">
        <v>287</v>
      </c>
      <c r="U2" s="186">
        <v>38078</v>
      </c>
      <c r="V2" s="186">
        <v>37712</v>
      </c>
      <c r="W2" s="186">
        <v>37347</v>
      </c>
      <c r="X2" s="186">
        <v>36982</v>
      </c>
      <c r="AA2" s="37" t="s">
        <v>266</v>
      </c>
      <c r="AB2" s="37" t="s">
        <v>267</v>
      </c>
      <c r="AC2" s="37" t="s">
        <v>268</v>
      </c>
      <c r="AD2" s="37" t="s">
        <v>269</v>
      </c>
      <c r="AE2" s="37" t="s">
        <v>270</v>
      </c>
      <c r="AF2" s="37" t="s">
        <v>271</v>
      </c>
      <c r="AG2" s="37" t="s">
        <v>272</v>
      </c>
      <c r="AH2" s="37" t="s">
        <v>273</v>
      </c>
      <c r="AI2" s="37" t="s">
        <v>274</v>
      </c>
      <c r="AJ2" s="37" t="s">
        <v>275</v>
      </c>
      <c r="AK2" s="37" t="s">
        <v>276</v>
      </c>
      <c r="AL2" s="37" t="s">
        <v>277</v>
      </c>
      <c r="AM2" s="37" t="s">
        <v>278</v>
      </c>
    </row>
    <row r="3" spans="1:55" ht="36" x14ac:dyDescent="0.25">
      <c r="A3" s="184" t="s">
        <v>291</v>
      </c>
      <c r="B3" s="185">
        <v>43190</v>
      </c>
      <c r="C3" s="184" t="s">
        <v>291</v>
      </c>
      <c r="D3" s="185">
        <v>42825</v>
      </c>
      <c r="E3" s="184" t="s">
        <v>291</v>
      </c>
      <c r="F3" s="185">
        <v>42460</v>
      </c>
      <c r="G3" s="285" t="s">
        <v>429</v>
      </c>
      <c r="H3" s="270"/>
      <c r="I3" s="270"/>
      <c r="J3" s="37" t="s">
        <v>292</v>
      </c>
      <c r="K3" s="37">
        <v>12</v>
      </c>
      <c r="L3" s="37">
        <v>12</v>
      </c>
      <c r="M3" s="37">
        <v>12</v>
      </c>
      <c r="N3" s="37">
        <v>12</v>
      </c>
      <c r="O3" s="182" t="s">
        <v>292</v>
      </c>
      <c r="P3" s="183">
        <v>12</v>
      </c>
      <c r="Q3" s="183">
        <v>12</v>
      </c>
      <c r="R3" s="183">
        <v>12</v>
      </c>
      <c r="S3" s="183">
        <v>12</v>
      </c>
      <c r="T3" s="182" t="s">
        <v>291</v>
      </c>
      <c r="U3" s="186">
        <v>38442</v>
      </c>
      <c r="V3" s="186">
        <v>38077</v>
      </c>
      <c r="W3" s="186">
        <v>37711</v>
      </c>
      <c r="X3" s="186">
        <v>37346</v>
      </c>
      <c r="AA3" s="37">
        <v>1996</v>
      </c>
      <c r="AB3" s="37">
        <v>3</v>
      </c>
      <c r="AC3" s="37">
        <v>3</v>
      </c>
      <c r="AD3" s="37">
        <v>3</v>
      </c>
      <c r="AE3" s="37">
        <v>3</v>
      </c>
      <c r="AF3" s="37">
        <v>100</v>
      </c>
      <c r="AG3" s="37">
        <v>1</v>
      </c>
      <c r="AH3" s="37">
        <v>300</v>
      </c>
      <c r="AK3" s="37">
        <v>0</v>
      </c>
      <c r="AL3" s="37">
        <v>0</v>
      </c>
      <c r="AM3" s="37" t="s">
        <v>453</v>
      </c>
      <c r="AP3" s="140" t="s">
        <v>41</v>
      </c>
      <c r="AQ3" s="140" t="s">
        <v>5</v>
      </c>
      <c r="AR3" s="140" t="s">
        <v>279</v>
      </c>
      <c r="AS3" s="140" t="s">
        <v>280</v>
      </c>
      <c r="AT3" s="140" t="s">
        <v>281</v>
      </c>
      <c r="AU3" s="140" t="s">
        <v>282</v>
      </c>
      <c r="AV3" s="140" t="s">
        <v>283</v>
      </c>
      <c r="AW3" s="140" t="s">
        <v>284</v>
      </c>
      <c r="AX3" s="140" t="s">
        <v>285</v>
      </c>
      <c r="AY3" s="141" t="s">
        <v>286</v>
      </c>
    </row>
    <row r="4" spans="1:55" ht="28.2" x14ac:dyDescent="0.3">
      <c r="A4" s="187" t="s">
        <v>293</v>
      </c>
      <c r="B4" s="187" t="s">
        <v>295</v>
      </c>
      <c r="C4" s="187" t="s">
        <v>293</v>
      </c>
      <c r="D4" s="187" t="s">
        <v>295</v>
      </c>
      <c r="E4" s="187" t="s">
        <v>293</v>
      </c>
      <c r="F4" s="187" t="s">
        <v>295</v>
      </c>
      <c r="G4" s="150" t="s">
        <v>243</v>
      </c>
      <c r="H4" s="152">
        <v>930.17</v>
      </c>
      <c r="I4" s="152">
        <v>386.57</v>
      </c>
      <c r="J4" s="37" t="s">
        <v>293</v>
      </c>
      <c r="K4" s="37" t="s">
        <v>295</v>
      </c>
      <c r="O4" s="182" t="s">
        <v>293</v>
      </c>
      <c r="P4" s="286" t="s">
        <v>295</v>
      </c>
      <c r="Q4" s="270"/>
      <c r="R4" s="270"/>
      <c r="S4" s="270"/>
      <c r="T4" s="182" t="s">
        <v>293</v>
      </c>
      <c r="U4" s="286" t="s">
        <v>295</v>
      </c>
      <c r="V4" s="270"/>
      <c r="W4" s="270"/>
      <c r="X4" s="270"/>
      <c r="AA4" s="37">
        <v>1997</v>
      </c>
      <c r="AB4" s="37">
        <v>2.5</v>
      </c>
      <c r="AC4" s="37">
        <v>2.5</v>
      </c>
      <c r="AD4" s="37">
        <v>2.5</v>
      </c>
      <c r="AE4" s="37">
        <v>2.5</v>
      </c>
      <c r="AF4" s="37">
        <v>500</v>
      </c>
      <c r="AG4" s="37">
        <v>1</v>
      </c>
      <c r="AH4" s="37">
        <v>1250</v>
      </c>
      <c r="AK4" s="37">
        <v>0</v>
      </c>
      <c r="AL4" s="37">
        <v>0</v>
      </c>
      <c r="AM4" s="37" t="s">
        <v>453</v>
      </c>
      <c r="AP4" s="144">
        <v>512179</v>
      </c>
      <c r="AQ4" s="145" t="s">
        <v>26</v>
      </c>
      <c r="AR4" s="146">
        <v>40289</v>
      </c>
      <c r="AS4" s="37">
        <v>0.12</v>
      </c>
      <c r="AT4" s="146"/>
      <c r="AU4" s="37">
        <v>0.12</v>
      </c>
      <c r="AV4" s="147"/>
      <c r="AW4" s="146">
        <v>40283</v>
      </c>
      <c r="AX4" s="146">
        <v>40289</v>
      </c>
      <c r="AY4" s="147" t="s">
        <v>289</v>
      </c>
      <c r="AZ4" s="145" t="s">
        <v>399</v>
      </c>
      <c r="BA4" s="37" t="s">
        <v>396</v>
      </c>
      <c r="BB4" s="37" t="s">
        <v>289</v>
      </c>
      <c r="BC4" s="37" t="s">
        <v>397</v>
      </c>
    </row>
    <row r="5" spans="1:55" ht="111" x14ac:dyDescent="0.3">
      <c r="A5" s="188" t="s">
        <v>297</v>
      </c>
      <c r="B5" s="189">
        <v>8882.86</v>
      </c>
      <c r="C5" s="188" t="s">
        <v>297</v>
      </c>
      <c r="D5" s="189">
        <v>9521.9699999999993</v>
      </c>
      <c r="E5" s="188" t="s">
        <v>297</v>
      </c>
      <c r="F5" s="189">
        <v>7864.93</v>
      </c>
      <c r="G5" s="150" t="s">
        <v>299</v>
      </c>
      <c r="H5" s="152">
        <v>89.25</v>
      </c>
      <c r="I5" s="151">
        <v>1328.15</v>
      </c>
      <c r="J5" s="37" t="s">
        <v>298</v>
      </c>
      <c r="K5" s="37">
        <v>318.58</v>
      </c>
      <c r="L5" s="37">
        <v>137.76</v>
      </c>
      <c r="M5" s="37">
        <v>147.53</v>
      </c>
      <c r="N5" s="37">
        <v>163.84</v>
      </c>
      <c r="O5" s="190" t="s">
        <v>298</v>
      </c>
      <c r="P5" s="190">
        <v>21.75</v>
      </c>
      <c r="Q5" s="190">
        <v>30.67</v>
      </c>
      <c r="R5" s="190">
        <v>6.56</v>
      </c>
      <c r="S5" s="190">
        <v>0.44</v>
      </c>
      <c r="T5" s="190" t="s">
        <v>297</v>
      </c>
      <c r="U5" s="190">
        <v>0.4</v>
      </c>
      <c r="V5" s="190">
        <v>0.56999999999999995</v>
      </c>
      <c r="W5" s="190">
        <v>0.36</v>
      </c>
      <c r="X5" s="190">
        <v>1</v>
      </c>
      <c r="AA5" s="37">
        <v>1998</v>
      </c>
      <c r="AB5" s="37">
        <v>2</v>
      </c>
      <c r="AC5" s="37">
        <v>2</v>
      </c>
      <c r="AD5" s="37">
        <v>2</v>
      </c>
      <c r="AE5" s="37">
        <v>2</v>
      </c>
      <c r="AF5" s="37">
        <v>100</v>
      </c>
      <c r="AG5" s="37">
        <v>1</v>
      </c>
      <c r="AH5" s="37">
        <v>200</v>
      </c>
      <c r="AK5" s="37">
        <v>0</v>
      </c>
      <c r="AL5" s="37">
        <v>0</v>
      </c>
      <c r="AM5" s="37" t="s">
        <v>453</v>
      </c>
      <c r="AP5" s="144">
        <v>512179</v>
      </c>
      <c r="AQ5" s="145" t="s">
        <v>26</v>
      </c>
      <c r="AR5" s="146">
        <v>40437</v>
      </c>
      <c r="AS5" s="37">
        <v>0.12</v>
      </c>
      <c r="AT5" s="147"/>
      <c r="AU5" s="37">
        <v>0.12</v>
      </c>
      <c r="AV5" s="146">
        <v>40448</v>
      </c>
      <c r="AW5" s="146">
        <v>40434</v>
      </c>
      <c r="AX5" s="146">
        <v>40438</v>
      </c>
      <c r="AY5" s="147" t="s">
        <v>289</v>
      </c>
      <c r="AZ5" s="145" t="s">
        <v>523</v>
      </c>
      <c r="BA5" s="37" t="s">
        <v>396</v>
      </c>
      <c r="BB5" s="37" t="s">
        <v>289</v>
      </c>
      <c r="BC5" s="37" t="s">
        <v>397</v>
      </c>
    </row>
    <row r="6" spans="1:55" ht="30" x14ac:dyDescent="0.3">
      <c r="A6" s="188" t="s">
        <v>299</v>
      </c>
      <c r="B6" s="191">
        <v>92.51</v>
      </c>
      <c r="C6" s="188" t="s">
        <v>398</v>
      </c>
      <c r="D6" s="189">
        <v>9521.9699999999993</v>
      </c>
      <c r="E6" s="188" t="s">
        <v>300</v>
      </c>
      <c r="F6" s="189">
        <v>7864.93</v>
      </c>
      <c r="G6" s="150" t="s">
        <v>301</v>
      </c>
      <c r="H6" s="151">
        <v>1019.42</v>
      </c>
      <c r="I6" s="151">
        <v>1714.72</v>
      </c>
      <c r="J6" s="37" t="s">
        <v>299</v>
      </c>
      <c r="K6" s="37">
        <v>62.95</v>
      </c>
      <c r="L6" s="37">
        <v>128.63</v>
      </c>
      <c r="M6" s="37">
        <v>10.88</v>
      </c>
      <c r="N6" s="37">
        <v>18.57</v>
      </c>
      <c r="O6" s="190" t="s">
        <v>299</v>
      </c>
      <c r="P6" s="190">
        <v>97.71</v>
      </c>
      <c r="Q6" s="190">
        <v>29.5</v>
      </c>
      <c r="R6" s="190">
        <v>1.77</v>
      </c>
      <c r="S6" s="190">
        <v>0</v>
      </c>
      <c r="T6" s="190" t="s">
        <v>299</v>
      </c>
      <c r="U6" s="190">
        <v>0</v>
      </c>
      <c r="V6" s="190">
        <v>0</v>
      </c>
      <c r="W6" s="190">
        <v>-0.98</v>
      </c>
      <c r="X6" s="190">
        <v>0.05</v>
      </c>
      <c r="AA6" s="37">
        <v>2001</v>
      </c>
      <c r="AB6" s="37">
        <v>2.5</v>
      </c>
      <c r="AC6" s="37">
        <v>2.5</v>
      </c>
      <c r="AD6" s="37">
        <v>2.5</v>
      </c>
      <c r="AE6" s="37">
        <v>2.5</v>
      </c>
      <c r="AF6" s="37">
        <v>100</v>
      </c>
      <c r="AG6" s="37">
        <v>1</v>
      </c>
      <c r="AH6" s="37">
        <v>250</v>
      </c>
      <c r="AK6" s="37">
        <v>0</v>
      </c>
      <c r="AL6" s="37">
        <v>0</v>
      </c>
      <c r="AM6" s="37" t="s">
        <v>453</v>
      </c>
      <c r="AP6" s="144">
        <v>512179</v>
      </c>
      <c r="AQ6" s="145" t="s">
        <v>26</v>
      </c>
      <c r="AR6" s="146">
        <v>40780</v>
      </c>
      <c r="AS6" s="37">
        <v>0.12</v>
      </c>
      <c r="AT6" s="37">
        <v>5</v>
      </c>
      <c r="AU6" s="147">
        <f t="shared" ref="AU6:AU13" si="0">AT6*AS6</f>
        <v>0.6</v>
      </c>
      <c r="AV6" s="147"/>
      <c r="AW6" s="146">
        <v>40773</v>
      </c>
      <c r="AX6" s="146">
        <v>40780</v>
      </c>
      <c r="AY6" s="147" t="s">
        <v>289</v>
      </c>
      <c r="AZ6" s="145" t="s">
        <v>399</v>
      </c>
      <c r="BA6" s="37" t="s">
        <v>396</v>
      </c>
      <c r="BB6" s="37" t="s">
        <v>289</v>
      </c>
      <c r="BC6" s="37" t="s">
        <v>397</v>
      </c>
    </row>
    <row r="7" spans="1:55" ht="28.2" x14ac:dyDescent="0.3">
      <c r="A7" s="188" t="s">
        <v>301</v>
      </c>
      <c r="B7" s="189">
        <v>8975.3799999999992</v>
      </c>
      <c r="C7" s="188" t="s">
        <v>299</v>
      </c>
      <c r="D7" s="191">
        <v>81.64</v>
      </c>
      <c r="E7" s="188" t="s">
        <v>299</v>
      </c>
      <c r="F7" s="191">
        <v>75.87</v>
      </c>
      <c r="G7" s="150" t="s">
        <v>303</v>
      </c>
      <c r="H7" s="152">
        <v>-160.72</v>
      </c>
      <c r="I7" s="152">
        <v>-191.23</v>
      </c>
      <c r="J7" s="37" t="s">
        <v>303</v>
      </c>
      <c r="K7" s="37">
        <v>-179.08</v>
      </c>
      <c r="L7" s="37">
        <v>-48.92</v>
      </c>
      <c r="M7" s="37">
        <v>-69.09</v>
      </c>
      <c r="N7" s="37">
        <v>-74.3</v>
      </c>
      <c r="O7" s="190" t="s">
        <v>301</v>
      </c>
      <c r="P7" s="190">
        <v>119.46</v>
      </c>
      <c r="Q7" s="190">
        <v>60.17</v>
      </c>
      <c r="R7" s="190">
        <v>8.33</v>
      </c>
      <c r="S7" s="190">
        <v>0.44</v>
      </c>
      <c r="T7" s="190" t="s">
        <v>301</v>
      </c>
      <c r="U7" s="190">
        <v>0.4</v>
      </c>
      <c r="V7" s="190">
        <v>0.56999999999999995</v>
      </c>
      <c r="W7" s="190">
        <v>-0.61</v>
      </c>
      <c r="X7" s="190">
        <v>1.06</v>
      </c>
      <c r="AA7" s="37">
        <v>2002</v>
      </c>
      <c r="AB7" s="37">
        <v>3</v>
      </c>
      <c r="AC7" s="37">
        <v>22.7</v>
      </c>
      <c r="AD7" s="37">
        <v>3</v>
      </c>
      <c r="AE7" s="37">
        <v>21.4</v>
      </c>
      <c r="AF7" s="37">
        <v>13100</v>
      </c>
      <c r="AG7" s="37">
        <v>33</v>
      </c>
      <c r="AH7" s="37">
        <v>144499</v>
      </c>
      <c r="AK7" s="37">
        <v>19.7</v>
      </c>
      <c r="AL7" s="37">
        <v>18.399999999999999</v>
      </c>
      <c r="AP7" s="144">
        <v>512179</v>
      </c>
      <c r="AQ7" s="145" t="s">
        <v>26</v>
      </c>
      <c r="AR7" s="146">
        <v>40808</v>
      </c>
      <c r="AS7" s="37">
        <v>0.18</v>
      </c>
      <c r="AT7" s="37">
        <v>5</v>
      </c>
      <c r="AU7" s="147">
        <f t="shared" si="0"/>
        <v>0.89999999999999991</v>
      </c>
      <c r="AV7" s="146">
        <v>40814</v>
      </c>
      <c r="AW7" s="146">
        <v>40805</v>
      </c>
      <c r="AX7" s="146">
        <v>40809</v>
      </c>
      <c r="AY7" s="147" t="s">
        <v>289</v>
      </c>
      <c r="AZ7" s="145" t="s">
        <v>523</v>
      </c>
      <c r="BA7" s="37" t="s">
        <v>396</v>
      </c>
      <c r="BB7" s="37" t="s">
        <v>289</v>
      </c>
      <c r="BC7" s="37" t="s">
        <v>397</v>
      </c>
    </row>
    <row r="8" spans="1:55" ht="28.2" x14ac:dyDescent="0.3">
      <c r="A8" s="192" t="s">
        <v>303</v>
      </c>
      <c r="B8" s="189">
        <v>-5600.2</v>
      </c>
      <c r="C8" s="188" t="s">
        <v>301</v>
      </c>
      <c r="D8" s="189">
        <v>9603.6</v>
      </c>
      <c r="E8" s="188" t="s">
        <v>407</v>
      </c>
      <c r="F8" s="189">
        <v>-4951.92</v>
      </c>
      <c r="G8" s="150" t="s">
        <v>304</v>
      </c>
      <c r="H8" s="152">
        <v>-83.37</v>
      </c>
      <c r="I8" s="152">
        <v>-96.1</v>
      </c>
      <c r="J8" s="37" t="s">
        <v>304</v>
      </c>
      <c r="K8" s="37">
        <v>-95.92</v>
      </c>
      <c r="L8" s="37">
        <v>-54.33</v>
      </c>
      <c r="M8" s="37">
        <v>-0.12</v>
      </c>
      <c r="N8" s="37">
        <v>-0.06</v>
      </c>
      <c r="O8" s="190" t="s">
        <v>303</v>
      </c>
      <c r="P8" s="190">
        <v>-17.95</v>
      </c>
      <c r="Q8" s="190">
        <v>-18.18</v>
      </c>
      <c r="R8" s="190">
        <v>-3.57</v>
      </c>
      <c r="S8" s="190">
        <v>-0.23</v>
      </c>
      <c r="T8" s="190" t="s">
        <v>303</v>
      </c>
      <c r="U8" s="190">
        <v>-0.36</v>
      </c>
      <c r="V8" s="190">
        <v>-0.22</v>
      </c>
      <c r="W8" s="190">
        <v>-0.5</v>
      </c>
      <c r="X8" s="190">
        <v>-0.72</v>
      </c>
      <c r="AA8" s="37">
        <v>2004</v>
      </c>
      <c r="AB8" s="37">
        <v>19</v>
      </c>
      <c r="AC8" s="37">
        <v>19.5</v>
      </c>
      <c r="AD8" s="37">
        <v>19</v>
      </c>
      <c r="AE8" s="37">
        <v>19.5</v>
      </c>
      <c r="AF8" s="37">
        <v>400</v>
      </c>
      <c r="AG8" s="37">
        <v>3</v>
      </c>
      <c r="AH8" s="37">
        <v>7650</v>
      </c>
      <c r="AI8" s="37">
        <v>400</v>
      </c>
      <c r="AJ8" s="37">
        <v>100</v>
      </c>
      <c r="AK8" s="37">
        <v>0.5</v>
      </c>
      <c r="AL8" s="37">
        <v>0.5</v>
      </c>
      <c r="AP8" s="144">
        <v>512179</v>
      </c>
      <c r="AQ8" s="145" t="s">
        <v>26</v>
      </c>
      <c r="AR8" s="146">
        <v>41164</v>
      </c>
      <c r="AS8" s="37">
        <v>0.12</v>
      </c>
      <c r="AT8" s="37">
        <v>5</v>
      </c>
      <c r="AU8" s="147">
        <f t="shared" si="0"/>
        <v>0.6</v>
      </c>
      <c r="AV8" s="146">
        <v>41170</v>
      </c>
      <c r="AW8" s="146">
        <v>41159</v>
      </c>
      <c r="AX8" s="146">
        <v>41165</v>
      </c>
      <c r="AY8" s="147" t="s">
        <v>289</v>
      </c>
      <c r="AZ8" s="145" t="s">
        <v>523</v>
      </c>
      <c r="BA8" s="37" t="s">
        <v>396</v>
      </c>
      <c r="BB8" s="37" t="s">
        <v>289</v>
      </c>
      <c r="BC8" s="37" t="s">
        <v>397</v>
      </c>
    </row>
    <row r="9" spans="1:55" ht="28.2" x14ac:dyDescent="0.3">
      <c r="A9" s="188" t="s">
        <v>310</v>
      </c>
      <c r="B9" s="191">
        <v>-420.56</v>
      </c>
      <c r="C9" s="192" t="s">
        <v>303</v>
      </c>
      <c r="D9" s="189">
        <v>-6519.2</v>
      </c>
      <c r="E9" s="188" t="s">
        <v>307</v>
      </c>
      <c r="F9" s="191">
        <v>-336.53</v>
      </c>
      <c r="G9" s="150" t="s">
        <v>431</v>
      </c>
      <c r="H9" s="152">
        <v>775.33</v>
      </c>
      <c r="I9" s="151">
        <v>1427.39</v>
      </c>
      <c r="J9" s="37" t="s">
        <v>308</v>
      </c>
      <c r="K9" s="37">
        <v>106.53</v>
      </c>
      <c r="L9" s="37">
        <v>163.13999999999999</v>
      </c>
      <c r="M9" s="37">
        <v>89.2</v>
      </c>
      <c r="N9" s="37">
        <v>108.05</v>
      </c>
      <c r="O9" s="190" t="s">
        <v>309</v>
      </c>
      <c r="P9" s="190">
        <v>101.51</v>
      </c>
      <c r="Q9" s="190">
        <v>41.99</v>
      </c>
      <c r="R9" s="190">
        <v>4.76</v>
      </c>
      <c r="S9" s="190">
        <v>0.21</v>
      </c>
      <c r="T9" s="190" t="s">
        <v>309</v>
      </c>
      <c r="U9" s="190">
        <v>0.04</v>
      </c>
      <c r="V9" s="190">
        <v>0.35</v>
      </c>
      <c r="W9" s="190">
        <v>-1.1200000000000001</v>
      </c>
      <c r="X9" s="190">
        <v>0.34</v>
      </c>
      <c r="AA9" s="37">
        <v>2006</v>
      </c>
      <c r="AB9" s="37">
        <v>20.399999999999999</v>
      </c>
      <c r="AC9" s="37">
        <v>207.25</v>
      </c>
      <c r="AD9" s="37">
        <v>20.399999999999999</v>
      </c>
      <c r="AE9" s="37">
        <v>207.25</v>
      </c>
      <c r="AF9" s="37">
        <v>20100</v>
      </c>
      <c r="AG9" s="37">
        <v>87</v>
      </c>
      <c r="AH9" s="37">
        <v>1269891</v>
      </c>
      <c r="AI9" s="37">
        <v>20100</v>
      </c>
      <c r="AJ9" s="37">
        <v>100</v>
      </c>
      <c r="AK9" s="37">
        <v>186.85</v>
      </c>
      <c r="AL9" s="37">
        <v>186.85</v>
      </c>
      <c r="AP9" s="144">
        <v>512179</v>
      </c>
      <c r="AQ9" s="145" t="s">
        <v>26</v>
      </c>
      <c r="AR9" s="146">
        <v>41537</v>
      </c>
      <c r="AS9" s="37">
        <v>0.18</v>
      </c>
      <c r="AT9" s="37">
        <v>5</v>
      </c>
      <c r="AU9" s="147">
        <f t="shared" si="0"/>
        <v>0.89999999999999991</v>
      </c>
      <c r="AV9" s="146">
        <v>41544</v>
      </c>
      <c r="AW9" s="146">
        <v>41534</v>
      </c>
      <c r="AX9" s="146">
        <v>41540</v>
      </c>
      <c r="AY9" s="147" t="s">
        <v>289</v>
      </c>
      <c r="AZ9" s="145" t="s">
        <v>523</v>
      </c>
      <c r="BA9" s="37" t="s">
        <v>396</v>
      </c>
      <c r="BB9" s="37" t="s">
        <v>289</v>
      </c>
      <c r="BC9" s="37" t="s">
        <v>397</v>
      </c>
    </row>
    <row r="10" spans="1:55" ht="39.6" x14ac:dyDescent="0.3">
      <c r="A10" s="188" t="s">
        <v>313</v>
      </c>
      <c r="B10" s="191">
        <v>-16.850000000000001</v>
      </c>
      <c r="C10" s="188" t="s">
        <v>310</v>
      </c>
      <c r="D10" s="191">
        <v>-455.24</v>
      </c>
      <c r="E10" s="188" t="s">
        <v>311</v>
      </c>
      <c r="F10" s="191">
        <v>-76.39</v>
      </c>
      <c r="G10" s="150" t="s">
        <v>312</v>
      </c>
      <c r="H10" s="152">
        <v>-6.75</v>
      </c>
      <c r="I10" s="152">
        <v>-4.03</v>
      </c>
      <c r="J10" s="37" t="s">
        <v>312</v>
      </c>
      <c r="K10" s="37">
        <v>-3.96</v>
      </c>
      <c r="L10" s="37">
        <v>-3.57</v>
      </c>
      <c r="M10" s="37">
        <v>-2.95</v>
      </c>
      <c r="N10" s="37">
        <v>-1.0900000000000001</v>
      </c>
      <c r="O10" s="190" t="s">
        <v>304</v>
      </c>
      <c r="P10" s="190">
        <v>-0.12</v>
      </c>
      <c r="Q10" s="190">
        <v>-9.64</v>
      </c>
      <c r="R10" s="190">
        <v>0</v>
      </c>
      <c r="S10" s="190">
        <v>0</v>
      </c>
      <c r="T10" s="190" t="s">
        <v>316</v>
      </c>
      <c r="U10" s="190">
        <v>0.04</v>
      </c>
      <c r="V10" s="190">
        <v>0.35</v>
      </c>
      <c r="W10" s="190">
        <v>-1.1200000000000001</v>
      </c>
      <c r="X10" s="190">
        <v>0.34</v>
      </c>
      <c r="AA10" s="37">
        <v>2007</v>
      </c>
      <c r="AB10" s="37">
        <v>217.6</v>
      </c>
      <c r="AC10" s="37">
        <v>1957.1</v>
      </c>
      <c r="AD10" s="37">
        <v>217.6</v>
      </c>
      <c r="AE10" s="37">
        <v>1725</v>
      </c>
      <c r="AF10" s="37">
        <v>372250</v>
      </c>
      <c r="AG10" s="37">
        <v>3316</v>
      </c>
      <c r="AH10" s="37">
        <v>319870724</v>
      </c>
      <c r="AI10" s="37">
        <v>372250</v>
      </c>
      <c r="AJ10" s="37">
        <v>100</v>
      </c>
      <c r="AK10" s="37">
        <v>1739.5</v>
      </c>
      <c r="AL10" s="37">
        <v>1507.4</v>
      </c>
      <c r="AP10" s="144">
        <v>512179</v>
      </c>
      <c r="AQ10" s="145" t="s">
        <v>26</v>
      </c>
      <c r="AR10" s="146">
        <v>41900</v>
      </c>
      <c r="AS10" s="37">
        <v>1</v>
      </c>
      <c r="AT10" s="37">
        <v>5</v>
      </c>
      <c r="AU10" s="147">
        <f t="shared" si="0"/>
        <v>5</v>
      </c>
      <c r="AV10" s="146">
        <v>41904</v>
      </c>
      <c r="AW10" s="146">
        <v>41897</v>
      </c>
      <c r="AX10" s="146">
        <v>41900</v>
      </c>
      <c r="AY10" s="147" t="s">
        <v>289</v>
      </c>
      <c r="AZ10" s="145" t="s">
        <v>396</v>
      </c>
      <c r="BA10" s="37" t="s">
        <v>289</v>
      </c>
      <c r="BB10" s="37" t="s">
        <v>397</v>
      </c>
      <c r="BC10" s="37" t="s">
        <v>289</v>
      </c>
    </row>
    <row r="11" spans="1:55" ht="69.599999999999994" x14ac:dyDescent="0.3">
      <c r="A11" s="188" t="s">
        <v>307</v>
      </c>
      <c r="B11" s="191">
        <v>-166.68</v>
      </c>
      <c r="C11" s="188" t="s">
        <v>307</v>
      </c>
      <c r="D11" s="191">
        <v>-256.82</v>
      </c>
      <c r="E11" s="188" t="s">
        <v>317</v>
      </c>
      <c r="F11" s="191">
        <v>-20.9</v>
      </c>
      <c r="G11" s="150" t="s">
        <v>432</v>
      </c>
      <c r="H11" s="152">
        <v>768.58</v>
      </c>
      <c r="I11" s="151">
        <v>1423.36</v>
      </c>
      <c r="J11" s="37" t="s">
        <v>315</v>
      </c>
      <c r="K11" s="37">
        <v>102.58</v>
      </c>
      <c r="L11" s="37">
        <v>159.56</v>
      </c>
      <c r="M11" s="37">
        <v>86.25</v>
      </c>
      <c r="N11" s="37">
        <v>106.96</v>
      </c>
      <c r="O11" s="190" t="s">
        <v>308</v>
      </c>
      <c r="P11" s="190">
        <v>101.39</v>
      </c>
      <c r="Q11" s="190">
        <v>32.35</v>
      </c>
      <c r="R11" s="190">
        <v>4.76</v>
      </c>
      <c r="S11" s="190">
        <v>0.21</v>
      </c>
      <c r="T11" s="190" t="s">
        <v>312</v>
      </c>
      <c r="U11" s="190">
        <v>0</v>
      </c>
      <c r="V11" s="190">
        <v>0</v>
      </c>
      <c r="W11" s="190">
        <v>0</v>
      </c>
      <c r="X11" s="190">
        <v>-0.12</v>
      </c>
      <c r="AA11" s="37">
        <v>2008</v>
      </c>
      <c r="AB11" s="37">
        <v>1739</v>
      </c>
      <c r="AC11" s="37">
        <v>1825</v>
      </c>
      <c r="AD11" s="37">
        <v>1164.5</v>
      </c>
      <c r="AE11" s="37">
        <v>1391.2</v>
      </c>
      <c r="AF11" s="37">
        <v>859359</v>
      </c>
      <c r="AG11" s="37">
        <v>8722</v>
      </c>
      <c r="AH11" s="37">
        <v>1227946175</v>
      </c>
      <c r="AI11" s="37">
        <v>780188</v>
      </c>
      <c r="AJ11" s="37">
        <v>90.79</v>
      </c>
      <c r="AK11" s="37">
        <v>660.5</v>
      </c>
      <c r="AL11" s="37">
        <v>-347.8</v>
      </c>
      <c r="AP11" s="144">
        <v>512179</v>
      </c>
      <c r="AQ11" s="145" t="s">
        <v>26</v>
      </c>
      <c r="AR11" s="146">
        <v>42270</v>
      </c>
      <c r="AS11" s="37">
        <v>1</v>
      </c>
      <c r="AT11" s="37">
        <v>5</v>
      </c>
      <c r="AU11" s="147">
        <f t="shared" si="0"/>
        <v>5</v>
      </c>
      <c r="AV11" s="146">
        <v>42276</v>
      </c>
      <c r="AW11" s="146">
        <v>42265</v>
      </c>
      <c r="AX11" s="146">
        <v>42270</v>
      </c>
      <c r="AY11" s="147" t="s">
        <v>289</v>
      </c>
      <c r="AZ11" s="145" t="s">
        <v>396</v>
      </c>
      <c r="BA11" s="37" t="s">
        <v>289</v>
      </c>
      <c r="BB11" s="37" t="s">
        <v>397</v>
      </c>
      <c r="BC11" s="37" t="s">
        <v>289</v>
      </c>
    </row>
    <row r="12" spans="1:55" ht="42" x14ac:dyDescent="0.3">
      <c r="A12" s="188" t="s">
        <v>319</v>
      </c>
      <c r="B12" s="191">
        <v>-97.66</v>
      </c>
      <c r="C12" s="188" t="s">
        <v>319</v>
      </c>
      <c r="D12" s="191">
        <v>-128.66</v>
      </c>
      <c r="E12" s="192" t="s">
        <v>303</v>
      </c>
      <c r="F12" s="189">
        <v>-5385.73</v>
      </c>
      <c r="G12" s="150" t="s">
        <v>318</v>
      </c>
      <c r="H12" s="152">
        <v>-21.49</v>
      </c>
      <c r="I12" s="152">
        <v>-49.97</v>
      </c>
      <c r="J12" s="37" t="s">
        <v>318</v>
      </c>
      <c r="K12" s="37">
        <v>-33.71</v>
      </c>
      <c r="L12" s="37">
        <v>-41.26</v>
      </c>
      <c r="M12" s="37">
        <v>-24.27</v>
      </c>
      <c r="N12" s="37">
        <v>-34.57</v>
      </c>
      <c r="O12" s="190" t="s">
        <v>312</v>
      </c>
      <c r="P12" s="190">
        <v>-0.72</v>
      </c>
      <c r="Q12" s="190">
        <v>-0.46</v>
      </c>
      <c r="R12" s="190">
        <v>-0.15</v>
      </c>
      <c r="S12" s="190">
        <v>0</v>
      </c>
      <c r="T12" s="190" t="s">
        <v>315</v>
      </c>
      <c r="U12" s="190">
        <v>0.04</v>
      </c>
      <c r="V12" s="190">
        <v>0.35</v>
      </c>
      <c r="W12" s="190">
        <v>-1.1200000000000001</v>
      </c>
      <c r="X12" s="190">
        <v>0.21</v>
      </c>
      <c r="AA12" s="37">
        <v>2009</v>
      </c>
      <c r="AB12" s="37">
        <v>1399</v>
      </c>
      <c r="AC12" s="37">
        <v>2955</v>
      </c>
      <c r="AD12" s="37">
        <v>483</v>
      </c>
      <c r="AE12" s="37">
        <v>576.85</v>
      </c>
      <c r="AF12" s="37">
        <v>7153041</v>
      </c>
      <c r="AG12" s="37">
        <v>63282</v>
      </c>
      <c r="AH12" s="37">
        <v>5293261057</v>
      </c>
      <c r="AI12" s="37">
        <v>2755238</v>
      </c>
      <c r="AJ12" s="37">
        <v>38.520000000000003</v>
      </c>
      <c r="AK12" s="37">
        <v>2472</v>
      </c>
      <c r="AL12" s="37">
        <v>-822.15</v>
      </c>
      <c r="AP12" s="144">
        <v>512179</v>
      </c>
      <c r="AQ12" s="145" t="s">
        <v>26</v>
      </c>
      <c r="AR12" s="146">
        <v>42635</v>
      </c>
      <c r="AS12" s="37">
        <v>2</v>
      </c>
      <c r="AT12" s="37">
        <v>5</v>
      </c>
      <c r="AU12" s="147">
        <f t="shared" si="0"/>
        <v>10</v>
      </c>
      <c r="AV12" s="146">
        <v>42642</v>
      </c>
      <c r="AW12" s="146">
        <v>42632</v>
      </c>
      <c r="AX12" s="146">
        <v>42636</v>
      </c>
      <c r="AY12" s="147" t="s">
        <v>289</v>
      </c>
      <c r="AZ12" s="145" t="s">
        <v>396</v>
      </c>
      <c r="BA12" s="37" t="s">
        <v>289</v>
      </c>
      <c r="BB12" s="37" t="s">
        <v>397</v>
      </c>
      <c r="BC12" s="37" t="s">
        <v>289</v>
      </c>
    </row>
    <row r="13" spans="1:55" ht="42" x14ac:dyDescent="0.3">
      <c r="A13" s="188" t="s">
        <v>403</v>
      </c>
      <c r="B13" s="189">
        <v>-4898.45</v>
      </c>
      <c r="C13" s="188" t="s">
        <v>406</v>
      </c>
      <c r="D13" s="191">
        <v>-22.7</v>
      </c>
      <c r="E13" s="188" t="s">
        <v>304</v>
      </c>
      <c r="F13" s="191">
        <v>-142.99</v>
      </c>
      <c r="G13" s="150" t="s">
        <v>320</v>
      </c>
      <c r="H13" s="152">
        <v>747.09</v>
      </c>
      <c r="I13" s="151">
        <v>1373.38</v>
      </c>
      <c r="J13" s="37" t="s">
        <v>320</v>
      </c>
      <c r="K13" s="37">
        <v>68.86</v>
      </c>
      <c r="L13" s="37">
        <v>118.3</v>
      </c>
      <c r="M13" s="37">
        <v>61.98</v>
      </c>
      <c r="N13" s="37">
        <v>72.39</v>
      </c>
      <c r="O13" s="190" t="s">
        <v>315</v>
      </c>
      <c r="P13" s="190">
        <v>100.66</v>
      </c>
      <c r="Q13" s="190">
        <v>31.89</v>
      </c>
      <c r="R13" s="190">
        <v>4.6100000000000003</v>
      </c>
      <c r="S13" s="190">
        <v>0.21</v>
      </c>
      <c r="T13" s="190" t="s">
        <v>326</v>
      </c>
      <c r="U13" s="190">
        <v>0.03</v>
      </c>
      <c r="V13" s="190">
        <v>0.34</v>
      </c>
      <c r="W13" s="190">
        <v>-1.1200000000000001</v>
      </c>
      <c r="X13" s="190">
        <v>0.23</v>
      </c>
      <c r="Z13" s="190">
        <v>5</v>
      </c>
      <c r="AA13" s="37">
        <v>2010</v>
      </c>
      <c r="AB13" s="37">
        <v>599</v>
      </c>
      <c r="AC13" s="37">
        <v>714</v>
      </c>
      <c r="AD13" s="37">
        <v>425</v>
      </c>
      <c r="AE13" s="37">
        <v>548.79999999999995</v>
      </c>
      <c r="AF13" s="37">
        <v>11593794</v>
      </c>
      <c r="AG13" s="37">
        <v>66614</v>
      </c>
      <c r="AH13" s="37">
        <v>7059100645</v>
      </c>
      <c r="AI13" s="37">
        <v>3482997</v>
      </c>
      <c r="AJ13" s="37">
        <v>30.04</v>
      </c>
      <c r="AK13" s="37">
        <v>289</v>
      </c>
      <c r="AL13" s="37">
        <v>-50.2</v>
      </c>
      <c r="AP13" s="144">
        <v>512179</v>
      </c>
      <c r="AQ13" s="145" t="s">
        <v>26</v>
      </c>
      <c r="AR13" s="146">
        <v>42997</v>
      </c>
      <c r="AS13" s="37">
        <v>1.5</v>
      </c>
      <c r="AT13" s="37">
        <v>5</v>
      </c>
      <c r="AU13" s="147">
        <f t="shared" si="0"/>
        <v>7.5</v>
      </c>
      <c r="AV13" s="146">
        <v>43004</v>
      </c>
      <c r="AW13" s="146">
        <v>42992</v>
      </c>
      <c r="AX13" s="146">
        <v>42998</v>
      </c>
      <c r="AY13" s="147" t="s">
        <v>289</v>
      </c>
      <c r="AZ13" s="145" t="s">
        <v>396</v>
      </c>
      <c r="BA13" s="37" t="s">
        <v>289</v>
      </c>
      <c r="BB13" s="37" t="s">
        <v>397</v>
      </c>
      <c r="BC13" s="37" t="s">
        <v>289</v>
      </c>
    </row>
    <row r="14" spans="1:55" ht="58.2" x14ac:dyDescent="0.25">
      <c r="A14" s="188" t="s">
        <v>322</v>
      </c>
      <c r="B14" s="189">
        <v>3375.17</v>
      </c>
      <c r="C14" s="188" t="s">
        <v>403</v>
      </c>
      <c r="D14" s="189">
        <v>-5655.79</v>
      </c>
      <c r="E14" s="188" t="s">
        <v>321</v>
      </c>
      <c r="F14" s="189">
        <v>2412.08</v>
      </c>
      <c r="G14" s="150" t="s">
        <v>244</v>
      </c>
      <c r="H14" s="152">
        <v>125.93</v>
      </c>
      <c r="I14" s="152">
        <v>125.93</v>
      </c>
      <c r="J14" s="37" t="s">
        <v>323</v>
      </c>
      <c r="K14" s="37">
        <v>125.93</v>
      </c>
      <c r="L14" s="37">
        <v>125.93</v>
      </c>
      <c r="M14" s="37">
        <v>125.93</v>
      </c>
      <c r="N14" s="37">
        <v>125.93</v>
      </c>
      <c r="O14" s="190" t="s">
        <v>318</v>
      </c>
      <c r="P14" s="190">
        <v>-4.97</v>
      </c>
      <c r="Q14" s="190">
        <v>-3.97</v>
      </c>
      <c r="R14" s="190">
        <v>-1.42</v>
      </c>
      <c r="S14" s="190">
        <v>-0.06</v>
      </c>
      <c r="T14" s="190" t="s">
        <v>320</v>
      </c>
      <c r="U14" s="190">
        <v>0.03</v>
      </c>
      <c r="V14" s="190">
        <v>0.34</v>
      </c>
      <c r="W14" s="190">
        <v>-1.1200000000000001</v>
      </c>
      <c r="X14" s="190">
        <v>0.23</v>
      </c>
      <c r="AA14" s="37">
        <v>2011</v>
      </c>
      <c r="AB14" s="37">
        <v>550.85</v>
      </c>
      <c r="AC14" s="37">
        <v>568.5</v>
      </c>
      <c r="AD14" s="37">
        <v>243.05</v>
      </c>
      <c r="AE14" s="37">
        <v>302.55</v>
      </c>
      <c r="AF14" s="37">
        <v>6011654</v>
      </c>
      <c r="AG14" s="37">
        <v>71067</v>
      </c>
      <c r="AH14" s="37">
        <v>1967216377</v>
      </c>
      <c r="AI14" s="37">
        <v>3837868</v>
      </c>
      <c r="AJ14" s="37">
        <v>63.84</v>
      </c>
      <c r="AK14" s="37">
        <v>325.45</v>
      </c>
      <c r="AL14" s="37">
        <v>-248.3</v>
      </c>
      <c r="AP14" s="278"/>
      <c r="AQ14" s="279"/>
      <c r="AR14" s="279"/>
      <c r="AS14" s="279"/>
      <c r="AT14" s="279"/>
      <c r="AU14" s="279"/>
      <c r="AV14" s="279"/>
      <c r="AW14" s="279"/>
      <c r="AX14" s="279"/>
      <c r="AY14" s="280"/>
    </row>
    <row r="15" spans="1:55" ht="58.2" x14ac:dyDescent="0.25">
      <c r="A15" s="188" t="s">
        <v>324</v>
      </c>
      <c r="B15" s="191">
        <v>0</v>
      </c>
      <c r="C15" s="188" t="s">
        <v>321</v>
      </c>
      <c r="D15" s="189">
        <v>3084.4</v>
      </c>
      <c r="E15" s="188" t="s">
        <v>318</v>
      </c>
      <c r="F15" s="191">
        <v>-818.91</v>
      </c>
      <c r="G15" s="150" t="s">
        <v>249</v>
      </c>
      <c r="H15" s="152">
        <v>11.86</v>
      </c>
      <c r="I15" s="152">
        <v>21.81</v>
      </c>
      <c r="J15" s="37" t="s">
        <v>325</v>
      </c>
      <c r="K15" s="37">
        <v>3590.05</v>
      </c>
      <c r="L15" s="37">
        <v>0</v>
      </c>
      <c r="M15" s="37">
        <v>3429.45</v>
      </c>
      <c r="N15" s="37">
        <v>3379.37</v>
      </c>
      <c r="O15" s="190" t="s">
        <v>320</v>
      </c>
      <c r="P15" s="190">
        <v>95.69</v>
      </c>
      <c r="Q15" s="190">
        <v>27.92</v>
      </c>
      <c r="R15" s="190">
        <v>3.2</v>
      </c>
      <c r="S15" s="190">
        <v>0.15</v>
      </c>
      <c r="T15" s="190" t="s">
        <v>323</v>
      </c>
      <c r="U15" s="190">
        <v>2.48</v>
      </c>
      <c r="V15" s="190">
        <v>2.4700000000000002</v>
      </c>
      <c r="W15" s="190">
        <v>2.4700000000000002</v>
      </c>
      <c r="X15" s="190">
        <v>2.4700000000000002</v>
      </c>
      <c r="AA15" s="37">
        <v>2012</v>
      </c>
      <c r="AB15" s="37">
        <v>303.05</v>
      </c>
      <c r="AC15" s="37">
        <v>504</v>
      </c>
      <c r="AD15" s="37">
        <v>242</v>
      </c>
      <c r="AE15" s="37">
        <v>469.75</v>
      </c>
      <c r="AF15" s="37">
        <v>3361728</v>
      </c>
      <c r="AG15" s="37">
        <v>42579</v>
      </c>
      <c r="AH15" s="37">
        <v>1142137117</v>
      </c>
      <c r="AI15" s="37">
        <v>2643626</v>
      </c>
      <c r="AJ15" s="37">
        <v>78.64</v>
      </c>
      <c r="AK15" s="37">
        <v>262</v>
      </c>
      <c r="AL15" s="37">
        <v>166.7</v>
      </c>
      <c r="AU15" s="181">
        <f>SUM(AU4:AU13)</f>
        <v>30.740000000000002</v>
      </c>
    </row>
    <row r="16" spans="1:55" ht="58.2" x14ac:dyDescent="0.25">
      <c r="A16" s="188" t="s">
        <v>321</v>
      </c>
      <c r="B16" s="189">
        <v>3375.17</v>
      </c>
      <c r="C16" s="188" t="s">
        <v>318</v>
      </c>
      <c r="D16" s="191">
        <v>-872.03</v>
      </c>
      <c r="E16" s="188" t="s">
        <v>327</v>
      </c>
      <c r="F16" s="189">
        <v>1593.18</v>
      </c>
      <c r="G16" s="150" t="s">
        <v>433</v>
      </c>
      <c r="H16" s="152">
        <v>11.97</v>
      </c>
      <c r="I16" s="152">
        <v>21.88</v>
      </c>
      <c r="J16" s="37" t="s">
        <v>330</v>
      </c>
      <c r="K16" s="37">
        <v>1.0900000000000001</v>
      </c>
      <c r="L16" s="37">
        <v>1.88</v>
      </c>
      <c r="M16" s="37">
        <v>0.98</v>
      </c>
      <c r="N16" s="37">
        <v>1.19</v>
      </c>
      <c r="O16" s="190" t="s">
        <v>323</v>
      </c>
      <c r="P16" s="190">
        <v>120</v>
      </c>
      <c r="Q16" s="190">
        <v>48.58</v>
      </c>
      <c r="R16" s="190">
        <v>27.48</v>
      </c>
      <c r="S16" s="190">
        <v>2.48</v>
      </c>
      <c r="T16" s="190" t="s">
        <v>325</v>
      </c>
      <c r="U16" s="190">
        <v>3.35</v>
      </c>
      <c r="V16" s="190">
        <v>3.32</v>
      </c>
      <c r="W16" s="190">
        <v>2.97</v>
      </c>
      <c r="X16" s="190">
        <v>4.09</v>
      </c>
      <c r="AA16" s="37">
        <v>2013</v>
      </c>
      <c r="AB16" s="37">
        <v>471.6</v>
      </c>
      <c r="AC16" s="37">
        <v>563.6</v>
      </c>
      <c r="AD16" s="37">
        <v>279.85000000000002</v>
      </c>
      <c r="AE16" s="37">
        <v>302.10000000000002</v>
      </c>
      <c r="AF16" s="37">
        <v>2537104</v>
      </c>
      <c r="AG16" s="37">
        <v>59743</v>
      </c>
      <c r="AH16" s="37">
        <v>987297177</v>
      </c>
      <c r="AI16" s="37">
        <v>1712634</v>
      </c>
      <c r="AJ16" s="37">
        <v>67.5</v>
      </c>
      <c r="AK16" s="37">
        <v>283.75</v>
      </c>
      <c r="AL16" s="37">
        <v>-169.5</v>
      </c>
    </row>
    <row r="17" spans="1:38" ht="110.4" x14ac:dyDescent="0.25">
      <c r="A17" s="188" t="s">
        <v>318</v>
      </c>
      <c r="B17" s="189">
        <v>-1078.49</v>
      </c>
      <c r="C17" s="188" t="s">
        <v>327</v>
      </c>
      <c r="D17" s="189">
        <v>2212.38</v>
      </c>
      <c r="E17" s="188" t="s">
        <v>344</v>
      </c>
      <c r="F17" s="191">
        <v>0</v>
      </c>
      <c r="G17" s="150" t="s">
        <v>434</v>
      </c>
      <c r="H17" s="152">
        <v>92.32</v>
      </c>
      <c r="I17" s="152">
        <v>394.1</v>
      </c>
      <c r="J17" s="37" t="s">
        <v>332</v>
      </c>
      <c r="K17" s="37">
        <v>1.0900000000000001</v>
      </c>
      <c r="L17" s="37">
        <v>1.88</v>
      </c>
      <c r="M17" s="37">
        <v>0.98</v>
      </c>
      <c r="N17" s="37">
        <v>1.19</v>
      </c>
      <c r="O17" s="190" t="s">
        <v>325</v>
      </c>
      <c r="P17" s="193">
        <v>1787.7</v>
      </c>
      <c r="Q17" s="190">
        <v>34.14</v>
      </c>
      <c r="R17" s="190">
        <v>0</v>
      </c>
      <c r="S17" s="190">
        <v>3.5</v>
      </c>
      <c r="T17" s="190" t="s">
        <v>329</v>
      </c>
      <c r="U17" s="190">
        <v>0.12</v>
      </c>
      <c r="V17" s="190">
        <v>1.41</v>
      </c>
      <c r="W17" s="190">
        <v>-4.54</v>
      </c>
      <c r="X17" s="190">
        <v>0.95</v>
      </c>
      <c r="AA17" s="37">
        <v>2014</v>
      </c>
      <c r="AB17" s="37">
        <v>304.8</v>
      </c>
      <c r="AC17" s="37">
        <v>379.9</v>
      </c>
      <c r="AD17" s="37">
        <v>221.25</v>
      </c>
      <c r="AE17" s="37">
        <v>280.05</v>
      </c>
      <c r="AF17" s="37">
        <v>7030229</v>
      </c>
      <c r="AG17" s="37">
        <v>110901</v>
      </c>
      <c r="AH17" s="37">
        <v>2129216755</v>
      </c>
      <c r="AI17" s="37">
        <v>4647321</v>
      </c>
      <c r="AJ17" s="37">
        <v>66.099999999999994</v>
      </c>
      <c r="AK17" s="37">
        <v>158.65</v>
      </c>
      <c r="AL17" s="37">
        <v>-24.75</v>
      </c>
    </row>
    <row r="18" spans="1:38" ht="110.4" x14ac:dyDescent="0.25">
      <c r="A18" s="188" t="s">
        <v>331</v>
      </c>
      <c r="B18" s="189">
        <v>-1002.51</v>
      </c>
      <c r="C18" s="188" t="s">
        <v>320</v>
      </c>
      <c r="D18" s="189">
        <v>2161.4</v>
      </c>
      <c r="E18" s="188" t="s">
        <v>350</v>
      </c>
      <c r="F18" s="191">
        <v>0</v>
      </c>
      <c r="G18" s="150" t="s">
        <v>435</v>
      </c>
      <c r="H18" s="152">
        <v>80.319999999999993</v>
      </c>
      <c r="I18" s="152">
        <v>355.27</v>
      </c>
      <c r="J18" s="37" t="s">
        <v>334</v>
      </c>
      <c r="K18" s="37" t="s">
        <v>524</v>
      </c>
      <c r="L18" s="37" t="s">
        <v>525</v>
      </c>
      <c r="M18" s="37" t="s">
        <v>526</v>
      </c>
      <c r="N18" s="37" t="s">
        <v>527</v>
      </c>
      <c r="O18" s="190" t="s">
        <v>329</v>
      </c>
      <c r="P18" s="190" t="s">
        <v>289</v>
      </c>
      <c r="Q18" s="190" t="s">
        <v>289</v>
      </c>
      <c r="R18" s="190">
        <v>1.47</v>
      </c>
      <c r="S18" s="190">
        <v>0.59</v>
      </c>
      <c r="T18" s="190" t="s">
        <v>346</v>
      </c>
      <c r="U18" s="190" t="s">
        <v>528</v>
      </c>
      <c r="V18" s="190" t="s">
        <v>528</v>
      </c>
      <c r="W18" s="190" t="s">
        <v>529</v>
      </c>
      <c r="X18" s="190" t="s">
        <v>530</v>
      </c>
      <c r="AA18" s="37">
        <v>2015</v>
      </c>
      <c r="AB18" s="37">
        <v>280</v>
      </c>
      <c r="AC18" s="37">
        <v>326.60000000000002</v>
      </c>
      <c r="AD18" s="37">
        <v>205</v>
      </c>
      <c r="AE18" s="37">
        <v>254.25</v>
      </c>
      <c r="AF18" s="37">
        <v>4336652</v>
      </c>
      <c r="AG18" s="37">
        <v>147241</v>
      </c>
      <c r="AH18" s="37">
        <v>1102665588</v>
      </c>
      <c r="AI18" s="37">
        <v>1230535</v>
      </c>
      <c r="AJ18" s="37">
        <v>28.38</v>
      </c>
      <c r="AK18" s="37">
        <v>121.6</v>
      </c>
      <c r="AL18" s="37">
        <v>-25.75</v>
      </c>
    </row>
    <row r="19" spans="1:38" ht="82.8" x14ac:dyDescent="0.25">
      <c r="A19" s="188" t="s">
        <v>333</v>
      </c>
      <c r="B19" s="191">
        <v>-75.989999999999995</v>
      </c>
      <c r="C19" s="188" t="s">
        <v>331</v>
      </c>
      <c r="D19" s="191">
        <v>-863.91</v>
      </c>
      <c r="E19" s="188" t="s">
        <v>320</v>
      </c>
      <c r="F19" s="189">
        <v>1593.18</v>
      </c>
      <c r="J19" s="37" t="s">
        <v>345</v>
      </c>
      <c r="K19" s="37">
        <v>26.56</v>
      </c>
      <c r="L19" s="37">
        <v>29.63</v>
      </c>
      <c r="M19" s="37">
        <v>32.979999999999997</v>
      </c>
      <c r="N19" s="37">
        <v>34.68</v>
      </c>
      <c r="O19" s="190" t="s">
        <v>330</v>
      </c>
      <c r="P19" s="190">
        <v>8.6999999999999993</v>
      </c>
      <c r="Q19" s="190">
        <v>8.2799999999999994</v>
      </c>
      <c r="R19" s="190" t="s">
        <v>289</v>
      </c>
      <c r="S19" s="190" t="s">
        <v>289</v>
      </c>
      <c r="T19" s="190" t="s">
        <v>352</v>
      </c>
      <c r="U19" s="190">
        <v>85.07</v>
      </c>
      <c r="V19" s="190">
        <v>85.07</v>
      </c>
      <c r="W19" s="190">
        <v>76.989999999999995</v>
      </c>
      <c r="X19" s="190">
        <v>60.06</v>
      </c>
      <c r="AA19" s="37">
        <v>2016</v>
      </c>
      <c r="AB19" s="37">
        <v>235</v>
      </c>
      <c r="AC19" s="37">
        <v>300</v>
      </c>
      <c r="AD19" s="37">
        <v>173</v>
      </c>
      <c r="AE19" s="37">
        <v>216.15</v>
      </c>
      <c r="AF19" s="37">
        <v>9492566</v>
      </c>
      <c r="AG19" s="37">
        <v>121768</v>
      </c>
      <c r="AH19" s="37">
        <v>2244029322</v>
      </c>
      <c r="AI19" s="37">
        <v>4375544</v>
      </c>
      <c r="AJ19" s="37">
        <v>46.09</v>
      </c>
      <c r="AK19" s="37">
        <v>127</v>
      </c>
      <c r="AL19" s="37">
        <v>-18.850000000000001</v>
      </c>
    </row>
    <row r="20" spans="1:38" ht="82.8" x14ac:dyDescent="0.25">
      <c r="A20" s="188" t="s">
        <v>327</v>
      </c>
      <c r="B20" s="189">
        <v>2296.6799999999998</v>
      </c>
      <c r="C20" s="188" t="s">
        <v>333</v>
      </c>
      <c r="D20" s="191">
        <v>-8.1199999999999992</v>
      </c>
      <c r="E20" s="188" t="s">
        <v>348</v>
      </c>
      <c r="F20" s="191">
        <v>-100.73</v>
      </c>
      <c r="J20" s="37" t="s">
        <v>351</v>
      </c>
      <c r="K20" s="37">
        <v>63.55</v>
      </c>
      <c r="L20" s="37">
        <v>157.86000000000001</v>
      </c>
      <c r="M20" s="37">
        <v>60.54</v>
      </c>
      <c r="N20" s="37">
        <v>65.989999999999995</v>
      </c>
      <c r="O20" s="190" t="s">
        <v>332</v>
      </c>
      <c r="P20" s="190">
        <v>8.6999999999999993</v>
      </c>
      <c r="Q20" s="190">
        <v>8.19</v>
      </c>
      <c r="R20" s="190" t="s">
        <v>289</v>
      </c>
      <c r="S20" s="190" t="s">
        <v>289</v>
      </c>
      <c r="T20" s="190" t="s">
        <v>356</v>
      </c>
      <c r="U20" s="190" t="s">
        <v>357</v>
      </c>
      <c r="V20" s="190" t="s">
        <v>357</v>
      </c>
      <c r="W20" s="190" t="s">
        <v>357</v>
      </c>
      <c r="X20" s="190" t="s">
        <v>357</v>
      </c>
      <c r="AA20" s="37">
        <v>2017</v>
      </c>
      <c r="AB20" s="37">
        <v>220.65</v>
      </c>
      <c r="AC20" s="37">
        <v>533</v>
      </c>
      <c r="AD20" s="37">
        <v>214</v>
      </c>
      <c r="AE20" s="37">
        <v>419.75</v>
      </c>
      <c r="AF20" s="37">
        <v>18871407</v>
      </c>
      <c r="AG20" s="37">
        <v>352234</v>
      </c>
      <c r="AH20" s="37">
        <v>6345667283</v>
      </c>
      <c r="AI20" s="37">
        <v>5836974</v>
      </c>
      <c r="AJ20" s="37">
        <v>30.93</v>
      </c>
      <c r="AK20" s="37">
        <v>319</v>
      </c>
      <c r="AL20" s="37">
        <v>199.1</v>
      </c>
    </row>
    <row r="21" spans="1:38" ht="15.75" customHeight="1" x14ac:dyDescent="0.25">
      <c r="A21" s="188" t="s">
        <v>349</v>
      </c>
      <c r="B21" s="191">
        <v>0</v>
      </c>
      <c r="C21" s="188" t="s">
        <v>348</v>
      </c>
      <c r="D21" s="191">
        <v>-121.83</v>
      </c>
      <c r="E21" s="188" t="s">
        <v>353</v>
      </c>
      <c r="F21" s="191">
        <v>135.21</v>
      </c>
      <c r="J21" s="37" t="s">
        <v>355</v>
      </c>
      <c r="K21" s="37">
        <v>21.61</v>
      </c>
      <c r="L21" s="37">
        <v>85.87</v>
      </c>
      <c r="M21" s="37">
        <v>42.01</v>
      </c>
      <c r="N21" s="37">
        <v>44.18</v>
      </c>
      <c r="O21" s="190" t="s">
        <v>334</v>
      </c>
      <c r="P21" s="190" t="s">
        <v>531</v>
      </c>
      <c r="Q21" s="190" t="s">
        <v>532</v>
      </c>
      <c r="R21" s="190" t="s">
        <v>533</v>
      </c>
      <c r="S21" s="190" t="s">
        <v>534</v>
      </c>
      <c r="AA21" s="37">
        <v>2018</v>
      </c>
      <c r="AB21" s="37">
        <v>421.9</v>
      </c>
      <c r="AC21" s="37">
        <v>485</v>
      </c>
      <c r="AD21" s="37">
        <v>365</v>
      </c>
      <c r="AE21" s="37">
        <v>412.05</v>
      </c>
      <c r="AF21" s="37">
        <v>11883003</v>
      </c>
      <c r="AG21" s="37">
        <v>151427</v>
      </c>
      <c r="AH21" s="37">
        <v>4902377713</v>
      </c>
      <c r="AI21" s="37">
        <v>3437427</v>
      </c>
      <c r="AJ21" s="37">
        <v>28.93</v>
      </c>
      <c r="AK21" s="37">
        <v>120</v>
      </c>
      <c r="AL21" s="37">
        <v>-9.85</v>
      </c>
    </row>
    <row r="22" spans="1:38" ht="15.75" customHeight="1" x14ac:dyDescent="0.25">
      <c r="A22" s="188" t="s">
        <v>354</v>
      </c>
      <c r="B22" s="189">
        <v>2296.6799999999998</v>
      </c>
      <c r="C22" s="188" t="s">
        <v>353</v>
      </c>
      <c r="D22" s="191">
        <v>0</v>
      </c>
      <c r="E22" s="188" t="s">
        <v>358</v>
      </c>
      <c r="F22" s="189">
        <v>1627.66</v>
      </c>
      <c r="J22" s="37" t="s">
        <v>360</v>
      </c>
      <c r="K22" s="37">
        <v>1.1599999999999999</v>
      </c>
      <c r="L22" s="37">
        <v>1.94</v>
      </c>
      <c r="M22" s="37">
        <v>1.03</v>
      </c>
      <c r="N22" s="37">
        <v>1.17</v>
      </c>
      <c r="O22" s="190" t="s">
        <v>345</v>
      </c>
      <c r="P22" s="190">
        <v>31.57</v>
      </c>
      <c r="Q22" s="190">
        <v>51.66</v>
      </c>
      <c r="R22" s="190">
        <v>56.39</v>
      </c>
      <c r="S22" s="190">
        <v>60.32</v>
      </c>
      <c r="AA22" s="37" t="s">
        <v>472</v>
      </c>
    </row>
    <row r="23" spans="1:38" ht="15.75" customHeight="1" x14ac:dyDescent="0.25">
      <c r="A23" s="188" t="s">
        <v>359</v>
      </c>
      <c r="B23" s="191">
        <v>0</v>
      </c>
      <c r="C23" s="188" t="s">
        <v>358</v>
      </c>
      <c r="D23" s="189">
        <v>2039.57</v>
      </c>
      <c r="E23" s="188" t="s">
        <v>363</v>
      </c>
      <c r="F23" s="191">
        <v>0</v>
      </c>
      <c r="J23" s="37" t="s">
        <v>361</v>
      </c>
      <c r="K23" s="37" t="s">
        <v>361</v>
      </c>
      <c r="L23" s="37" t="s">
        <v>361</v>
      </c>
      <c r="M23" s="37" t="s">
        <v>361</v>
      </c>
      <c r="N23" s="37" t="s">
        <v>361</v>
      </c>
      <c r="O23" s="190" t="s">
        <v>351</v>
      </c>
      <c r="P23" s="190">
        <v>466.71</v>
      </c>
      <c r="Q23" s="190">
        <v>136.91</v>
      </c>
      <c r="R23" s="190">
        <v>72.56</v>
      </c>
      <c r="S23" s="190">
        <v>47.73</v>
      </c>
    </row>
    <row r="24" spans="1:38" ht="15.75" customHeight="1" x14ac:dyDescent="0.25">
      <c r="A24" s="188" t="s">
        <v>364</v>
      </c>
      <c r="B24" s="191">
        <v>0</v>
      </c>
      <c r="C24" s="188" t="s">
        <v>363</v>
      </c>
      <c r="D24" s="191">
        <v>0</v>
      </c>
      <c r="E24" s="188" t="s">
        <v>366</v>
      </c>
      <c r="F24" s="189">
        <v>1627.66</v>
      </c>
      <c r="O24" s="190" t="s">
        <v>355</v>
      </c>
      <c r="P24" s="190">
        <v>439.95</v>
      </c>
      <c r="Q24" s="190">
        <v>91.03</v>
      </c>
      <c r="R24" s="190">
        <v>48.78</v>
      </c>
      <c r="S24" s="190">
        <v>34.090000000000003</v>
      </c>
    </row>
    <row r="25" spans="1:38" ht="15.75" customHeight="1" x14ac:dyDescent="0.25">
      <c r="A25" s="188" t="s">
        <v>367</v>
      </c>
      <c r="B25" s="191">
        <v>0</v>
      </c>
      <c r="C25" s="188" t="s">
        <v>366</v>
      </c>
      <c r="D25" s="189">
        <v>2039.57</v>
      </c>
      <c r="E25" s="188" t="s">
        <v>370</v>
      </c>
      <c r="F25" s="191">
        <v>0</v>
      </c>
      <c r="O25" s="190" t="s">
        <v>360</v>
      </c>
      <c r="P25" s="190">
        <v>8.0299999999999994</v>
      </c>
      <c r="Q25" s="190">
        <v>5.84</v>
      </c>
      <c r="R25" s="190" t="s">
        <v>289</v>
      </c>
      <c r="S25" s="190" t="s">
        <v>289</v>
      </c>
    </row>
    <row r="26" spans="1:38" ht="15.75" customHeight="1" x14ac:dyDescent="0.25">
      <c r="A26" s="188" t="s">
        <v>369</v>
      </c>
      <c r="B26" s="191">
        <v>-56.82</v>
      </c>
      <c r="C26" s="192" t="s">
        <v>368</v>
      </c>
      <c r="D26" s="191"/>
      <c r="E26" s="188" t="s">
        <v>323</v>
      </c>
      <c r="F26" s="191">
        <v>119.93</v>
      </c>
      <c r="O26" s="190" t="s">
        <v>361</v>
      </c>
      <c r="P26" s="194" t="s">
        <v>361</v>
      </c>
      <c r="Q26" s="194" t="s">
        <v>361</v>
      </c>
      <c r="R26" s="194" t="s">
        <v>361</v>
      </c>
      <c r="S26" s="194" t="s">
        <v>361</v>
      </c>
    </row>
    <row r="27" spans="1:38" ht="15.75" customHeight="1" x14ac:dyDescent="0.25">
      <c r="A27" s="188" t="s">
        <v>320</v>
      </c>
      <c r="B27" s="189">
        <v>2239.86</v>
      </c>
      <c r="C27" s="188" t="s">
        <v>324</v>
      </c>
      <c r="D27" s="191">
        <v>0</v>
      </c>
      <c r="E27" s="188" t="s">
        <v>325</v>
      </c>
      <c r="F27" s="189">
        <v>16222.97</v>
      </c>
    </row>
    <row r="28" spans="1:38" ht="15.75" customHeight="1" x14ac:dyDescent="0.25">
      <c r="A28" s="188" t="s">
        <v>348</v>
      </c>
      <c r="B28" s="191">
        <v>0</v>
      </c>
      <c r="C28" s="188" t="s">
        <v>322</v>
      </c>
      <c r="D28" s="189">
        <v>3084.4</v>
      </c>
      <c r="E28" s="192" t="s">
        <v>368</v>
      </c>
      <c r="F28" s="191"/>
    </row>
    <row r="29" spans="1:38" ht="15.75" customHeight="1" x14ac:dyDescent="0.25">
      <c r="A29" s="188" t="s">
        <v>353</v>
      </c>
      <c r="B29" s="191">
        <v>0</v>
      </c>
      <c r="C29" s="188" t="s">
        <v>354</v>
      </c>
      <c r="D29" s="189">
        <v>2212.38</v>
      </c>
      <c r="E29" s="188" t="s">
        <v>324</v>
      </c>
      <c r="F29" s="191">
        <v>0</v>
      </c>
      <c r="G29" s="142" t="s">
        <v>287</v>
      </c>
      <c r="H29" s="142" t="s">
        <v>287</v>
      </c>
      <c r="I29" s="143">
        <v>42095</v>
      </c>
    </row>
    <row r="30" spans="1:38" ht="15.75" customHeight="1" x14ac:dyDescent="0.25">
      <c r="A30" s="188" t="s">
        <v>358</v>
      </c>
      <c r="B30" s="189">
        <v>2239.86</v>
      </c>
      <c r="C30" s="188" t="s">
        <v>359</v>
      </c>
      <c r="D30" s="191">
        <v>0</v>
      </c>
      <c r="E30" s="188" t="s">
        <v>374</v>
      </c>
      <c r="F30" s="191">
        <v>2</v>
      </c>
      <c r="G30" s="142" t="s">
        <v>291</v>
      </c>
      <c r="H30" s="142" t="s">
        <v>291</v>
      </c>
      <c r="I30" s="143">
        <v>42460</v>
      </c>
    </row>
    <row r="31" spans="1:38" ht="15.75" customHeight="1" x14ac:dyDescent="0.25">
      <c r="A31" s="188" t="s">
        <v>363</v>
      </c>
      <c r="B31" s="191">
        <v>0</v>
      </c>
      <c r="C31" s="188" t="s">
        <v>364</v>
      </c>
      <c r="D31" s="191">
        <v>0</v>
      </c>
      <c r="E31" s="192" t="s">
        <v>377</v>
      </c>
      <c r="F31" s="191"/>
      <c r="G31" s="149" t="s">
        <v>293</v>
      </c>
      <c r="H31" s="149" t="s">
        <v>293</v>
      </c>
      <c r="I31" s="149" t="s">
        <v>295</v>
      </c>
    </row>
    <row r="32" spans="1:38" ht="15.75" customHeight="1" x14ac:dyDescent="0.25">
      <c r="A32" s="188" t="s">
        <v>366</v>
      </c>
      <c r="B32" s="189">
        <v>2239.86</v>
      </c>
      <c r="C32" s="188" t="s">
        <v>367</v>
      </c>
      <c r="D32" s="191">
        <v>0</v>
      </c>
      <c r="E32" s="188" t="s">
        <v>379</v>
      </c>
      <c r="F32" s="189">
        <v>2479.1999999999998</v>
      </c>
      <c r="G32" s="150" t="s">
        <v>297</v>
      </c>
      <c r="H32" s="150" t="s">
        <v>297</v>
      </c>
      <c r="I32" s="151">
        <v>7864.93</v>
      </c>
    </row>
    <row r="33" spans="1:9" ht="15.75" customHeight="1" x14ac:dyDescent="0.25">
      <c r="A33" s="188" t="s">
        <v>371</v>
      </c>
      <c r="B33" s="191">
        <v>-6.59</v>
      </c>
      <c r="C33" s="188" t="s">
        <v>371</v>
      </c>
      <c r="D33" s="191">
        <v>40.64</v>
      </c>
      <c r="E33" s="188" t="s">
        <v>381</v>
      </c>
      <c r="F33" s="189">
        <v>2555.0700000000002</v>
      </c>
      <c r="G33" s="150" t="s">
        <v>299</v>
      </c>
      <c r="H33" s="150" t="s">
        <v>300</v>
      </c>
      <c r="I33" s="151">
        <v>7864.93</v>
      </c>
    </row>
    <row r="34" spans="1:9" ht="15.75" customHeight="1" x14ac:dyDescent="0.25">
      <c r="A34" s="188" t="s">
        <v>373</v>
      </c>
      <c r="B34" s="191">
        <v>0</v>
      </c>
      <c r="C34" s="188" t="s">
        <v>372</v>
      </c>
      <c r="D34" s="191">
        <v>0</v>
      </c>
      <c r="E34" s="188" t="s">
        <v>322</v>
      </c>
      <c r="F34" s="189">
        <v>2412.08</v>
      </c>
      <c r="G34" s="150" t="s">
        <v>301</v>
      </c>
      <c r="H34" s="153" t="s">
        <v>303</v>
      </c>
      <c r="I34" s="151">
        <v>-5385.73</v>
      </c>
    </row>
    <row r="35" spans="1:9" ht="15.75" customHeight="1" x14ac:dyDescent="0.25">
      <c r="A35" s="188" t="s">
        <v>376</v>
      </c>
      <c r="B35" s="191">
        <v>0</v>
      </c>
      <c r="C35" s="188" t="s">
        <v>375</v>
      </c>
      <c r="D35" s="189">
        <v>2080.21</v>
      </c>
      <c r="E35" s="188" t="s">
        <v>354</v>
      </c>
      <c r="F35" s="189">
        <v>1593.18</v>
      </c>
      <c r="G35" s="153" t="s">
        <v>303</v>
      </c>
      <c r="H35" s="150" t="s">
        <v>407</v>
      </c>
      <c r="I35" s="151">
        <v>-4951.92</v>
      </c>
    </row>
    <row r="36" spans="1:9" ht="15.75" customHeight="1" x14ac:dyDescent="0.25">
      <c r="A36" s="188" t="s">
        <v>378</v>
      </c>
      <c r="B36" s="191">
        <v>0</v>
      </c>
      <c r="C36" s="188" t="s">
        <v>373</v>
      </c>
      <c r="D36" s="191">
        <v>0</v>
      </c>
      <c r="E36" s="188" t="s">
        <v>359</v>
      </c>
      <c r="F36" s="191">
        <v>0</v>
      </c>
      <c r="G36" s="150" t="s">
        <v>310</v>
      </c>
      <c r="H36" s="150" t="s">
        <v>307</v>
      </c>
      <c r="I36" s="152">
        <v>-336.53</v>
      </c>
    </row>
    <row r="37" spans="1:9" ht="15.75" customHeight="1" x14ac:dyDescent="0.25">
      <c r="A37" s="188" t="s">
        <v>380</v>
      </c>
      <c r="B37" s="191">
        <v>0</v>
      </c>
      <c r="C37" s="188" t="s">
        <v>376</v>
      </c>
      <c r="D37" s="191">
        <v>0</v>
      </c>
      <c r="E37" s="188" t="s">
        <v>364</v>
      </c>
      <c r="F37" s="191">
        <v>0</v>
      </c>
      <c r="G37" s="150" t="s">
        <v>313</v>
      </c>
      <c r="H37" s="150" t="s">
        <v>311</v>
      </c>
      <c r="I37" s="152">
        <v>-76.39</v>
      </c>
    </row>
    <row r="38" spans="1:9" ht="15.75" customHeight="1" x14ac:dyDescent="0.25">
      <c r="A38" s="188" t="s">
        <v>372</v>
      </c>
      <c r="B38" s="191">
        <v>0</v>
      </c>
      <c r="C38" s="188" t="s">
        <v>378</v>
      </c>
      <c r="D38" s="191">
        <v>0</v>
      </c>
      <c r="E38" s="188" t="s">
        <v>367</v>
      </c>
      <c r="F38" s="191">
        <v>0</v>
      </c>
      <c r="G38" s="150" t="s">
        <v>307</v>
      </c>
      <c r="H38" s="150" t="s">
        <v>317</v>
      </c>
      <c r="I38" s="152">
        <v>-20.9</v>
      </c>
    </row>
    <row r="39" spans="1:9" ht="15.75" customHeight="1" x14ac:dyDescent="0.25">
      <c r="A39" s="188" t="s">
        <v>375</v>
      </c>
      <c r="B39" s="189">
        <v>2233.2800000000002</v>
      </c>
      <c r="C39" s="188" t="s">
        <v>380</v>
      </c>
      <c r="D39" s="191">
        <v>0</v>
      </c>
      <c r="E39" s="188" t="s">
        <v>371</v>
      </c>
      <c r="F39" s="191" t="s">
        <v>289</v>
      </c>
      <c r="G39" s="150" t="s">
        <v>319</v>
      </c>
      <c r="H39" s="150" t="s">
        <v>379</v>
      </c>
      <c r="I39" s="151">
        <v>2479.1999999999998</v>
      </c>
    </row>
    <row r="40" spans="1:9" ht="15.75" customHeight="1" x14ac:dyDescent="0.25">
      <c r="A40" s="192" t="s">
        <v>368</v>
      </c>
      <c r="B40" s="191"/>
      <c r="C40" s="188" t="s">
        <v>349</v>
      </c>
      <c r="D40" s="191">
        <v>0</v>
      </c>
      <c r="E40" s="188" t="s">
        <v>372</v>
      </c>
      <c r="F40" s="191" t="s">
        <v>289</v>
      </c>
      <c r="G40" s="150" t="s">
        <v>403</v>
      </c>
      <c r="H40" s="150" t="s">
        <v>299</v>
      </c>
      <c r="I40" s="152">
        <v>75.87</v>
      </c>
    </row>
    <row r="41" spans="1:9" ht="15.75" customHeight="1" x14ac:dyDescent="0.25">
      <c r="A41" s="188" t="s">
        <v>382</v>
      </c>
      <c r="B41" s="191">
        <v>16.739999999999998</v>
      </c>
      <c r="C41" s="188" t="s">
        <v>369</v>
      </c>
      <c r="D41" s="191">
        <v>-50.98</v>
      </c>
      <c r="E41" s="188" t="s">
        <v>375</v>
      </c>
      <c r="F41" s="191" t="s">
        <v>289</v>
      </c>
      <c r="G41" s="150" t="s">
        <v>321</v>
      </c>
      <c r="H41" s="150" t="s">
        <v>381</v>
      </c>
      <c r="I41" s="151">
        <v>2555.0700000000002</v>
      </c>
    </row>
    <row r="42" spans="1:9" ht="15.75" customHeight="1" x14ac:dyDescent="0.25">
      <c r="A42" s="188" t="s">
        <v>383</v>
      </c>
      <c r="B42" s="191">
        <v>16.72</v>
      </c>
      <c r="C42" s="188" t="s">
        <v>382</v>
      </c>
      <c r="D42" s="191">
        <v>34.01</v>
      </c>
      <c r="E42" s="188" t="s">
        <v>386</v>
      </c>
      <c r="F42" s="191" t="s">
        <v>289</v>
      </c>
      <c r="G42" s="150" t="s">
        <v>318</v>
      </c>
      <c r="H42" s="150" t="s">
        <v>304</v>
      </c>
      <c r="I42" s="152">
        <v>-142.99</v>
      </c>
    </row>
    <row r="43" spans="1:9" ht="15.75" customHeight="1" x14ac:dyDescent="0.3">
      <c r="A43" s="192"/>
      <c r="B43" s="154" t="s">
        <v>362</v>
      </c>
      <c r="C43" s="188" t="s">
        <v>383</v>
      </c>
      <c r="D43" s="191">
        <v>34.01</v>
      </c>
      <c r="E43" s="188" t="s">
        <v>387</v>
      </c>
      <c r="F43" s="191" t="s">
        <v>289</v>
      </c>
      <c r="G43" s="150" t="s">
        <v>327</v>
      </c>
      <c r="H43" s="150" t="s">
        <v>322</v>
      </c>
      <c r="I43" s="151">
        <v>2412.08</v>
      </c>
    </row>
    <row r="44" spans="1:9" ht="15.75" customHeight="1" x14ac:dyDescent="0.3">
      <c r="C44" s="192"/>
      <c r="D44" s="154" t="s">
        <v>361</v>
      </c>
      <c r="E44" s="188" t="s">
        <v>388</v>
      </c>
      <c r="F44" s="191" t="s">
        <v>289</v>
      </c>
      <c r="G44" s="150" t="s">
        <v>320</v>
      </c>
      <c r="H44" s="150" t="s">
        <v>324</v>
      </c>
      <c r="I44" s="152">
        <v>0</v>
      </c>
    </row>
    <row r="45" spans="1:9" ht="15.75" customHeight="1" x14ac:dyDescent="0.25">
      <c r="E45" s="188" t="s">
        <v>391</v>
      </c>
      <c r="F45" s="191" t="s">
        <v>289</v>
      </c>
      <c r="G45" s="150" t="s">
        <v>331</v>
      </c>
      <c r="H45" s="150" t="s">
        <v>350</v>
      </c>
      <c r="I45" s="152">
        <v>0</v>
      </c>
    </row>
    <row r="46" spans="1:9" ht="15.75" customHeight="1" x14ac:dyDescent="0.25">
      <c r="E46" s="188" t="s">
        <v>535</v>
      </c>
      <c r="F46" s="191">
        <v>27.14</v>
      </c>
      <c r="G46" s="150" t="s">
        <v>333</v>
      </c>
      <c r="H46" s="150" t="s">
        <v>321</v>
      </c>
      <c r="I46" s="151">
        <v>2412.08</v>
      </c>
    </row>
    <row r="47" spans="1:9" ht="15.75" customHeight="1" x14ac:dyDescent="0.3">
      <c r="E47" s="192"/>
      <c r="F47" s="154" t="s">
        <v>362</v>
      </c>
      <c r="G47" s="150" t="s">
        <v>348</v>
      </c>
      <c r="H47" s="150" t="s">
        <v>318</v>
      </c>
      <c r="I47" s="152">
        <v>-818.91</v>
      </c>
    </row>
    <row r="48" spans="1:9" ht="15.75" customHeight="1" x14ac:dyDescent="0.25">
      <c r="G48" s="150" t="s">
        <v>353</v>
      </c>
      <c r="H48" s="150" t="s">
        <v>327</v>
      </c>
      <c r="I48" s="151">
        <v>1593.18</v>
      </c>
    </row>
    <row r="49" spans="7:9" ht="15.75" customHeight="1" x14ac:dyDescent="0.25">
      <c r="G49" s="150" t="s">
        <v>358</v>
      </c>
      <c r="H49" s="150" t="s">
        <v>344</v>
      </c>
      <c r="I49" s="152">
        <v>0</v>
      </c>
    </row>
    <row r="50" spans="7:9" ht="15.75" customHeight="1" x14ac:dyDescent="0.25">
      <c r="G50" s="150" t="s">
        <v>363</v>
      </c>
      <c r="H50" s="150" t="s">
        <v>354</v>
      </c>
      <c r="I50" s="151">
        <v>1593.18</v>
      </c>
    </row>
    <row r="51" spans="7:9" ht="15.75" customHeight="1" x14ac:dyDescent="0.25">
      <c r="G51" s="150" t="s">
        <v>366</v>
      </c>
      <c r="H51" s="150" t="s">
        <v>359</v>
      </c>
      <c r="I51" s="152">
        <v>0</v>
      </c>
    </row>
    <row r="52" spans="7:9" ht="15.75" customHeight="1" x14ac:dyDescent="0.25">
      <c r="G52" s="153" t="s">
        <v>368</v>
      </c>
      <c r="H52" s="150" t="s">
        <v>364</v>
      </c>
      <c r="I52" s="152">
        <v>0</v>
      </c>
    </row>
    <row r="53" spans="7:9" ht="15.75" customHeight="1" x14ac:dyDescent="0.25">
      <c r="G53" s="150" t="s">
        <v>324</v>
      </c>
      <c r="H53" s="150" t="s">
        <v>367</v>
      </c>
      <c r="I53" s="152">
        <v>0</v>
      </c>
    </row>
    <row r="54" spans="7:9" ht="15.75" customHeight="1" x14ac:dyDescent="0.25">
      <c r="G54" s="150" t="s">
        <v>322</v>
      </c>
      <c r="H54" s="150" t="s">
        <v>320</v>
      </c>
      <c r="I54" s="151">
        <v>1593.18</v>
      </c>
    </row>
    <row r="55" spans="7:9" ht="15.75" customHeight="1" x14ac:dyDescent="0.25">
      <c r="G55" s="150" t="s">
        <v>354</v>
      </c>
      <c r="H55" s="150" t="s">
        <v>348</v>
      </c>
      <c r="I55" s="152">
        <v>-100.73</v>
      </c>
    </row>
    <row r="56" spans="7:9" ht="15.75" customHeight="1" x14ac:dyDescent="0.25">
      <c r="G56" s="150" t="s">
        <v>359</v>
      </c>
      <c r="H56" s="150" t="s">
        <v>353</v>
      </c>
      <c r="I56" s="152">
        <v>135.21</v>
      </c>
    </row>
    <row r="57" spans="7:9" ht="15.75" customHeight="1" x14ac:dyDescent="0.25">
      <c r="G57" s="150" t="s">
        <v>364</v>
      </c>
      <c r="H57" s="150" t="s">
        <v>358</v>
      </c>
      <c r="I57" s="151">
        <v>1627.66</v>
      </c>
    </row>
    <row r="58" spans="7:9" ht="15.75" customHeight="1" x14ac:dyDescent="0.25">
      <c r="G58" s="150" t="s">
        <v>367</v>
      </c>
      <c r="H58" s="150" t="s">
        <v>363</v>
      </c>
      <c r="I58" s="152">
        <v>0</v>
      </c>
    </row>
    <row r="59" spans="7:9" ht="15.75" customHeight="1" x14ac:dyDescent="0.25">
      <c r="G59" s="150" t="s">
        <v>371</v>
      </c>
      <c r="H59" s="150" t="s">
        <v>366</v>
      </c>
      <c r="I59" s="151">
        <v>1627.66</v>
      </c>
    </row>
    <row r="60" spans="7:9" ht="15.75" customHeight="1" x14ac:dyDescent="0.25">
      <c r="G60" s="150" t="s">
        <v>372</v>
      </c>
      <c r="H60" s="150" t="s">
        <v>371</v>
      </c>
      <c r="I60" s="152" t="s">
        <v>289</v>
      </c>
    </row>
    <row r="61" spans="7:9" ht="15.75" customHeight="1" x14ac:dyDescent="0.25">
      <c r="G61" s="150" t="s">
        <v>375</v>
      </c>
      <c r="H61" s="150" t="s">
        <v>372</v>
      </c>
      <c r="I61" s="152" t="s">
        <v>289</v>
      </c>
    </row>
    <row r="62" spans="7:9" ht="15.75" customHeight="1" x14ac:dyDescent="0.25">
      <c r="G62" s="150" t="s">
        <v>373</v>
      </c>
      <c r="H62" s="150" t="s">
        <v>375</v>
      </c>
      <c r="I62" s="152" t="s">
        <v>289</v>
      </c>
    </row>
    <row r="63" spans="7:9" ht="15.75" customHeight="1" x14ac:dyDescent="0.25">
      <c r="G63" s="150" t="s">
        <v>376</v>
      </c>
      <c r="H63" s="150" t="s">
        <v>386</v>
      </c>
      <c r="I63" s="152" t="s">
        <v>289</v>
      </c>
    </row>
    <row r="64" spans="7:9" ht="15.75" customHeight="1" x14ac:dyDescent="0.25">
      <c r="G64" s="150" t="s">
        <v>378</v>
      </c>
      <c r="H64" s="150" t="s">
        <v>387</v>
      </c>
      <c r="I64" s="152" t="s">
        <v>289</v>
      </c>
    </row>
    <row r="65" spans="7:9" ht="15.75" customHeight="1" x14ac:dyDescent="0.25">
      <c r="G65" s="150" t="s">
        <v>380</v>
      </c>
      <c r="H65" s="150" t="s">
        <v>388</v>
      </c>
      <c r="I65" s="152" t="s">
        <v>289</v>
      </c>
    </row>
    <row r="66" spans="7:9" ht="15.75" customHeight="1" x14ac:dyDescent="0.25">
      <c r="G66" s="150" t="s">
        <v>349</v>
      </c>
      <c r="H66" s="150" t="s">
        <v>391</v>
      </c>
      <c r="I66" s="152" t="s">
        <v>289</v>
      </c>
    </row>
    <row r="67" spans="7:9" ht="15.75" customHeight="1" x14ac:dyDescent="0.25">
      <c r="G67" s="150" t="s">
        <v>369</v>
      </c>
      <c r="H67" s="150" t="s">
        <v>370</v>
      </c>
      <c r="I67" s="152">
        <v>0</v>
      </c>
    </row>
    <row r="68" spans="7:9" ht="15.75" customHeight="1" x14ac:dyDescent="0.25">
      <c r="G68" s="150" t="s">
        <v>382</v>
      </c>
      <c r="H68" s="150" t="s">
        <v>323</v>
      </c>
      <c r="I68" s="152">
        <v>119.93</v>
      </c>
    </row>
    <row r="69" spans="7:9" ht="15.75" customHeight="1" x14ac:dyDescent="0.25">
      <c r="G69" s="150" t="s">
        <v>383</v>
      </c>
      <c r="H69" s="150" t="s">
        <v>374</v>
      </c>
      <c r="I69" s="152">
        <v>2</v>
      </c>
    </row>
    <row r="70" spans="7:9" ht="15.75" customHeight="1" x14ac:dyDescent="0.25">
      <c r="G70" s="153"/>
      <c r="H70" s="150" t="s">
        <v>325</v>
      </c>
      <c r="I70" s="151">
        <v>16222.97</v>
      </c>
    </row>
    <row r="71" spans="7:9" ht="15.75" customHeight="1" x14ac:dyDescent="0.25">
      <c r="H71" s="153" t="s">
        <v>377</v>
      </c>
      <c r="I71" s="152"/>
    </row>
    <row r="72" spans="7:9" ht="15.75" customHeight="1" x14ac:dyDescent="0.25">
      <c r="H72" s="153" t="s">
        <v>368</v>
      </c>
      <c r="I72" s="152"/>
    </row>
    <row r="73" spans="7:9" ht="15.75" customHeight="1" x14ac:dyDescent="0.25">
      <c r="H73" s="150" t="s">
        <v>535</v>
      </c>
      <c r="I73" s="152">
        <v>27.14</v>
      </c>
    </row>
    <row r="74" spans="7:9" ht="15.75" customHeight="1" x14ac:dyDescent="0.3">
      <c r="H74" s="153"/>
      <c r="I74" s="154" t="s">
        <v>362</v>
      </c>
    </row>
    <row r="75" spans="7:9" ht="15.75" customHeight="1" x14ac:dyDescent="0.25"/>
    <row r="76" spans="7:9" ht="15.75" customHeight="1" x14ac:dyDescent="0.25"/>
    <row r="77" spans="7:9" ht="15.75" customHeight="1" x14ac:dyDescent="0.25"/>
    <row r="78" spans="7:9" ht="15.75" customHeight="1" x14ac:dyDescent="0.25"/>
    <row r="79" spans="7:9" ht="15.75" customHeight="1" x14ac:dyDescent="0.25"/>
    <row r="80" spans="7:9" ht="15.75" customHeight="1" x14ac:dyDescent="0.25"/>
    <row r="81" spans="1:12" ht="15.75" customHeight="1" x14ac:dyDescent="0.25">
      <c r="B81" s="37" t="s">
        <v>294</v>
      </c>
      <c r="C81" s="37" t="s">
        <v>519</v>
      </c>
      <c r="G81" s="37" t="s">
        <v>294</v>
      </c>
      <c r="H81" s="37" t="s">
        <v>519</v>
      </c>
      <c r="K81" s="37">
        <v>58</v>
      </c>
      <c r="L81" s="37">
        <v>29</v>
      </c>
    </row>
    <row r="82" spans="1:12" ht="15.75" customHeight="1" x14ac:dyDescent="0.25">
      <c r="A82" s="37" t="s">
        <v>243</v>
      </c>
      <c r="B82" s="37">
        <v>682</v>
      </c>
      <c r="C82" s="37">
        <v>690</v>
      </c>
      <c r="D82" s="41">
        <f t="shared" ref="D82:D86" si="1">(B82/C82)^(1/1)-1</f>
        <v>-1.1594202898550732E-2</v>
      </c>
      <c r="G82" s="37">
        <v>2111</v>
      </c>
      <c r="H82" s="37">
        <v>1333</v>
      </c>
    </row>
    <row r="83" spans="1:12" ht="15.75" customHeight="1" x14ac:dyDescent="0.25">
      <c r="A83" s="37" t="s">
        <v>412</v>
      </c>
      <c r="B83" s="37">
        <v>32</v>
      </c>
      <c r="C83" s="37">
        <v>32</v>
      </c>
      <c r="D83" s="41">
        <f t="shared" si="1"/>
        <v>0</v>
      </c>
      <c r="G83" s="37">
        <v>589</v>
      </c>
      <c r="H83" s="37">
        <v>398</v>
      </c>
    </row>
    <row r="84" spans="1:12" ht="15.75" customHeight="1" x14ac:dyDescent="0.25">
      <c r="A84" s="37" t="s">
        <v>413</v>
      </c>
      <c r="B84" s="37">
        <v>164</v>
      </c>
      <c r="C84" s="37">
        <v>158</v>
      </c>
      <c r="D84" s="41">
        <f t="shared" si="1"/>
        <v>3.7974683544303778E-2</v>
      </c>
    </row>
    <row r="85" spans="1:12" ht="15.75" customHeight="1" x14ac:dyDescent="0.25">
      <c r="A85" s="37" t="s">
        <v>414</v>
      </c>
      <c r="B85" s="37">
        <v>11.62</v>
      </c>
      <c r="C85" s="37">
        <v>12.52</v>
      </c>
      <c r="D85" s="41">
        <f t="shared" si="1"/>
        <v>-7.1884984025559095E-2</v>
      </c>
    </row>
    <row r="86" spans="1:12" ht="15.75" customHeight="1" x14ac:dyDescent="0.25">
      <c r="A86" s="37" t="s">
        <v>418</v>
      </c>
      <c r="B86" s="37">
        <f t="shared" ref="B86:C86" si="2">(B84)/B82</f>
        <v>0.2404692082111437</v>
      </c>
      <c r="C86" s="37">
        <f t="shared" si="2"/>
        <v>0.22898550724637681</v>
      </c>
      <c r="D86" s="41">
        <f t="shared" si="1"/>
        <v>5.0150339656260368E-2</v>
      </c>
    </row>
    <row r="87" spans="1:12" ht="15.75" customHeight="1" x14ac:dyDescent="0.25"/>
    <row r="88" spans="1:12" ht="15.75" customHeight="1" x14ac:dyDescent="0.25"/>
    <row r="89" spans="1:12" ht="15.75" customHeight="1" x14ac:dyDescent="0.25"/>
    <row r="90" spans="1:12" ht="15.75" customHeight="1" x14ac:dyDescent="0.25"/>
    <row r="91" spans="1:12" ht="15.75" customHeight="1" x14ac:dyDescent="0.25"/>
    <row r="92" spans="1:12" ht="15.75" customHeight="1" x14ac:dyDescent="0.25"/>
    <row r="93" spans="1:12" ht="15.75" customHeight="1" x14ac:dyDescent="0.25"/>
    <row r="94" spans="1:12" ht="15.75" customHeight="1" x14ac:dyDescent="0.25"/>
    <row r="95" spans="1:12" ht="15.75" customHeight="1" x14ac:dyDescent="0.25"/>
    <row r="96" spans="1:12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G3:I3"/>
    <mergeCell ref="P4:S4"/>
    <mergeCell ref="U4:X4"/>
    <mergeCell ref="AP14:AY14"/>
  </mergeCells>
  <hyperlinks>
    <hyperlink ref="AP4" r:id="rId1" display="https://www.bseindia.com/corporates/ScripWiseCorpAction.aspx?scrip_cd=512179" xr:uid="{00000000-0004-0000-0E00-000000000000}"/>
    <hyperlink ref="AP5" r:id="rId2" display="https://www.bseindia.com/corporates/ScripWiseCorpAction.aspx?scrip_cd=512179" xr:uid="{00000000-0004-0000-0E00-000001000000}"/>
    <hyperlink ref="AP6" r:id="rId3" display="https://www.bseindia.com/corporates/ScripWiseCorpAction.aspx?scrip_cd=512179" xr:uid="{00000000-0004-0000-0E00-000002000000}"/>
    <hyperlink ref="AP7" r:id="rId4" display="https://www.bseindia.com/corporates/ScripWiseCorpAction.aspx?scrip_cd=512179" xr:uid="{00000000-0004-0000-0E00-000003000000}"/>
    <hyperlink ref="AP8" r:id="rId5" display="https://www.bseindia.com/corporates/ScripWiseCorpAction.aspx?scrip_cd=512179" xr:uid="{00000000-0004-0000-0E00-000004000000}"/>
    <hyperlink ref="AP9" r:id="rId6" display="https://www.bseindia.com/corporates/ScripWiseCorpAction.aspx?scrip_cd=512179" xr:uid="{00000000-0004-0000-0E00-000005000000}"/>
    <hyperlink ref="AP10" r:id="rId7" display="https://www.bseindia.com/corporates/ScripWiseCorpAction.aspx?scrip_cd=512179" xr:uid="{00000000-0004-0000-0E00-000006000000}"/>
    <hyperlink ref="AP11" r:id="rId8" display="https://www.bseindia.com/corporates/ScripWiseCorpAction.aspx?scrip_cd=512179" xr:uid="{00000000-0004-0000-0E00-000007000000}"/>
    <hyperlink ref="AP12" r:id="rId9" display="https://www.bseindia.com/corporates/ScripWiseCorpAction.aspx?scrip_cd=512179" xr:uid="{00000000-0004-0000-0E00-000008000000}"/>
    <hyperlink ref="AP13" r:id="rId10" display="https://www.bseindia.com/corporates/ScripWiseCorpAction.aspx?scrip_cd=512179" xr:uid="{00000000-0004-0000-0E00-000009000000}"/>
  </hyperlink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BB1000"/>
  <sheetViews>
    <sheetView workbookViewId="0"/>
  </sheetViews>
  <sheetFormatPr defaultColWidth="12.59765625" defaultRowHeight="15" customHeight="1" x14ac:dyDescent="0.25"/>
  <cols>
    <col min="1" max="1" width="7.59765625" customWidth="1"/>
    <col min="2" max="2" width="15.3984375" customWidth="1"/>
    <col min="3" max="3" width="10.5" customWidth="1"/>
    <col min="4" max="4" width="15.3984375" customWidth="1"/>
    <col min="5" max="6" width="11.09765625" customWidth="1"/>
    <col min="7" max="7" width="61.09765625" customWidth="1"/>
    <col min="8" max="8" width="17.09765625" customWidth="1"/>
    <col min="9" max="9" width="83" customWidth="1"/>
    <col min="10" max="10" width="17.09765625" customWidth="1"/>
    <col min="11" max="13" width="12.59765625" customWidth="1"/>
    <col min="14" max="54" width="7.59765625" customWidth="1"/>
  </cols>
  <sheetData>
    <row r="3" spans="2:54" ht="13.8" x14ac:dyDescent="0.25">
      <c r="B3" s="37" t="s">
        <v>427</v>
      </c>
      <c r="C3" s="37">
        <v>2018</v>
      </c>
      <c r="D3" s="37">
        <v>2017</v>
      </c>
      <c r="E3" s="37">
        <v>2016</v>
      </c>
      <c r="F3" s="37">
        <v>2015</v>
      </c>
      <c r="G3" s="37">
        <v>2014</v>
      </c>
      <c r="H3" s="37">
        <v>2013</v>
      </c>
      <c r="I3" s="37" t="s">
        <v>288</v>
      </c>
      <c r="J3" s="164">
        <v>40999</v>
      </c>
      <c r="K3" s="164">
        <v>40633</v>
      </c>
      <c r="L3" s="164">
        <v>40268</v>
      </c>
      <c r="M3" s="164">
        <v>39903</v>
      </c>
      <c r="P3" s="37" t="s">
        <v>266</v>
      </c>
      <c r="Q3" s="37" t="s">
        <v>267</v>
      </c>
      <c r="R3" s="37" t="s">
        <v>268</v>
      </c>
      <c r="S3" s="37" t="s">
        <v>269</v>
      </c>
      <c r="T3" s="37" t="s">
        <v>270</v>
      </c>
      <c r="U3" s="37" t="s">
        <v>271</v>
      </c>
      <c r="V3" s="37" t="s">
        <v>272</v>
      </c>
      <c r="W3" s="37" t="s">
        <v>273</v>
      </c>
      <c r="X3" s="37" t="s">
        <v>274</v>
      </c>
      <c r="Y3" s="37" t="s">
        <v>275</v>
      </c>
      <c r="Z3" s="37" t="s">
        <v>276</v>
      </c>
      <c r="AA3" s="37" t="s">
        <v>277</v>
      </c>
      <c r="AB3" s="37" t="s">
        <v>278</v>
      </c>
      <c r="AD3" s="37" t="s">
        <v>536</v>
      </c>
      <c r="AE3" s="37" t="s">
        <v>537</v>
      </c>
      <c r="AF3" s="37" t="s">
        <v>538</v>
      </c>
      <c r="AG3" s="37" t="s">
        <v>539</v>
      </c>
      <c r="AH3" s="37" t="s">
        <v>540</v>
      </c>
      <c r="AI3" s="37" t="s">
        <v>242</v>
      </c>
      <c r="AJ3" s="37" t="s">
        <v>280</v>
      </c>
      <c r="AK3" s="37" t="s">
        <v>541</v>
      </c>
      <c r="AL3" s="37" t="s">
        <v>242</v>
      </c>
      <c r="AM3" s="37" t="s">
        <v>542</v>
      </c>
      <c r="AN3" s="37" t="s">
        <v>543</v>
      </c>
      <c r="AO3" s="37" t="s">
        <v>242</v>
      </c>
      <c r="AP3" s="37" t="s">
        <v>542</v>
      </c>
      <c r="AQ3" s="37" t="s">
        <v>544</v>
      </c>
      <c r="AR3" s="37" t="s">
        <v>242</v>
      </c>
      <c r="AS3" s="37" t="s">
        <v>545</v>
      </c>
      <c r="AT3" s="37" t="s">
        <v>543</v>
      </c>
      <c r="AU3" s="37" t="s">
        <v>242</v>
      </c>
      <c r="AV3" s="37" t="s">
        <v>545</v>
      </c>
      <c r="AW3" s="37" t="s">
        <v>544</v>
      </c>
      <c r="AX3" s="37" t="s">
        <v>242</v>
      </c>
      <c r="AY3" s="37" t="s">
        <v>546</v>
      </c>
      <c r="AZ3" s="37" t="s">
        <v>547</v>
      </c>
      <c r="BA3" s="37" t="s">
        <v>242</v>
      </c>
    </row>
    <row r="4" spans="2:54" ht="13.8" x14ac:dyDescent="0.25">
      <c r="B4" s="37" t="s">
        <v>429</v>
      </c>
      <c r="I4" s="37" t="s">
        <v>292</v>
      </c>
      <c r="J4" s="37">
        <v>12</v>
      </c>
      <c r="K4" s="37">
        <v>12</v>
      </c>
      <c r="L4" s="37">
        <v>12</v>
      </c>
      <c r="M4" s="37">
        <v>12</v>
      </c>
      <c r="P4" s="37">
        <v>2007</v>
      </c>
      <c r="Q4" s="37">
        <v>582</v>
      </c>
      <c r="R4" s="37">
        <v>1099</v>
      </c>
      <c r="S4" s="37">
        <v>505.6</v>
      </c>
      <c r="T4" s="37">
        <v>1073.8</v>
      </c>
      <c r="U4" s="37">
        <v>216627053</v>
      </c>
      <c r="V4" s="37">
        <v>2960837</v>
      </c>
      <c r="W4" s="37">
        <v>153149727174</v>
      </c>
      <c r="X4" s="37">
        <v>74422117</v>
      </c>
      <c r="Y4" s="37">
        <v>34.35</v>
      </c>
      <c r="Z4" s="37">
        <v>593.4</v>
      </c>
      <c r="AA4" s="37">
        <v>491.8</v>
      </c>
      <c r="AD4" s="37">
        <v>532868</v>
      </c>
      <c r="AE4" s="37" t="s">
        <v>9</v>
      </c>
      <c r="AF4" s="37">
        <v>18</v>
      </c>
      <c r="AG4" s="37" t="s">
        <v>548</v>
      </c>
      <c r="AH4" s="37">
        <v>2007</v>
      </c>
      <c r="AI4" s="37" t="s">
        <v>396</v>
      </c>
      <c r="AJ4" s="37" t="s">
        <v>289</v>
      </c>
      <c r="AK4" s="37" t="s">
        <v>397</v>
      </c>
      <c r="AL4" s="37" t="s">
        <v>289</v>
      </c>
      <c r="AM4" s="37">
        <v>2</v>
      </c>
      <c r="AN4" s="37" t="s">
        <v>289</v>
      </c>
      <c r="AO4" s="37">
        <v>20</v>
      </c>
      <c r="AP4" s="37" t="s">
        <v>548</v>
      </c>
      <c r="AQ4" s="37">
        <v>2007</v>
      </c>
      <c r="AR4" s="37">
        <v>29</v>
      </c>
      <c r="AS4" s="37" t="s">
        <v>548</v>
      </c>
      <c r="AT4" s="37">
        <v>2007</v>
      </c>
      <c r="AU4" s="37">
        <v>13</v>
      </c>
      <c r="AV4" s="37" t="s">
        <v>548</v>
      </c>
      <c r="AW4" s="37">
        <v>2007</v>
      </c>
      <c r="AX4" s="37">
        <v>19</v>
      </c>
      <c r="AY4" s="37" t="s">
        <v>548</v>
      </c>
      <c r="AZ4" s="37">
        <v>2007</v>
      </c>
      <c r="BA4" s="37" t="s">
        <v>289</v>
      </c>
    </row>
    <row r="5" spans="2:54" ht="13.8" x14ac:dyDescent="0.25">
      <c r="B5" s="37" t="s">
        <v>243</v>
      </c>
      <c r="D5" s="165">
        <v>37029.5</v>
      </c>
      <c r="E5" s="165">
        <v>24513.4</v>
      </c>
      <c r="F5" s="165">
        <v>30166.9</v>
      </c>
      <c r="G5" s="165">
        <v>23859.4</v>
      </c>
      <c r="H5" s="165">
        <v>21500.400000000001</v>
      </c>
      <c r="I5" s="37" t="s">
        <v>293</v>
      </c>
      <c r="J5" s="37" t="s">
        <v>295</v>
      </c>
      <c r="P5" s="37">
        <v>2008</v>
      </c>
      <c r="Q5" s="37">
        <v>1051.0999999999999</v>
      </c>
      <c r="R5" s="37">
        <v>1225</v>
      </c>
      <c r="S5" s="37">
        <v>158</v>
      </c>
      <c r="T5" s="37">
        <v>281.89999999999998</v>
      </c>
      <c r="U5" s="37">
        <v>495336087</v>
      </c>
      <c r="V5" s="37">
        <v>8561793</v>
      </c>
      <c r="W5" s="37">
        <v>202627754230</v>
      </c>
      <c r="X5" s="37">
        <v>74993731</v>
      </c>
      <c r="Y5" s="37">
        <v>15.14</v>
      </c>
      <c r="Z5" s="37">
        <v>1067</v>
      </c>
      <c r="AA5" s="37">
        <v>-769.2</v>
      </c>
      <c r="AD5" s="37">
        <v>532868</v>
      </c>
      <c r="AE5" s="37" t="s">
        <v>9</v>
      </c>
      <c r="AF5" s="37">
        <v>5</v>
      </c>
      <c r="AG5" s="37" t="s">
        <v>549</v>
      </c>
      <c r="AH5" s="37">
        <v>2007</v>
      </c>
      <c r="AI5" s="37" t="s">
        <v>399</v>
      </c>
      <c r="AJ5" s="37" t="s">
        <v>396</v>
      </c>
      <c r="AK5" s="37" t="s">
        <v>289</v>
      </c>
      <c r="AL5" s="37" t="s">
        <v>397</v>
      </c>
      <c r="AM5" s="37">
        <v>2</v>
      </c>
      <c r="AO5" s="37">
        <v>6</v>
      </c>
      <c r="AP5" s="37" t="s">
        <v>549</v>
      </c>
      <c r="AQ5" s="37">
        <v>2007</v>
      </c>
      <c r="AR5" s="37">
        <v>30</v>
      </c>
      <c r="AS5" s="37" t="s">
        <v>550</v>
      </c>
      <c r="AT5" s="37">
        <v>2007</v>
      </c>
      <c r="AU5" s="37">
        <v>5</v>
      </c>
      <c r="AV5" s="37" t="s">
        <v>549</v>
      </c>
      <c r="AW5" s="37">
        <v>2007</v>
      </c>
      <c r="AX5" s="37" t="s">
        <v>289</v>
      </c>
    </row>
    <row r="6" spans="2:54" ht="13.8" x14ac:dyDescent="0.25">
      <c r="B6" s="37" t="s">
        <v>299</v>
      </c>
      <c r="D6" s="165">
        <v>7023.5</v>
      </c>
      <c r="E6" s="165">
        <v>11212.5</v>
      </c>
      <c r="F6" s="165">
        <v>10451.9</v>
      </c>
      <c r="G6" s="165">
        <v>14399.4</v>
      </c>
      <c r="H6" s="165">
        <v>11548</v>
      </c>
      <c r="I6" s="37" t="s">
        <v>298</v>
      </c>
      <c r="J6" s="165">
        <v>34913.199999999997</v>
      </c>
      <c r="K6" s="165">
        <v>29160.799999999999</v>
      </c>
      <c r="L6" s="165">
        <v>24192.1</v>
      </c>
      <c r="M6" s="165">
        <v>28279</v>
      </c>
      <c r="P6" s="37">
        <v>2009</v>
      </c>
      <c r="Q6" s="37">
        <v>283.8</v>
      </c>
      <c r="R6" s="37">
        <v>490.8</v>
      </c>
      <c r="S6" s="37">
        <v>124.15</v>
      </c>
      <c r="T6" s="37">
        <v>361.15</v>
      </c>
      <c r="U6" s="37">
        <v>1273537955</v>
      </c>
      <c r="V6" s="37">
        <v>12837742</v>
      </c>
      <c r="W6" s="37">
        <v>366825860218</v>
      </c>
      <c r="X6" s="37">
        <v>299135805</v>
      </c>
      <c r="Y6" s="37">
        <v>23.49</v>
      </c>
      <c r="Z6" s="37">
        <v>366.65</v>
      </c>
      <c r="AA6" s="37">
        <v>77.349999999999994</v>
      </c>
      <c r="AD6" s="37">
        <v>532868</v>
      </c>
      <c r="AE6" s="37" t="s">
        <v>9</v>
      </c>
      <c r="AF6" s="37">
        <v>19</v>
      </c>
      <c r="AG6" s="37" t="s">
        <v>548</v>
      </c>
      <c r="AH6" s="37">
        <v>2008</v>
      </c>
      <c r="AI6" s="37" t="s">
        <v>396</v>
      </c>
      <c r="AJ6" s="37" t="s">
        <v>289</v>
      </c>
      <c r="AK6" s="37" t="s">
        <v>397</v>
      </c>
      <c r="AL6" s="37" t="s">
        <v>289</v>
      </c>
      <c r="AM6" s="37">
        <v>2</v>
      </c>
      <c r="AN6" s="37" t="s">
        <v>289</v>
      </c>
      <c r="AO6" s="37">
        <v>23</v>
      </c>
      <c r="AP6" s="37" t="s">
        <v>548</v>
      </c>
      <c r="AQ6" s="37">
        <v>2008</v>
      </c>
      <c r="AR6" s="37">
        <v>30</v>
      </c>
      <c r="AS6" s="37" t="s">
        <v>548</v>
      </c>
      <c r="AT6" s="37">
        <v>2008</v>
      </c>
      <c r="AU6" s="37">
        <v>16</v>
      </c>
      <c r="AV6" s="37" t="s">
        <v>548</v>
      </c>
      <c r="AW6" s="37">
        <v>2008</v>
      </c>
      <c r="AX6" s="37">
        <v>22</v>
      </c>
      <c r="AY6" s="37" t="s">
        <v>548</v>
      </c>
      <c r="AZ6" s="37">
        <v>2008</v>
      </c>
      <c r="BA6" s="37" t="s">
        <v>289</v>
      </c>
    </row>
    <row r="7" spans="2:54" ht="13.8" x14ac:dyDescent="0.25">
      <c r="B7" s="37" t="s">
        <v>301</v>
      </c>
      <c r="D7" s="165">
        <v>44053</v>
      </c>
      <c r="E7" s="165">
        <v>35725.9</v>
      </c>
      <c r="F7" s="165">
        <v>40618.800000000003</v>
      </c>
      <c r="G7" s="165">
        <v>38258.800000000003</v>
      </c>
      <c r="H7" s="165">
        <v>33048.400000000001</v>
      </c>
      <c r="I7" s="37" t="s">
        <v>299</v>
      </c>
      <c r="J7" s="165">
        <v>10913.5</v>
      </c>
      <c r="K7" s="165">
        <v>12426.8</v>
      </c>
      <c r="L7" s="165">
        <v>8012.2</v>
      </c>
      <c r="M7" s="165">
        <v>10113.9</v>
      </c>
      <c r="P7" s="37">
        <v>2010</v>
      </c>
      <c r="Q7" s="37">
        <v>361.15</v>
      </c>
      <c r="R7" s="37">
        <v>403</v>
      </c>
      <c r="S7" s="37">
        <v>251.5</v>
      </c>
      <c r="T7" s="37">
        <v>291.95</v>
      </c>
      <c r="U7" s="37">
        <v>349376966</v>
      </c>
      <c r="V7" s="37">
        <v>4549655</v>
      </c>
      <c r="W7" s="37">
        <v>110978330243</v>
      </c>
      <c r="X7" s="37">
        <v>58324658</v>
      </c>
      <c r="Y7" s="37">
        <v>16.690000000000001</v>
      </c>
      <c r="Z7" s="37">
        <v>151.5</v>
      </c>
      <c r="AA7" s="37">
        <v>-69.2</v>
      </c>
      <c r="AD7" s="37">
        <v>532868</v>
      </c>
      <c r="AE7" s="37" t="s">
        <v>9</v>
      </c>
      <c r="AF7" s="37">
        <v>22</v>
      </c>
      <c r="AG7" s="37" t="s">
        <v>548</v>
      </c>
      <c r="AH7" s="37">
        <v>2009</v>
      </c>
      <c r="AI7" s="37" t="s">
        <v>396</v>
      </c>
      <c r="AJ7" s="37" t="s">
        <v>289</v>
      </c>
      <c r="AK7" s="37" t="s">
        <v>397</v>
      </c>
      <c r="AL7" s="37" t="s">
        <v>289</v>
      </c>
      <c r="AM7" s="37">
        <v>2</v>
      </c>
      <c r="AN7" s="37" t="s">
        <v>289</v>
      </c>
      <c r="AO7" s="37">
        <v>24</v>
      </c>
      <c r="AP7" s="37" t="s">
        <v>548</v>
      </c>
      <c r="AQ7" s="37">
        <v>2009</v>
      </c>
      <c r="AR7" s="37">
        <v>30</v>
      </c>
      <c r="AS7" s="37" t="s">
        <v>548</v>
      </c>
      <c r="AT7" s="37">
        <v>2009</v>
      </c>
      <c r="AU7" s="37">
        <v>16</v>
      </c>
      <c r="AV7" s="37" t="s">
        <v>548</v>
      </c>
      <c r="AW7" s="37">
        <v>2009</v>
      </c>
      <c r="AX7" s="37">
        <v>23</v>
      </c>
      <c r="AY7" s="37" t="s">
        <v>548</v>
      </c>
      <c r="AZ7" s="37">
        <v>2009</v>
      </c>
      <c r="BA7" s="37" t="s">
        <v>289</v>
      </c>
    </row>
    <row r="8" spans="2:54" ht="13.8" x14ac:dyDescent="0.25">
      <c r="B8" s="37" t="s">
        <v>303</v>
      </c>
      <c r="D8" s="165">
        <v>-34259</v>
      </c>
      <c r="E8" s="165">
        <v>-11514.5</v>
      </c>
      <c r="F8" s="165">
        <v>-14108.6</v>
      </c>
      <c r="G8" s="165">
        <v>-15426</v>
      </c>
      <c r="H8" s="165">
        <v>-7605.3</v>
      </c>
      <c r="I8" s="37" t="s">
        <v>303</v>
      </c>
      <c r="J8" s="165">
        <v>-13813.5</v>
      </c>
      <c r="K8" s="165">
        <v>-11870.8</v>
      </c>
      <c r="L8" s="165">
        <v>-13040.5</v>
      </c>
      <c r="M8" s="165">
        <v>-11067.7</v>
      </c>
      <c r="P8" s="37">
        <v>2011</v>
      </c>
      <c r="Q8" s="37">
        <v>294.85000000000002</v>
      </c>
      <c r="R8" s="37">
        <v>298.2</v>
      </c>
      <c r="S8" s="37">
        <v>173.4</v>
      </c>
      <c r="T8" s="37">
        <v>183.05</v>
      </c>
      <c r="U8" s="37">
        <v>275613744</v>
      </c>
      <c r="V8" s="37">
        <v>3187824</v>
      </c>
      <c r="W8" s="37">
        <v>61847961193</v>
      </c>
      <c r="X8" s="37">
        <v>46206429</v>
      </c>
      <c r="Y8" s="37">
        <v>16.760000000000002</v>
      </c>
      <c r="Z8" s="37">
        <v>124.8</v>
      </c>
      <c r="AA8" s="37">
        <v>-111.8</v>
      </c>
      <c r="AD8" s="37">
        <v>532868</v>
      </c>
      <c r="AE8" s="37" t="s">
        <v>9</v>
      </c>
      <c r="AF8" s="37">
        <v>17</v>
      </c>
      <c r="AG8" s="37" t="s">
        <v>548</v>
      </c>
      <c r="AH8" s="37">
        <v>2010</v>
      </c>
      <c r="AI8" s="37" t="s">
        <v>396</v>
      </c>
      <c r="AJ8" s="37" t="s">
        <v>289</v>
      </c>
      <c r="AK8" s="37" t="s">
        <v>397</v>
      </c>
      <c r="AL8" s="37" t="s">
        <v>289</v>
      </c>
      <c r="AM8" s="37">
        <v>2</v>
      </c>
      <c r="AN8" s="37" t="s">
        <v>289</v>
      </c>
      <c r="AO8" s="37">
        <v>21</v>
      </c>
      <c r="AP8" s="37" t="s">
        <v>548</v>
      </c>
      <c r="AQ8" s="37">
        <v>2010</v>
      </c>
      <c r="AR8" s="37">
        <v>28</v>
      </c>
      <c r="AS8" s="37" t="s">
        <v>548</v>
      </c>
      <c r="AT8" s="37">
        <v>2010</v>
      </c>
      <c r="AU8" s="37">
        <v>14</v>
      </c>
      <c r="AV8" s="37" t="s">
        <v>548</v>
      </c>
      <c r="AW8" s="37">
        <v>2010</v>
      </c>
      <c r="AX8" s="37">
        <v>20</v>
      </c>
      <c r="AY8" s="37" t="s">
        <v>548</v>
      </c>
      <c r="AZ8" s="37">
        <v>2010</v>
      </c>
      <c r="BA8" s="37" t="s">
        <v>289</v>
      </c>
    </row>
    <row r="9" spans="2:54" ht="13.8" x14ac:dyDescent="0.25">
      <c r="B9" s="37" t="s">
        <v>304</v>
      </c>
      <c r="D9" s="165">
        <v>-12360.8</v>
      </c>
      <c r="E9" s="165">
        <v>-13775</v>
      </c>
      <c r="F9" s="165">
        <v>-14033.4</v>
      </c>
      <c r="G9" s="165">
        <v>-16668.099999999999</v>
      </c>
      <c r="H9" s="165">
        <v>-17098.900000000001</v>
      </c>
      <c r="I9" s="37" t="s">
        <v>304</v>
      </c>
      <c r="J9" s="165">
        <v>-15537.8</v>
      </c>
      <c r="K9" s="165">
        <v>-12867</v>
      </c>
      <c r="L9" s="165">
        <v>-8472.4</v>
      </c>
      <c r="M9" s="165">
        <v>-8098.6</v>
      </c>
      <c r="P9" s="37">
        <v>2012</v>
      </c>
      <c r="Q9" s="37">
        <v>183.9</v>
      </c>
      <c r="R9" s="37">
        <v>261.35000000000002</v>
      </c>
      <c r="S9" s="37">
        <v>169.55</v>
      </c>
      <c r="T9" s="37">
        <v>230.5</v>
      </c>
      <c r="U9" s="37">
        <v>248252348</v>
      </c>
      <c r="V9" s="37">
        <v>2712941</v>
      </c>
      <c r="W9" s="37">
        <v>51255078223</v>
      </c>
      <c r="X9" s="37">
        <v>46413514</v>
      </c>
      <c r="Y9" s="37">
        <v>18.7</v>
      </c>
      <c r="Z9" s="37">
        <v>91.8</v>
      </c>
      <c r="AA9" s="37">
        <v>46.6</v>
      </c>
      <c r="AD9" s="37">
        <v>532868</v>
      </c>
      <c r="AE9" s="37" t="s">
        <v>9</v>
      </c>
      <c r="AF9" s="37">
        <v>27</v>
      </c>
      <c r="AG9" s="37" t="s">
        <v>551</v>
      </c>
      <c r="AH9" s="37">
        <v>2011</v>
      </c>
      <c r="AI9" s="37" t="s">
        <v>396</v>
      </c>
      <c r="AJ9" s="37" t="s">
        <v>289</v>
      </c>
      <c r="AK9" s="37" t="s">
        <v>397</v>
      </c>
      <c r="AL9" s="37" t="s">
        <v>289</v>
      </c>
      <c r="AM9" s="37">
        <v>2</v>
      </c>
      <c r="AN9" s="37" t="s">
        <v>289</v>
      </c>
      <c r="AO9" s="37">
        <v>29</v>
      </c>
      <c r="AP9" s="37" t="s">
        <v>551</v>
      </c>
      <c r="AQ9" s="37">
        <v>2011</v>
      </c>
      <c r="AR9" s="37">
        <v>4</v>
      </c>
      <c r="AS9" s="37" t="s">
        <v>552</v>
      </c>
      <c r="AT9" s="37">
        <v>2011</v>
      </c>
      <c r="AU9" s="37">
        <v>22</v>
      </c>
      <c r="AV9" s="37" t="s">
        <v>551</v>
      </c>
      <c r="AW9" s="37">
        <v>2011</v>
      </c>
      <c r="AX9" s="37">
        <v>28</v>
      </c>
      <c r="AY9" s="37" t="s">
        <v>551</v>
      </c>
      <c r="AZ9" s="37">
        <v>2011</v>
      </c>
      <c r="BA9" s="37" t="s">
        <v>289</v>
      </c>
    </row>
    <row r="10" spans="2:54" ht="13.8" x14ac:dyDescent="0.25">
      <c r="B10" s="37" t="s">
        <v>431</v>
      </c>
      <c r="D10" s="165">
        <v>9794</v>
      </c>
      <c r="E10" s="165">
        <v>10436.4</v>
      </c>
      <c r="F10" s="165">
        <v>12476.8</v>
      </c>
      <c r="G10" s="165">
        <v>6164.7</v>
      </c>
      <c r="H10" s="165">
        <v>8344.2000000000007</v>
      </c>
      <c r="I10" s="37" t="s">
        <v>308</v>
      </c>
      <c r="J10" s="165">
        <v>16475.400000000001</v>
      </c>
      <c r="K10" s="165">
        <v>16849.8</v>
      </c>
      <c r="L10" s="165">
        <v>10691.4</v>
      </c>
      <c r="M10" s="165">
        <v>19226.599999999999</v>
      </c>
      <c r="P10" s="37">
        <v>2013</v>
      </c>
      <c r="Q10" s="37">
        <v>233.5</v>
      </c>
      <c r="R10" s="37">
        <v>289.2</v>
      </c>
      <c r="S10" s="37">
        <v>120.25</v>
      </c>
      <c r="T10" s="37">
        <v>166.95</v>
      </c>
      <c r="U10" s="37">
        <v>289172024</v>
      </c>
      <c r="V10" s="37">
        <v>3526249</v>
      </c>
      <c r="W10" s="37">
        <v>55821303005</v>
      </c>
      <c r="X10" s="37">
        <v>45114324</v>
      </c>
      <c r="Y10" s="37">
        <v>15.6</v>
      </c>
      <c r="Z10" s="37">
        <v>168.95</v>
      </c>
      <c r="AA10" s="37">
        <v>-66.55</v>
      </c>
      <c r="AD10" s="37">
        <v>532868</v>
      </c>
      <c r="AE10" s="37" t="s">
        <v>9</v>
      </c>
      <c r="AF10" s="37">
        <v>24</v>
      </c>
      <c r="AG10" s="37" t="s">
        <v>552</v>
      </c>
      <c r="AH10" s="37">
        <v>2012</v>
      </c>
      <c r="AI10" s="37" t="s">
        <v>396</v>
      </c>
      <c r="AJ10" s="37" t="s">
        <v>289</v>
      </c>
      <c r="AK10" s="37" t="s">
        <v>397</v>
      </c>
      <c r="AL10" s="37" t="s">
        <v>289</v>
      </c>
      <c r="AM10" s="37">
        <v>2</v>
      </c>
      <c r="AN10" s="37" t="s">
        <v>289</v>
      </c>
      <c r="AO10" s="37">
        <v>28</v>
      </c>
      <c r="AP10" s="37" t="s">
        <v>552</v>
      </c>
      <c r="AQ10" s="37">
        <v>2012</v>
      </c>
      <c r="AR10" s="37">
        <v>7</v>
      </c>
      <c r="AS10" s="37" t="s">
        <v>548</v>
      </c>
      <c r="AT10" s="37">
        <v>2012</v>
      </c>
      <c r="AU10" s="37">
        <v>21</v>
      </c>
      <c r="AV10" s="37" t="s">
        <v>552</v>
      </c>
      <c r="AW10" s="37">
        <v>2012</v>
      </c>
      <c r="AX10" s="37">
        <v>27</v>
      </c>
      <c r="AY10" s="37" t="s">
        <v>552</v>
      </c>
      <c r="AZ10" s="37">
        <v>2012</v>
      </c>
      <c r="BA10" s="37" t="s">
        <v>289</v>
      </c>
    </row>
    <row r="11" spans="2:54" ht="13.8" x14ac:dyDescent="0.25">
      <c r="B11" s="37" t="s">
        <v>312</v>
      </c>
      <c r="D11" s="37">
        <v>-989.6</v>
      </c>
      <c r="E11" s="37">
        <v>-747.4</v>
      </c>
      <c r="F11" s="37">
        <v>-558.20000000000005</v>
      </c>
      <c r="G11" s="37">
        <v>-779.8</v>
      </c>
      <c r="H11" s="165">
        <v>-1418.9</v>
      </c>
      <c r="I11" s="37" t="s">
        <v>312</v>
      </c>
      <c r="J11" s="165">
        <v>-1398.4</v>
      </c>
      <c r="K11" s="165">
        <v>-1297.7</v>
      </c>
      <c r="L11" s="165">
        <v>-1260.5</v>
      </c>
      <c r="M11" s="165">
        <v>-1138.8</v>
      </c>
      <c r="P11" s="37">
        <v>2014</v>
      </c>
      <c r="Q11" s="37">
        <v>167.4</v>
      </c>
      <c r="R11" s="37">
        <v>242.8</v>
      </c>
      <c r="S11" s="37">
        <v>100</v>
      </c>
      <c r="T11" s="37">
        <v>137.15</v>
      </c>
      <c r="U11" s="37">
        <v>398296725</v>
      </c>
      <c r="V11" s="37">
        <v>5162462</v>
      </c>
      <c r="W11" s="37">
        <v>64592776069</v>
      </c>
      <c r="X11" s="37">
        <v>80514060</v>
      </c>
      <c r="Y11" s="37">
        <v>20.21</v>
      </c>
      <c r="Z11" s="37">
        <v>142.80000000000001</v>
      </c>
      <c r="AA11" s="37">
        <v>-30.25</v>
      </c>
      <c r="AD11" s="37">
        <v>532868</v>
      </c>
      <c r="AE11" s="37" t="s">
        <v>9</v>
      </c>
      <c r="AF11" s="37">
        <v>30</v>
      </c>
      <c r="AG11" s="37" t="s">
        <v>551</v>
      </c>
      <c r="AH11" s="37">
        <v>2013</v>
      </c>
      <c r="AI11" s="37" t="s">
        <v>396</v>
      </c>
      <c r="AJ11" s="37" t="s">
        <v>289</v>
      </c>
      <c r="AK11" s="37" t="s">
        <v>397</v>
      </c>
      <c r="AL11" s="37" t="s">
        <v>289</v>
      </c>
      <c r="AM11" s="37">
        <v>2</v>
      </c>
      <c r="AN11" s="37" t="s">
        <v>289</v>
      </c>
      <c r="AO11" s="37">
        <v>1</v>
      </c>
      <c r="AP11" s="37" t="s">
        <v>552</v>
      </c>
      <c r="AQ11" s="37">
        <v>2013</v>
      </c>
      <c r="AR11" s="37">
        <v>12</v>
      </c>
      <c r="AS11" s="37" t="s">
        <v>552</v>
      </c>
      <c r="AT11" s="37">
        <v>2013</v>
      </c>
      <c r="AU11" s="37">
        <v>25</v>
      </c>
      <c r="AV11" s="37" t="s">
        <v>551</v>
      </c>
      <c r="AW11" s="37">
        <v>2013</v>
      </c>
      <c r="AX11" s="37">
        <v>31</v>
      </c>
      <c r="AY11" s="37" t="s">
        <v>551</v>
      </c>
      <c r="AZ11" s="37">
        <v>2013</v>
      </c>
      <c r="BA11" s="37" t="s">
        <v>289</v>
      </c>
    </row>
    <row r="12" spans="2:54" ht="13.8" x14ac:dyDescent="0.25">
      <c r="B12" s="37" t="s">
        <v>432</v>
      </c>
      <c r="D12" s="165">
        <v>8804.4</v>
      </c>
      <c r="E12" s="165">
        <v>9689</v>
      </c>
      <c r="F12" s="165">
        <v>11918.6</v>
      </c>
      <c r="G12" s="165">
        <v>5384.9</v>
      </c>
      <c r="H12" s="165">
        <v>6925.3</v>
      </c>
      <c r="I12" s="37" t="s">
        <v>315</v>
      </c>
      <c r="J12" s="165">
        <v>15077</v>
      </c>
      <c r="K12" s="165">
        <v>15552.1</v>
      </c>
      <c r="L12" s="165">
        <v>9430.9</v>
      </c>
      <c r="M12" s="165">
        <v>18087.8</v>
      </c>
      <c r="P12" s="37">
        <v>2015</v>
      </c>
      <c r="Q12" s="37">
        <v>137.30000000000001</v>
      </c>
      <c r="R12" s="37">
        <v>179</v>
      </c>
      <c r="S12" s="37">
        <v>93</v>
      </c>
      <c r="T12" s="37">
        <v>114.3</v>
      </c>
      <c r="U12" s="37">
        <v>294366943</v>
      </c>
      <c r="V12" s="37">
        <v>2502008</v>
      </c>
      <c r="W12" s="37">
        <v>37774144549</v>
      </c>
      <c r="X12" s="37">
        <v>45526624</v>
      </c>
      <c r="Y12" s="37">
        <v>15.47</v>
      </c>
      <c r="Z12" s="37">
        <v>86</v>
      </c>
      <c r="AA12" s="37">
        <v>-23</v>
      </c>
      <c r="AD12" s="37">
        <v>532868</v>
      </c>
      <c r="AE12" s="37" t="s">
        <v>9</v>
      </c>
      <c r="AF12" s="37">
        <v>19</v>
      </c>
      <c r="AG12" s="37" t="s">
        <v>552</v>
      </c>
      <c r="AH12" s="37">
        <v>2014</v>
      </c>
      <c r="AI12" s="37" t="s">
        <v>396</v>
      </c>
      <c r="AJ12" s="37" t="s">
        <v>289</v>
      </c>
      <c r="AK12" s="37" t="s">
        <v>397</v>
      </c>
      <c r="AL12" s="37" t="s">
        <v>289</v>
      </c>
      <c r="AM12" s="37">
        <v>2</v>
      </c>
      <c r="AN12" s="37" t="s">
        <v>289</v>
      </c>
      <c r="AO12" s="37">
        <v>21</v>
      </c>
      <c r="AP12" s="37" t="s">
        <v>552</v>
      </c>
      <c r="AQ12" s="37">
        <v>2014</v>
      </c>
      <c r="AR12" s="37">
        <v>29</v>
      </c>
      <c r="AS12" s="37" t="s">
        <v>552</v>
      </c>
      <c r="AT12" s="37">
        <v>2014</v>
      </c>
      <c r="AU12" s="37">
        <v>12</v>
      </c>
      <c r="AV12" s="37" t="s">
        <v>552</v>
      </c>
      <c r="AW12" s="37">
        <v>2014</v>
      </c>
      <c r="AX12" s="37">
        <v>20</v>
      </c>
      <c r="AY12" s="37" t="s">
        <v>552</v>
      </c>
      <c r="AZ12" s="37">
        <v>2014</v>
      </c>
      <c r="BA12" s="37" t="s">
        <v>289</v>
      </c>
    </row>
    <row r="13" spans="2:54" ht="13.8" x14ac:dyDescent="0.25">
      <c r="B13" s="37" t="s">
        <v>318</v>
      </c>
      <c r="D13" s="165">
        <v>-2838.9</v>
      </c>
      <c r="E13" s="37">
        <v>86.8</v>
      </c>
      <c r="F13" s="165">
        <v>-2775.6</v>
      </c>
      <c r="G13" s="37">
        <v>-88.2</v>
      </c>
      <c r="H13" s="165">
        <v>-1758.6</v>
      </c>
      <c r="I13" s="37" t="s">
        <v>318</v>
      </c>
      <c r="J13" s="165">
        <v>-4587.7</v>
      </c>
      <c r="K13" s="165">
        <v>-3090.5</v>
      </c>
      <c r="L13" s="165">
        <v>-1716.5</v>
      </c>
      <c r="M13" s="165">
        <v>-2610.1</v>
      </c>
      <c r="P13" s="37">
        <v>2016</v>
      </c>
      <c r="Q13" s="37">
        <v>116</v>
      </c>
      <c r="R13" s="37">
        <v>169.6</v>
      </c>
      <c r="S13" s="37">
        <v>72.5</v>
      </c>
      <c r="T13" s="37">
        <v>111.35</v>
      </c>
      <c r="U13" s="37">
        <v>324080080</v>
      </c>
      <c r="V13" s="37">
        <v>1817354</v>
      </c>
      <c r="W13" s="37">
        <v>40175497205</v>
      </c>
      <c r="X13" s="37">
        <v>58416277</v>
      </c>
      <c r="Y13" s="37">
        <v>18.03</v>
      </c>
      <c r="Z13" s="37">
        <v>97.1</v>
      </c>
      <c r="AA13" s="37">
        <v>-4.6500000000000004</v>
      </c>
      <c r="AD13" s="37">
        <v>532868</v>
      </c>
      <c r="AE13" s="37" t="s">
        <v>9</v>
      </c>
      <c r="AF13" s="37">
        <v>17</v>
      </c>
      <c r="AG13" s="37" t="s">
        <v>552</v>
      </c>
      <c r="AH13" s="37">
        <v>2015</v>
      </c>
      <c r="AI13" s="37" t="s">
        <v>396</v>
      </c>
      <c r="AJ13" s="37" t="s">
        <v>289</v>
      </c>
      <c r="AK13" s="37" t="s">
        <v>397</v>
      </c>
      <c r="AL13" s="37" t="s">
        <v>289</v>
      </c>
      <c r="AM13" s="37">
        <v>2</v>
      </c>
      <c r="AN13" s="37" t="s">
        <v>289</v>
      </c>
      <c r="AO13" s="37">
        <v>20</v>
      </c>
      <c r="AP13" s="37" t="s">
        <v>552</v>
      </c>
      <c r="AQ13" s="37">
        <v>2015</v>
      </c>
      <c r="AR13" s="37">
        <v>28</v>
      </c>
      <c r="AS13" s="37" t="s">
        <v>552</v>
      </c>
      <c r="AT13" s="37">
        <v>2015</v>
      </c>
      <c r="AU13" s="37">
        <v>12</v>
      </c>
      <c r="AV13" s="37" t="s">
        <v>552</v>
      </c>
      <c r="AW13" s="37">
        <v>2015</v>
      </c>
      <c r="AX13" s="37">
        <v>19</v>
      </c>
      <c r="AY13" s="37" t="s">
        <v>552</v>
      </c>
      <c r="AZ13" s="37">
        <v>2015</v>
      </c>
      <c r="BA13" s="37" t="s">
        <v>289</v>
      </c>
    </row>
    <row r="14" spans="2:54" ht="13.8" x14ac:dyDescent="0.25">
      <c r="B14" s="37" t="s">
        <v>320</v>
      </c>
      <c r="D14" s="165">
        <v>5965.5</v>
      </c>
      <c r="E14" s="165">
        <v>9745.6</v>
      </c>
      <c r="F14" s="165">
        <v>9400.7000000000007</v>
      </c>
      <c r="G14" s="165">
        <v>5268.4</v>
      </c>
      <c r="H14" s="165">
        <v>5015.6000000000004</v>
      </c>
      <c r="I14" s="37" t="s">
        <v>326</v>
      </c>
      <c r="J14" s="165">
        <v>10489.3</v>
      </c>
      <c r="K14" s="165">
        <v>12461.6</v>
      </c>
      <c r="L14" s="165">
        <v>7714.4</v>
      </c>
      <c r="M14" s="165">
        <v>15477.7</v>
      </c>
      <c r="P14" s="37">
        <v>2017</v>
      </c>
      <c r="Q14" s="37">
        <v>115.5</v>
      </c>
      <c r="R14" s="37">
        <v>266.85000000000002</v>
      </c>
      <c r="S14" s="37">
        <v>114</v>
      </c>
      <c r="T14" s="37">
        <v>259.35000000000002</v>
      </c>
      <c r="U14" s="37">
        <v>257298848</v>
      </c>
      <c r="V14" s="37">
        <v>1368403</v>
      </c>
      <c r="W14" s="37">
        <v>46506915427</v>
      </c>
      <c r="X14" s="37">
        <v>39248131</v>
      </c>
      <c r="Y14" s="37">
        <v>15.25</v>
      </c>
      <c r="Z14" s="37">
        <v>152.85</v>
      </c>
      <c r="AA14" s="37">
        <v>143.85</v>
      </c>
      <c r="AD14" s="37">
        <v>532868</v>
      </c>
      <c r="AE14" s="37" t="s">
        <v>9</v>
      </c>
      <c r="AF14" s="37">
        <v>28</v>
      </c>
      <c r="AG14" s="37" t="s">
        <v>553</v>
      </c>
      <c r="AH14" s="37">
        <v>2016</v>
      </c>
      <c r="AI14" s="37" t="s">
        <v>399</v>
      </c>
      <c r="AJ14" s="37" t="s">
        <v>396</v>
      </c>
      <c r="AK14" s="37" t="s">
        <v>289</v>
      </c>
      <c r="AL14" s="37" t="s">
        <v>397</v>
      </c>
      <c r="AM14" s="37">
        <v>2</v>
      </c>
      <c r="AO14" s="37">
        <v>29</v>
      </c>
      <c r="AP14" s="37" t="s">
        <v>553</v>
      </c>
      <c r="AQ14" s="37">
        <v>2016</v>
      </c>
      <c r="AR14" s="37">
        <v>18</v>
      </c>
      <c r="AS14" s="37" t="s">
        <v>553</v>
      </c>
      <c r="AT14" s="37">
        <v>2016</v>
      </c>
      <c r="AU14" s="37">
        <v>28</v>
      </c>
      <c r="AV14" s="37" t="s">
        <v>553</v>
      </c>
      <c r="AW14" s="37">
        <v>2016</v>
      </c>
      <c r="AX14" s="37" t="s">
        <v>289</v>
      </c>
    </row>
    <row r="15" spans="2:54" ht="13.8" x14ac:dyDescent="0.25">
      <c r="B15" s="37" t="s">
        <v>244</v>
      </c>
      <c r="D15" s="37" t="s">
        <v>442</v>
      </c>
      <c r="E15" s="165">
        <v>3567.4</v>
      </c>
      <c r="F15" s="165">
        <v>3563.9</v>
      </c>
      <c r="G15" s="165">
        <v>3562.9</v>
      </c>
      <c r="H15" s="165">
        <v>3397.4</v>
      </c>
      <c r="I15" s="37" t="s">
        <v>344</v>
      </c>
      <c r="J15" s="37">
        <v>-71.5</v>
      </c>
      <c r="K15" s="37">
        <v>234.2</v>
      </c>
      <c r="L15" s="37">
        <v>-63.8</v>
      </c>
      <c r="M15" s="37">
        <v>0</v>
      </c>
      <c r="P15" s="37">
        <v>2018</v>
      </c>
      <c r="Q15" s="37">
        <v>260</v>
      </c>
      <c r="R15" s="37">
        <v>273.95</v>
      </c>
      <c r="S15" s="37">
        <v>183.3</v>
      </c>
      <c r="T15" s="37">
        <v>205.5</v>
      </c>
      <c r="U15" s="37">
        <v>51293396</v>
      </c>
      <c r="V15" s="37">
        <v>296240</v>
      </c>
      <c r="W15" s="37">
        <v>11732376799</v>
      </c>
      <c r="X15" s="37">
        <v>9110212</v>
      </c>
      <c r="Y15" s="37">
        <v>17.760000000000002</v>
      </c>
      <c r="Z15" s="37">
        <v>90.65</v>
      </c>
      <c r="AA15" s="37">
        <v>-54.5</v>
      </c>
      <c r="AD15" s="37">
        <v>532868</v>
      </c>
      <c r="AE15" s="37" t="s">
        <v>9</v>
      </c>
      <c r="AF15" s="37">
        <v>19</v>
      </c>
      <c r="AG15" s="37" t="s">
        <v>548</v>
      </c>
      <c r="AH15" s="37">
        <v>2017</v>
      </c>
      <c r="AI15" s="37" t="s">
        <v>523</v>
      </c>
      <c r="AJ15" s="37" t="s">
        <v>396</v>
      </c>
      <c r="AK15" s="37" t="s">
        <v>289</v>
      </c>
      <c r="AL15" s="37" t="s">
        <v>397</v>
      </c>
      <c r="AM15" s="37">
        <v>2</v>
      </c>
      <c r="AO15" s="37" t="s">
        <v>289</v>
      </c>
      <c r="AP15" s="37">
        <v>21</v>
      </c>
      <c r="AQ15" s="37" t="s">
        <v>548</v>
      </c>
      <c r="AR15" s="37">
        <v>2017</v>
      </c>
      <c r="AS15" s="37">
        <v>29</v>
      </c>
      <c r="AT15" s="37" t="s">
        <v>548</v>
      </c>
      <c r="AU15" s="37">
        <v>2017</v>
      </c>
      <c r="AV15" s="37">
        <v>14</v>
      </c>
      <c r="AW15" s="37" t="s">
        <v>548</v>
      </c>
      <c r="AX15" s="37">
        <v>2017</v>
      </c>
      <c r="AY15" s="37">
        <v>20</v>
      </c>
      <c r="AZ15" s="37" t="s">
        <v>548</v>
      </c>
      <c r="BA15" s="37">
        <v>2017</v>
      </c>
      <c r="BB15" s="37" t="s">
        <v>289</v>
      </c>
    </row>
    <row r="16" spans="2:54" ht="13.8" x14ac:dyDescent="0.25">
      <c r="B16" s="37" t="s">
        <v>249</v>
      </c>
      <c r="D16" s="37">
        <v>3.34</v>
      </c>
      <c r="E16" s="37">
        <v>5.47</v>
      </c>
      <c r="F16" s="37">
        <v>5.28</v>
      </c>
      <c r="G16" s="37">
        <v>2.98</v>
      </c>
      <c r="H16" s="37">
        <v>2.95</v>
      </c>
      <c r="I16" s="37" t="s">
        <v>320</v>
      </c>
      <c r="J16" s="165">
        <v>10417.799999999999</v>
      </c>
      <c r="K16" s="165">
        <v>12695.8</v>
      </c>
      <c r="L16" s="165">
        <v>7650.6</v>
      </c>
      <c r="M16" s="165">
        <v>15477.7</v>
      </c>
      <c r="AD16" s="37">
        <v>532868</v>
      </c>
      <c r="AE16" s="37" t="s">
        <v>9</v>
      </c>
      <c r="AF16" s="37">
        <v>27</v>
      </c>
      <c r="AG16" s="37" t="s">
        <v>553</v>
      </c>
      <c r="AH16" s="37">
        <v>2018</v>
      </c>
      <c r="AI16" s="37" t="s">
        <v>399</v>
      </c>
      <c r="AJ16" s="37" t="s">
        <v>396</v>
      </c>
      <c r="AK16" s="37" t="s">
        <v>289</v>
      </c>
      <c r="AL16" s="37" t="s">
        <v>397</v>
      </c>
      <c r="AM16" s="37">
        <v>1.2</v>
      </c>
      <c r="AO16" s="37">
        <v>28</v>
      </c>
      <c r="AP16" s="37" t="s">
        <v>553</v>
      </c>
      <c r="AQ16" s="37">
        <v>2018</v>
      </c>
      <c r="AR16" s="37">
        <v>21</v>
      </c>
      <c r="AS16" s="37" t="s">
        <v>553</v>
      </c>
      <c r="AT16" s="37">
        <v>2018</v>
      </c>
      <c r="AU16" s="37">
        <v>27</v>
      </c>
      <c r="AV16" s="37" t="s">
        <v>553</v>
      </c>
      <c r="AW16" s="37">
        <v>2018</v>
      </c>
      <c r="AX16" s="37" t="s">
        <v>289</v>
      </c>
    </row>
    <row r="17" spans="2:39" ht="13.8" x14ac:dyDescent="0.25">
      <c r="B17" s="37" t="s">
        <v>433</v>
      </c>
      <c r="D17" s="37" t="s">
        <v>442</v>
      </c>
      <c r="E17" s="37">
        <v>5.88</v>
      </c>
      <c r="F17" s="37">
        <v>5.59</v>
      </c>
      <c r="G17" s="37">
        <v>3.4</v>
      </c>
      <c r="H17" s="37">
        <v>3.79</v>
      </c>
      <c r="I17" s="37" t="s">
        <v>323</v>
      </c>
      <c r="J17" s="165">
        <v>3396.8</v>
      </c>
      <c r="K17" s="165">
        <v>3395.1</v>
      </c>
      <c r="L17" s="165">
        <v>3394.8</v>
      </c>
      <c r="M17" s="165">
        <v>3394.4</v>
      </c>
      <c r="P17" s="37" t="s">
        <v>256</v>
      </c>
      <c r="S17" s="37">
        <f>(100*AM17)/Q4</f>
        <v>4.3298969072164946</v>
      </c>
      <c r="AM17" s="37">
        <f>SUM(AM4:AM16)</f>
        <v>25.2</v>
      </c>
    </row>
    <row r="18" spans="2:39" ht="13.8" x14ac:dyDescent="0.25">
      <c r="B18" s="37" t="s">
        <v>434</v>
      </c>
      <c r="D18" s="37">
        <v>26.45</v>
      </c>
      <c r="E18" s="37">
        <v>98.77</v>
      </c>
      <c r="F18" s="37">
        <v>87.88</v>
      </c>
      <c r="G18" s="37">
        <v>95.7</v>
      </c>
      <c r="H18" s="37">
        <v>118.34</v>
      </c>
      <c r="I18" s="37" t="s">
        <v>325</v>
      </c>
      <c r="J18" s="37" t="s">
        <v>554</v>
      </c>
      <c r="K18" s="37" t="s">
        <v>555</v>
      </c>
      <c r="L18" s="37" t="s">
        <v>556</v>
      </c>
      <c r="M18" s="37" t="s">
        <v>557</v>
      </c>
    </row>
    <row r="19" spans="2:39" ht="13.8" x14ac:dyDescent="0.25">
      <c r="B19" s="37" t="s">
        <v>435</v>
      </c>
      <c r="D19" s="37">
        <v>16.11</v>
      </c>
      <c r="E19" s="37">
        <v>39.76</v>
      </c>
      <c r="F19" s="37">
        <v>31.16</v>
      </c>
      <c r="G19" s="37">
        <v>22.08</v>
      </c>
      <c r="H19" s="37">
        <v>23.33</v>
      </c>
      <c r="I19" s="37" t="s">
        <v>330</v>
      </c>
      <c r="J19" s="37">
        <v>6.14</v>
      </c>
      <c r="K19" s="37">
        <v>7.48</v>
      </c>
      <c r="L19" s="37">
        <v>4.51</v>
      </c>
      <c r="M19" s="37">
        <v>9.09</v>
      </c>
    </row>
    <row r="20" spans="2:39" ht="13.8" x14ac:dyDescent="0.25">
      <c r="B20" s="37" t="s">
        <v>430</v>
      </c>
      <c r="D20" s="37" t="s">
        <v>437</v>
      </c>
      <c r="E20" s="37" t="s">
        <v>437</v>
      </c>
      <c r="F20" s="37" t="s">
        <v>437</v>
      </c>
      <c r="G20" s="37" t="s">
        <v>437</v>
      </c>
      <c r="H20" s="37" t="s">
        <v>437</v>
      </c>
      <c r="I20" s="37" t="s">
        <v>332</v>
      </c>
      <c r="J20" s="37">
        <v>6.12</v>
      </c>
      <c r="K20" s="37">
        <v>7.46</v>
      </c>
      <c r="L20" s="37">
        <v>4.5</v>
      </c>
      <c r="M20" s="37">
        <v>9.09</v>
      </c>
    </row>
    <row r="21" spans="2:39" ht="15.75" customHeight="1" x14ac:dyDescent="0.25">
      <c r="B21" s="37" t="s">
        <v>430</v>
      </c>
      <c r="D21" s="37" t="s">
        <v>438</v>
      </c>
      <c r="E21" s="37" t="s">
        <v>438</v>
      </c>
      <c r="F21" s="37" t="s">
        <v>438</v>
      </c>
      <c r="G21" s="37" t="s">
        <v>438</v>
      </c>
      <c r="H21" s="37" t="s">
        <v>438</v>
      </c>
      <c r="I21" s="37" t="s">
        <v>334</v>
      </c>
      <c r="J21" s="37" t="s">
        <v>558</v>
      </c>
      <c r="K21" s="37" t="s">
        <v>559</v>
      </c>
      <c r="L21" s="37" t="s">
        <v>560</v>
      </c>
      <c r="M21" s="37" t="s">
        <v>561</v>
      </c>
    </row>
    <row r="22" spans="2:39" ht="15.75" customHeight="1" x14ac:dyDescent="0.25">
      <c r="I22" s="37" t="s">
        <v>345</v>
      </c>
      <c r="J22" s="37">
        <v>21.41</v>
      </c>
      <c r="K22" s="37">
        <v>21.37</v>
      </c>
      <c r="L22" s="37">
        <v>21.36</v>
      </c>
      <c r="M22" s="37">
        <v>11.45</v>
      </c>
    </row>
    <row r="23" spans="2:39" ht="15.75" customHeight="1" x14ac:dyDescent="0.25">
      <c r="I23" s="37" t="s">
        <v>351</v>
      </c>
      <c r="J23" s="37">
        <v>91.69</v>
      </c>
      <c r="K23" s="37">
        <v>101.91</v>
      </c>
      <c r="L23" s="37">
        <v>79.22</v>
      </c>
      <c r="M23" s="37">
        <v>96.63</v>
      </c>
    </row>
    <row r="24" spans="2:39" ht="15.75" customHeight="1" x14ac:dyDescent="0.25">
      <c r="I24" s="37" t="s">
        <v>355</v>
      </c>
      <c r="J24" s="37">
        <v>29.84</v>
      </c>
      <c r="K24" s="37">
        <v>43.54</v>
      </c>
      <c r="L24" s="37">
        <v>31.62</v>
      </c>
      <c r="M24" s="37">
        <v>54.73</v>
      </c>
    </row>
    <row r="25" spans="2:39" ht="15.75" customHeight="1" x14ac:dyDescent="0.25">
      <c r="I25" s="37" t="s">
        <v>360</v>
      </c>
      <c r="J25" s="37">
        <v>6.96</v>
      </c>
      <c r="K25" s="37">
        <v>8.24</v>
      </c>
      <c r="L25" s="37">
        <v>5.25</v>
      </c>
      <c r="M25" s="37">
        <v>9.7899999999999991</v>
      </c>
    </row>
    <row r="26" spans="2:39" ht="15.75" customHeight="1" x14ac:dyDescent="0.25">
      <c r="I26" s="37" t="s">
        <v>361</v>
      </c>
      <c r="J26" s="37" t="s">
        <v>361</v>
      </c>
      <c r="K26" s="37" t="s">
        <v>361</v>
      </c>
      <c r="L26" s="37" t="s">
        <v>361</v>
      </c>
      <c r="M26" s="37" t="s">
        <v>361</v>
      </c>
    </row>
    <row r="27" spans="2:39" ht="15.75" customHeight="1" x14ac:dyDescent="0.25"/>
    <row r="28" spans="2:39" ht="15.75" customHeight="1" x14ac:dyDescent="0.25">
      <c r="B28" s="142" t="s">
        <v>287</v>
      </c>
      <c r="C28" s="143">
        <v>42826</v>
      </c>
      <c r="D28" s="157" t="s">
        <v>562</v>
      </c>
      <c r="E28" s="158">
        <v>42461</v>
      </c>
      <c r="G28" s="37" t="s">
        <v>287</v>
      </c>
      <c r="H28" s="164">
        <v>39904</v>
      </c>
      <c r="I28" s="37" t="s">
        <v>287</v>
      </c>
      <c r="J28" s="164">
        <v>39173</v>
      </c>
    </row>
    <row r="29" spans="2:39" ht="15.75" customHeight="1" x14ac:dyDescent="0.25">
      <c r="B29" s="142" t="s">
        <v>291</v>
      </c>
      <c r="C29" s="143">
        <v>43190</v>
      </c>
      <c r="D29" s="157" t="s">
        <v>291</v>
      </c>
      <c r="E29" s="158">
        <v>42825</v>
      </c>
      <c r="G29" s="37" t="s">
        <v>291</v>
      </c>
      <c r="H29" s="164">
        <v>40268</v>
      </c>
      <c r="I29" s="37" t="s">
        <v>291</v>
      </c>
      <c r="J29" s="164">
        <v>39538</v>
      </c>
    </row>
    <row r="30" spans="2:39" ht="15.75" customHeight="1" x14ac:dyDescent="0.25">
      <c r="B30" s="149" t="s">
        <v>293</v>
      </c>
      <c r="C30" s="149" t="s">
        <v>295</v>
      </c>
      <c r="D30" s="149" t="s">
        <v>293</v>
      </c>
      <c r="E30" s="149" t="s">
        <v>295</v>
      </c>
      <c r="G30" s="37" t="s">
        <v>293</v>
      </c>
      <c r="H30" s="37" t="s">
        <v>295</v>
      </c>
      <c r="I30" s="37" t="s">
        <v>293</v>
      </c>
      <c r="J30" s="37" t="s">
        <v>295</v>
      </c>
    </row>
    <row r="31" spans="2:39" ht="15.75" customHeight="1" x14ac:dyDescent="0.25">
      <c r="B31" s="150" t="s">
        <v>297</v>
      </c>
      <c r="C31" s="151">
        <v>67067.899999999994</v>
      </c>
      <c r="D31" s="150" t="s">
        <v>297</v>
      </c>
      <c r="E31" s="151">
        <v>82212.3</v>
      </c>
      <c r="G31" s="37" t="s">
        <v>297</v>
      </c>
      <c r="H31" s="165">
        <v>24192.1</v>
      </c>
      <c r="I31" s="37" t="s">
        <v>354</v>
      </c>
      <c r="J31" s="37" t="s">
        <v>289</v>
      </c>
    </row>
    <row r="32" spans="2:39" ht="15.75" customHeight="1" x14ac:dyDescent="0.25">
      <c r="B32" s="150" t="s">
        <v>299</v>
      </c>
      <c r="C32" s="151">
        <v>9569.2000000000007</v>
      </c>
      <c r="D32" s="150" t="s">
        <v>398</v>
      </c>
      <c r="E32" s="151">
        <v>82212.3</v>
      </c>
      <c r="G32" s="37" t="s">
        <v>303</v>
      </c>
      <c r="H32" s="165">
        <v>-14301</v>
      </c>
      <c r="I32" s="37" t="s">
        <v>359</v>
      </c>
      <c r="J32" s="37" t="s">
        <v>289</v>
      </c>
    </row>
    <row r="33" spans="2:10" ht="15.75" customHeight="1" x14ac:dyDescent="0.25">
      <c r="B33" s="150" t="s">
        <v>301</v>
      </c>
      <c r="C33" s="151">
        <v>76637.100000000006</v>
      </c>
      <c r="D33" s="150" t="s">
        <v>299</v>
      </c>
      <c r="E33" s="151">
        <v>7192.8</v>
      </c>
      <c r="G33" s="37" t="s">
        <v>563</v>
      </c>
      <c r="H33" s="165">
        <v>-8892.5</v>
      </c>
      <c r="I33" s="37" t="s">
        <v>364</v>
      </c>
      <c r="J33" s="37" t="s">
        <v>289</v>
      </c>
    </row>
    <row r="34" spans="2:10" ht="15.75" customHeight="1" x14ac:dyDescent="0.25">
      <c r="B34" s="153" t="s">
        <v>303</v>
      </c>
      <c r="C34" s="151">
        <v>-78135.899999999994</v>
      </c>
      <c r="D34" s="150" t="s">
        <v>301</v>
      </c>
      <c r="E34" s="151">
        <v>89405.1</v>
      </c>
      <c r="G34" s="37" t="s">
        <v>564</v>
      </c>
      <c r="H34" s="165">
        <v>-1260.5</v>
      </c>
      <c r="I34" s="37" t="s">
        <v>367</v>
      </c>
      <c r="J34" s="37" t="s">
        <v>289</v>
      </c>
    </row>
    <row r="35" spans="2:10" ht="15.75" customHeight="1" x14ac:dyDescent="0.25">
      <c r="B35" s="150" t="s">
        <v>305</v>
      </c>
      <c r="C35" s="151">
        <v>-31153.4</v>
      </c>
      <c r="D35" s="153" t="s">
        <v>303</v>
      </c>
      <c r="E35" s="151">
        <v>-83402.5</v>
      </c>
      <c r="G35" s="37" t="s">
        <v>404</v>
      </c>
      <c r="H35" s="165">
        <v>-2842.3</v>
      </c>
      <c r="I35" s="37" t="s">
        <v>371</v>
      </c>
      <c r="J35" s="37" t="s">
        <v>289</v>
      </c>
    </row>
    <row r="36" spans="2:10" ht="15.75" customHeight="1" x14ac:dyDescent="0.25">
      <c r="B36" s="150" t="s">
        <v>310</v>
      </c>
      <c r="C36" s="151">
        <v>-29507.1</v>
      </c>
      <c r="D36" s="150" t="s">
        <v>306</v>
      </c>
      <c r="E36" s="151">
        <v>-3283.2</v>
      </c>
      <c r="G36" s="37" t="s">
        <v>565</v>
      </c>
      <c r="H36" s="165">
        <v>-1305.7</v>
      </c>
      <c r="I36" s="37" t="s">
        <v>372</v>
      </c>
      <c r="J36" s="37" t="s">
        <v>289</v>
      </c>
    </row>
    <row r="37" spans="2:10" ht="15.75" customHeight="1" x14ac:dyDescent="0.25">
      <c r="B37" s="150" t="s">
        <v>313</v>
      </c>
      <c r="C37" s="151">
        <v>-5335.3</v>
      </c>
      <c r="D37" s="150" t="s">
        <v>310</v>
      </c>
      <c r="E37" s="151">
        <v>-29798.2</v>
      </c>
      <c r="G37" s="37" t="s">
        <v>379</v>
      </c>
      <c r="H37" s="165">
        <v>9891.1</v>
      </c>
      <c r="I37" s="37" t="s">
        <v>375</v>
      </c>
      <c r="J37" s="37" t="s">
        <v>289</v>
      </c>
    </row>
    <row r="38" spans="2:10" ht="15.75" customHeight="1" x14ac:dyDescent="0.25">
      <c r="B38" s="150" t="s">
        <v>319</v>
      </c>
      <c r="C38" s="151">
        <v>-3435.9</v>
      </c>
      <c r="D38" s="150" t="s">
        <v>313</v>
      </c>
      <c r="E38" s="151">
        <v>-5724.9</v>
      </c>
      <c r="G38" s="37" t="s">
        <v>299</v>
      </c>
      <c r="H38" s="165">
        <v>8012.2</v>
      </c>
      <c r="I38" s="37" t="s">
        <v>386</v>
      </c>
      <c r="J38" s="37" t="s">
        <v>289</v>
      </c>
    </row>
    <row r="39" spans="2:10" ht="15.75" customHeight="1" x14ac:dyDescent="0.25">
      <c r="B39" s="150" t="s">
        <v>566</v>
      </c>
      <c r="C39" s="151">
        <v>-8704.2000000000007</v>
      </c>
      <c r="D39" s="150" t="s">
        <v>307</v>
      </c>
      <c r="E39" s="151">
        <v>-9938.4</v>
      </c>
      <c r="G39" s="37" t="s">
        <v>381</v>
      </c>
      <c r="H39" s="165">
        <v>17903.3</v>
      </c>
      <c r="I39" s="37" t="s">
        <v>387</v>
      </c>
      <c r="J39" s="37" t="s">
        <v>289</v>
      </c>
    </row>
    <row r="40" spans="2:10" ht="15.75" customHeight="1" x14ac:dyDescent="0.25">
      <c r="B40" s="150" t="s">
        <v>321</v>
      </c>
      <c r="C40" s="151">
        <v>86154.6</v>
      </c>
      <c r="D40" s="150" t="s">
        <v>314</v>
      </c>
      <c r="E40" s="151">
        <v>-34657.800000000003</v>
      </c>
      <c r="G40" s="37" t="s">
        <v>304</v>
      </c>
      <c r="H40" s="165">
        <v>-8472.4</v>
      </c>
      <c r="I40" s="37" t="s">
        <v>388</v>
      </c>
      <c r="J40" s="37" t="s">
        <v>289</v>
      </c>
    </row>
    <row r="41" spans="2:10" ht="15.75" customHeight="1" x14ac:dyDescent="0.25">
      <c r="B41" s="150" t="s">
        <v>318</v>
      </c>
      <c r="C41" s="151">
        <v>-43230.5</v>
      </c>
      <c r="D41" s="150" t="s">
        <v>322</v>
      </c>
      <c r="E41" s="151">
        <v>6002.6</v>
      </c>
      <c r="G41" s="37" t="s">
        <v>322</v>
      </c>
      <c r="H41" s="165">
        <v>9430.9</v>
      </c>
      <c r="I41" s="37" t="s">
        <v>391</v>
      </c>
      <c r="J41" s="37" t="s">
        <v>289</v>
      </c>
    </row>
    <row r="42" spans="2:10" ht="15.75" customHeight="1" x14ac:dyDescent="0.25">
      <c r="B42" s="150" t="s">
        <v>327</v>
      </c>
      <c r="C42" s="151">
        <v>42924.1</v>
      </c>
      <c r="D42" s="150" t="s">
        <v>324</v>
      </c>
      <c r="E42" s="151">
        <v>4292.6000000000004</v>
      </c>
      <c r="G42" s="37" t="s">
        <v>321</v>
      </c>
      <c r="H42" s="165">
        <v>9430.9</v>
      </c>
      <c r="I42" s="37" t="s">
        <v>297</v>
      </c>
      <c r="J42" s="37" t="s">
        <v>567</v>
      </c>
    </row>
    <row r="43" spans="2:10" ht="15.75" customHeight="1" x14ac:dyDescent="0.25">
      <c r="B43" s="150" t="s">
        <v>320</v>
      </c>
      <c r="C43" s="151">
        <v>44767.9</v>
      </c>
      <c r="D43" s="150" t="s">
        <v>321</v>
      </c>
      <c r="E43" s="151">
        <v>10295.200000000001</v>
      </c>
      <c r="G43" s="37" t="s">
        <v>318</v>
      </c>
      <c r="H43" s="165">
        <v>-1716.5</v>
      </c>
      <c r="I43" s="37" t="s">
        <v>299</v>
      </c>
      <c r="J43" s="165">
        <v>2510.27</v>
      </c>
    </row>
    <row r="44" spans="2:10" ht="15.75" customHeight="1" x14ac:dyDescent="0.25">
      <c r="B44" s="150" t="s">
        <v>348</v>
      </c>
      <c r="C44" s="152">
        <v>0</v>
      </c>
      <c r="D44" s="150" t="s">
        <v>318</v>
      </c>
      <c r="E44" s="151">
        <v>-2292.6999999999998</v>
      </c>
      <c r="G44" s="37" t="s">
        <v>327</v>
      </c>
      <c r="H44" s="165">
        <v>7714.4</v>
      </c>
      <c r="I44" s="37" t="s">
        <v>301</v>
      </c>
      <c r="J44" s="37">
        <v>146839</v>
      </c>
    </row>
    <row r="45" spans="2:10" ht="15.75" customHeight="1" x14ac:dyDescent="0.25">
      <c r="B45" s="150" t="s">
        <v>353</v>
      </c>
      <c r="C45" s="152">
        <v>0</v>
      </c>
      <c r="D45" s="150" t="s">
        <v>327</v>
      </c>
      <c r="E45" s="151">
        <v>8002.5</v>
      </c>
      <c r="G45" s="37" t="s">
        <v>344</v>
      </c>
      <c r="H45" s="37">
        <v>-63.8</v>
      </c>
      <c r="I45" s="37" t="s">
        <v>303</v>
      </c>
      <c r="J45" s="165">
        <v>-48124.88</v>
      </c>
    </row>
    <row r="46" spans="2:10" ht="15.75" customHeight="1" x14ac:dyDescent="0.25">
      <c r="B46" s="150" t="s">
        <v>358</v>
      </c>
      <c r="C46" s="151">
        <v>44767.9</v>
      </c>
      <c r="D46" s="150" t="s">
        <v>349</v>
      </c>
      <c r="E46" s="152">
        <v>0</v>
      </c>
      <c r="G46" s="37" t="s">
        <v>568</v>
      </c>
      <c r="H46" s="37">
        <v>-63.8</v>
      </c>
      <c r="I46" s="37" t="s">
        <v>404</v>
      </c>
      <c r="J46" s="165">
        <v>-4228.9399999999996</v>
      </c>
    </row>
    <row r="47" spans="2:10" ht="15.75" customHeight="1" x14ac:dyDescent="0.25">
      <c r="B47" s="150" t="s">
        <v>363</v>
      </c>
      <c r="C47" s="152">
        <v>0</v>
      </c>
      <c r="D47" s="150" t="s">
        <v>354</v>
      </c>
      <c r="E47" s="151">
        <v>8002.5</v>
      </c>
      <c r="G47" s="37" t="s">
        <v>320</v>
      </c>
      <c r="H47" s="165">
        <v>7650.6</v>
      </c>
      <c r="I47" s="37" t="s">
        <v>312</v>
      </c>
      <c r="J47" s="37">
        <v>-900.58</v>
      </c>
    </row>
    <row r="48" spans="2:10" ht="15.75" customHeight="1" x14ac:dyDescent="0.25">
      <c r="B48" s="150" t="s">
        <v>366</v>
      </c>
      <c r="C48" s="151">
        <v>44767.9</v>
      </c>
      <c r="D48" s="150" t="s">
        <v>359</v>
      </c>
      <c r="E48" s="152">
        <v>0</v>
      </c>
      <c r="G48" s="37" t="s">
        <v>323</v>
      </c>
      <c r="H48" s="165">
        <v>3394.8</v>
      </c>
      <c r="I48" s="37" t="s">
        <v>569</v>
      </c>
      <c r="J48" s="165">
        <v>-39997.57</v>
      </c>
    </row>
    <row r="49" spans="2:10" ht="15.75" customHeight="1" x14ac:dyDescent="0.25">
      <c r="B49" s="153" t="s">
        <v>368</v>
      </c>
      <c r="C49" s="152"/>
      <c r="D49" s="150" t="s">
        <v>364</v>
      </c>
      <c r="E49" s="152">
        <v>0</v>
      </c>
      <c r="G49" s="37" t="s">
        <v>374</v>
      </c>
      <c r="H49" s="37">
        <v>2</v>
      </c>
      <c r="I49" s="37" t="s">
        <v>570</v>
      </c>
      <c r="J49" s="165">
        <v>-2997.8</v>
      </c>
    </row>
    <row r="50" spans="2:10" ht="15.75" customHeight="1" x14ac:dyDescent="0.25">
      <c r="B50" s="150" t="s">
        <v>324</v>
      </c>
      <c r="C50" s="151">
        <v>87653.4</v>
      </c>
      <c r="D50" s="150" t="s">
        <v>367</v>
      </c>
      <c r="E50" s="152">
        <v>0</v>
      </c>
      <c r="G50" s="37" t="s">
        <v>325</v>
      </c>
      <c r="H50" s="37" t="s">
        <v>556</v>
      </c>
      <c r="I50" s="37" t="s">
        <v>304</v>
      </c>
      <c r="J50" s="165">
        <v>-3100</v>
      </c>
    </row>
    <row r="51" spans="2:10" ht="15.75" customHeight="1" x14ac:dyDescent="0.25">
      <c r="B51" s="150" t="s">
        <v>322</v>
      </c>
      <c r="C51" s="151">
        <v>-1498.8</v>
      </c>
      <c r="D51" s="150" t="s">
        <v>369</v>
      </c>
      <c r="E51" s="152">
        <v>0</v>
      </c>
      <c r="G51" s="37" t="s">
        <v>330</v>
      </c>
      <c r="H51" s="37">
        <v>4.51</v>
      </c>
      <c r="I51" s="37" t="s">
        <v>324</v>
      </c>
      <c r="J51" s="37">
        <v>0</v>
      </c>
    </row>
    <row r="52" spans="2:10" ht="15.75" customHeight="1" x14ac:dyDescent="0.25">
      <c r="B52" s="150" t="s">
        <v>354</v>
      </c>
      <c r="C52" s="151">
        <v>42924.1</v>
      </c>
      <c r="D52" s="150" t="s">
        <v>320</v>
      </c>
      <c r="E52" s="151">
        <v>8002.5</v>
      </c>
      <c r="G52" s="37" t="s">
        <v>332</v>
      </c>
      <c r="H52" s="37">
        <v>4.5</v>
      </c>
      <c r="I52" s="37" t="s">
        <v>321</v>
      </c>
      <c r="J52" s="165">
        <v>95614.24</v>
      </c>
    </row>
    <row r="53" spans="2:10" ht="15.75" customHeight="1" x14ac:dyDescent="0.25">
      <c r="B53" s="150" t="s">
        <v>359</v>
      </c>
      <c r="C53" s="152">
        <v>0</v>
      </c>
      <c r="D53" s="150" t="s">
        <v>348</v>
      </c>
      <c r="E53" s="152">
        <v>0</v>
      </c>
      <c r="G53" s="37" t="s">
        <v>571</v>
      </c>
      <c r="H53" s="37" t="s">
        <v>560</v>
      </c>
      <c r="I53" s="37" t="s">
        <v>318</v>
      </c>
      <c r="J53" s="165">
        <v>-17390.87</v>
      </c>
    </row>
    <row r="54" spans="2:10" ht="15.75" customHeight="1" x14ac:dyDescent="0.25">
      <c r="B54" s="150" t="s">
        <v>364</v>
      </c>
      <c r="C54" s="152">
        <v>0</v>
      </c>
      <c r="D54" s="150" t="s">
        <v>353</v>
      </c>
      <c r="E54" s="152">
        <v>-922.6</v>
      </c>
      <c r="G54" s="37" t="s">
        <v>572</v>
      </c>
      <c r="H54" s="37">
        <v>21.36</v>
      </c>
      <c r="I54" s="37" t="s">
        <v>573</v>
      </c>
      <c r="J54" s="37">
        <v>-175.51</v>
      </c>
    </row>
    <row r="55" spans="2:10" ht="15.75" customHeight="1" x14ac:dyDescent="0.25">
      <c r="B55" s="150" t="s">
        <v>367</v>
      </c>
      <c r="C55" s="152">
        <v>0</v>
      </c>
      <c r="D55" s="150" t="s">
        <v>358</v>
      </c>
      <c r="E55" s="151">
        <v>7079.9</v>
      </c>
      <c r="G55" s="37" t="s">
        <v>574</v>
      </c>
      <c r="H55" s="37" t="s">
        <v>575</v>
      </c>
      <c r="I55" s="37" t="s">
        <v>576</v>
      </c>
      <c r="J55" s="165">
        <v>-17215.36</v>
      </c>
    </row>
    <row r="56" spans="2:10" ht="15.75" customHeight="1" x14ac:dyDescent="0.25">
      <c r="B56" s="150" t="s">
        <v>371</v>
      </c>
      <c r="C56" s="152">
        <v>120.8</v>
      </c>
      <c r="D56" s="150" t="s">
        <v>363</v>
      </c>
      <c r="E56" s="152">
        <v>0</v>
      </c>
      <c r="G56" s="37" t="s">
        <v>577</v>
      </c>
      <c r="H56" s="37">
        <v>100</v>
      </c>
      <c r="I56" s="37" t="s">
        <v>327</v>
      </c>
      <c r="J56" s="165">
        <v>78223.37</v>
      </c>
    </row>
    <row r="57" spans="2:10" ht="15.75" customHeight="1" x14ac:dyDescent="0.25">
      <c r="B57" s="150" t="s">
        <v>372</v>
      </c>
      <c r="C57" s="152">
        <v>0</v>
      </c>
      <c r="D57" s="150" t="s">
        <v>366</v>
      </c>
      <c r="E57" s="151">
        <v>7079.9</v>
      </c>
      <c r="G57" s="37" t="s">
        <v>578</v>
      </c>
      <c r="H57" s="37">
        <v>78.64</v>
      </c>
      <c r="I57" s="37" t="s">
        <v>344</v>
      </c>
      <c r="J57" s="37">
        <v>-12.33</v>
      </c>
    </row>
    <row r="58" spans="2:10" ht="15.75" customHeight="1" x14ac:dyDescent="0.25">
      <c r="B58" s="150" t="s">
        <v>375</v>
      </c>
      <c r="C58" s="151">
        <v>44888.7</v>
      </c>
      <c r="D58" s="150" t="s">
        <v>371</v>
      </c>
      <c r="E58" s="152">
        <v>-138.19999999999999</v>
      </c>
      <c r="G58" s="37" t="s">
        <v>361</v>
      </c>
      <c r="I58" s="37" t="s">
        <v>579</v>
      </c>
      <c r="J58" s="37">
        <v>-12.33</v>
      </c>
    </row>
    <row r="59" spans="2:10" ht="15.75" customHeight="1" x14ac:dyDescent="0.25">
      <c r="B59" s="150" t="s">
        <v>373</v>
      </c>
      <c r="C59" s="152">
        <v>0</v>
      </c>
      <c r="D59" s="150" t="s">
        <v>373</v>
      </c>
      <c r="E59" s="152">
        <v>0</v>
      </c>
      <c r="I59" s="37" t="s">
        <v>320</v>
      </c>
      <c r="J59" s="165">
        <v>78211</v>
      </c>
    </row>
    <row r="60" spans="2:10" ht="15.75" customHeight="1" x14ac:dyDescent="0.25">
      <c r="B60" s="150" t="s">
        <v>376</v>
      </c>
      <c r="C60" s="152">
        <v>0</v>
      </c>
      <c r="D60" s="150" t="s">
        <v>376</v>
      </c>
      <c r="E60" s="152">
        <v>0</v>
      </c>
      <c r="I60" s="37" t="s">
        <v>348</v>
      </c>
      <c r="J60" s="37">
        <v>-354.82</v>
      </c>
    </row>
    <row r="61" spans="2:10" ht="15.75" customHeight="1" x14ac:dyDescent="0.25">
      <c r="B61" s="150" t="s">
        <v>378</v>
      </c>
      <c r="C61" s="152">
        <v>0</v>
      </c>
      <c r="D61" s="150" t="s">
        <v>378</v>
      </c>
      <c r="E61" s="152">
        <v>0</v>
      </c>
      <c r="I61" s="37" t="s">
        <v>353</v>
      </c>
      <c r="J61" s="37">
        <v>264.12</v>
      </c>
    </row>
    <row r="62" spans="2:10" ht="15.75" customHeight="1" x14ac:dyDescent="0.25">
      <c r="B62" s="150" t="s">
        <v>380</v>
      </c>
      <c r="C62" s="152">
        <v>0</v>
      </c>
      <c r="D62" s="150" t="s">
        <v>380</v>
      </c>
      <c r="E62" s="152">
        <v>0</v>
      </c>
      <c r="I62" s="37" t="s">
        <v>358</v>
      </c>
      <c r="J62" s="165">
        <v>78120.34</v>
      </c>
    </row>
    <row r="63" spans="2:10" ht="15.75" customHeight="1" x14ac:dyDescent="0.25">
      <c r="B63" s="150" t="s">
        <v>349</v>
      </c>
      <c r="C63" s="152">
        <v>0</v>
      </c>
      <c r="D63" s="150" t="s">
        <v>372</v>
      </c>
      <c r="E63" s="152">
        <v>0</v>
      </c>
      <c r="I63" s="37" t="s">
        <v>363</v>
      </c>
      <c r="J63" s="37">
        <v>0</v>
      </c>
    </row>
    <row r="64" spans="2:10" ht="15.75" customHeight="1" x14ac:dyDescent="0.25">
      <c r="B64" s="150" t="s">
        <v>369</v>
      </c>
      <c r="C64" s="151">
        <v>1843.8</v>
      </c>
      <c r="D64" s="150" t="s">
        <v>375</v>
      </c>
      <c r="E64" s="151">
        <v>6941.7</v>
      </c>
      <c r="I64" s="37" t="s">
        <v>366</v>
      </c>
      <c r="J64" s="165">
        <v>78120.34</v>
      </c>
    </row>
    <row r="65" spans="2:10" ht="15.75" customHeight="1" x14ac:dyDescent="0.25">
      <c r="B65" s="150" t="s">
        <v>382</v>
      </c>
      <c r="C65" s="152">
        <v>25.02</v>
      </c>
      <c r="D65" s="153" t="s">
        <v>368</v>
      </c>
      <c r="E65" s="152"/>
      <c r="I65" s="37" t="s">
        <v>370</v>
      </c>
      <c r="J65" s="37">
        <v>0</v>
      </c>
    </row>
    <row r="66" spans="2:10" ht="15.75" customHeight="1" x14ac:dyDescent="0.25">
      <c r="B66" s="150" t="s">
        <v>383</v>
      </c>
      <c r="C66" s="152">
        <v>23.62</v>
      </c>
      <c r="D66" s="150" t="s">
        <v>382</v>
      </c>
      <c r="E66" s="152">
        <v>3.89</v>
      </c>
      <c r="I66" s="37" t="s">
        <v>323</v>
      </c>
      <c r="J66" s="165">
        <v>3409.6</v>
      </c>
    </row>
    <row r="67" spans="2:10" ht="15.75" customHeight="1" x14ac:dyDescent="0.3">
      <c r="B67" s="153"/>
      <c r="C67" s="154" t="s">
        <v>361</v>
      </c>
      <c r="D67" s="150" t="s">
        <v>383</v>
      </c>
      <c r="E67" s="152">
        <v>3.89</v>
      </c>
      <c r="I67" s="37" t="s">
        <v>374</v>
      </c>
      <c r="J67" s="37">
        <v>2</v>
      </c>
    </row>
    <row r="68" spans="2:10" ht="15.75" customHeight="1" x14ac:dyDescent="0.3">
      <c r="D68" s="153"/>
      <c r="E68" s="154" t="s">
        <v>361</v>
      </c>
      <c r="I68" s="37" t="s">
        <v>325</v>
      </c>
      <c r="J68" s="37" t="s">
        <v>580</v>
      </c>
    </row>
    <row r="69" spans="2:10" ht="15.75" customHeight="1" x14ac:dyDescent="0.25">
      <c r="I69" s="37" t="s">
        <v>377</v>
      </c>
    </row>
    <row r="70" spans="2:10" ht="15.75" customHeight="1" x14ac:dyDescent="0.25">
      <c r="I70" s="37" t="s">
        <v>368</v>
      </c>
    </row>
    <row r="71" spans="2:10" ht="15.75" customHeight="1" x14ac:dyDescent="0.25">
      <c r="I71" s="37" t="s">
        <v>330</v>
      </c>
      <c r="J71" s="37">
        <v>46.98</v>
      </c>
    </row>
    <row r="72" spans="2:10" ht="15.75" customHeight="1" x14ac:dyDescent="0.25">
      <c r="I72" s="37" t="s">
        <v>332</v>
      </c>
      <c r="J72" s="37">
        <v>46.9</v>
      </c>
    </row>
    <row r="73" spans="2:10" ht="15.75" customHeight="1" x14ac:dyDescent="0.25">
      <c r="I73" s="37" t="s">
        <v>571</v>
      </c>
      <c r="J73" s="37" t="s">
        <v>581</v>
      </c>
    </row>
    <row r="74" spans="2:10" ht="15.75" customHeight="1" x14ac:dyDescent="0.25">
      <c r="I74" s="37" t="s">
        <v>572</v>
      </c>
      <c r="J74" s="37">
        <v>11.84</v>
      </c>
    </row>
    <row r="75" spans="2:10" ht="15.75" customHeight="1" x14ac:dyDescent="0.25">
      <c r="I75" s="37" t="s">
        <v>582</v>
      </c>
      <c r="J75" s="37" t="s">
        <v>289</v>
      </c>
    </row>
    <row r="76" spans="2:10" ht="15.75" customHeight="1" x14ac:dyDescent="0.25">
      <c r="I76" s="37" t="s">
        <v>583</v>
      </c>
      <c r="J76" s="37" t="s">
        <v>289</v>
      </c>
    </row>
    <row r="77" spans="2:10" ht="15.75" customHeight="1" x14ac:dyDescent="0.25">
      <c r="I77" s="37" t="s">
        <v>584</v>
      </c>
      <c r="J77" s="37" t="s">
        <v>289</v>
      </c>
    </row>
    <row r="78" spans="2:10" ht="15.75" customHeight="1" x14ac:dyDescent="0.25">
      <c r="I78" s="37" t="s">
        <v>585</v>
      </c>
      <c r="J78" s="37" t="s">
        <v>289</v>
      </c>
    </row>
    <row r="79" spans="2:10" ht="15.75" customHeight="1" x14ac:dyDescent="0.25">
      <c r="I79" s="37" t="s">
        <v>586</v>
      </c>
      <c r="J79" s="37" t="s">
        <v>289</v>
      </c>
    </row>
    <row r="80" spans="2:10" ht="15.75" customHeight="1" x14ac:dyDescent="0.25">
      <c r="I80" s="37" t="s">
        <v>587</v>
      </c>
      <c r="J80" s="37" t="s">
        <v>289</v>
      </c>
    </row>
    <row r="81" spans="9:10" ht="15.75" customHeight="1" x14ac:dyDescent="0.25">
      <c r="I81" s="37" t="s">
        <v>588</v>
      </c>
      <c r="J81" s="37" t="s">
        <v>289</v>
      </c>
    </row>
    <row r="82" spans="9:10" ht="15.75" customHeight="1" x14ac:dyDescent="0.25">
      <c r="I82" s="37" t="s">
        <v>589</v>
      </c>
      <c r="J82" s="37" t="s">
        <v>289</v>
      </c>
    </row>
    <row r="83" spans="9:10" ht="15.75" customHeight="1" x14ac:dyDescent="0.25">
      <c r="I83" s="37" t="s">
        <v>590</v>
      </c>
      <c r="J83" s="37" t="s">
        <v>289</v>
      </c>
    </row>
    <row r="84" spans="9:10" ht="15.75" customHeight="1" x14ac:dyDescent="0.25">
      <c r="I84" s="37" t="s">
        <v>591</v>
      </c>
      <c r="J84" s="37" t="s">
        <v>289</v>
      </c>
    </row>
    <row r="85" spans="9:10" ht="15.75" customHeight="1" x14ac:dyDescent="0.25">
      <c r="I85" s="37" t="s">
        <v>592</v>
      </c>
      <c r="J85" s="37" t="s">
        <v>289</v>
      </c>
    </row>
    <row r="86" spans="9:10" ht="15.75" customHeight="1" x14ac:dyDescent="0.25">
      <c r="I86" s="37" t="s">
        <v>593</v>
      </c>
      <c r="J86" s="37" t="s">
        <v>289</v>
      </c>
    </row>
    <row r="87" spans="9:10" ht="15.75" customHeight="1" x14ac:dyDescent="0.25">
      <c r="I87" s="37" t="s">
        <v>361</v>
      </c>
    </row>
    <row r="88" spans="9:10" ht="15.75" customHeight="1" x14ac:dyDescent="0.25"/>
    <row r="89" spans="9:10" ht="15.75" customHeight="1" x14ac:dyDescent="0.25"/>
    <row r="90" spans="9:10" ht="15.75" customHeight="1" x14ac:dyDescent="0.25"/>
    <row r="91" spans="9:10" ht="15.75" customHeight="1" x14ac:dyDescent="0.25"/>
    <row r="92" spans="9:10" ht="15.75" customHeight="1" x14ac:dyDescent="0.25"/>
    <row r="93" spans="9:10" ht="15.75" customHeight="1" x14ac:dyDescent="0.25"/>
    <row r="94" spans="9:10" ht="15.75" customHeight="1" x14ac:dyDescent="0.25"/>
    <row r="95" spans="9:10" ht="15.75" customHeight="1" x14ac:dyDescent="0.25"/>
    <row r="96" spans="9:10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AP1000"/>
  <sheetViews>
    <sheetView workbookViewId="0"/>
  </sheetViews>
  <sheetFormatPr defaultColWidth="12.59765625" defaultRowHeight="15" customHeight="1" x14ac:dyDescent="0.25"/>
  <cols>
    <col min="1" max="1" width="7.59765625" customWidth="1"/>
    <col min="2" max="2" width="15.3984375" customWidth="1"/>
    <col min="3" max="7" width="11.09765625" customWidth="1"/>
    <col min="8" max="8" width="37.8984375" customWidth="1"/>
    <col min="9" max="9" width="17.09765625" customWidth="1"/>
    <col min="10" max="12" width="10.19921875" customWidth="1"/>
    <col min="13" max="13" width="37.8984375" customWidth="1"/>
    <col min="14" max="14" width="17.09765625" customWidth="1"/>
    <col min="15" max="16" width="10.19921875" customWidth="1"/>
    <col min="17" max="32" width="7.59765625" customWidth="1"/>
    <col min="33" max="33" width="10.59765625" customWidth="1"/>
    <col min="34" max="34" width="12.19921875" customWidth="1"/>
    <col min="35" max="35" width="8.69921875" customWidth="1"/>
    <col min="36" max="36" width="24.3984375" customWidth="1"/>
    <col min="37" max="37" width="10.19921875" customWidth="1"/>
    <col min="38" max="38" width="10.8984375" customWidth="1"/>
    <col min="39" max="39" width="10.09765625" customWidth="1"/>
    <col min="40" max="40" width="11.19921875" customWidth="1"/>
    <col min="41" max="41" width="24.3984375" customWidth="1"/>
    <col min="42" max="42" width="17.19921875" customWidth="1"/>
  </cols>
  <sheetData>
    <row r="2" spans="2:42" ht="13.8" x14ac:dyDescent="0.25">
      <c r="B2" s="37" t="s">
        <v>427</v>
      </c>
      <c r="C2" s="37">
        <v>2018</v>
      </c>
      <c r="D2" s="37">
        <v>2017</v>
      </c>
      <c r="E2" s="37">
        <v>2016</v>
      </c>
      <c r="F2" s="37">
        <v>2015</v>
      </c>
      <c r="G2" s="37">
        <v>2014</v>
      </c>
      <c r="H2" s="37" t="s">
        <v>288</v>
      </c>
      <c r="I2" s="164">
        <v>41364</v>
      </c>
      <c r="J2" s="164">
        <v>40999</v>
      </c>
      <c r="K2" s="164">
        <v>40633</v>
      </c>
      <c r="L2" s="164">
        <v>40268</v>
      </c>
      <c r="M2" s="37" t="s">
        <v>428</v>
      </c>
      <c r="N2" s="164">
        <v>39903</v>
      </c>
      <c r="O2" s="164">
        <v>39538</v>
      </c>
      <c r="P2" s="164">
        <v>39172</v>
      </c>
      <c r="S2" s="37" t="s">
        <v>266</v>
      </c>
      <c r="T2" s="37" t="s">
        <v>267</v>
      </c>
      <c r="U2" s="37" t="s">
        <v>268</v>
      </c>
      <c r="V2" s="37" t="s">
        <v>269</v>
      </c>
      <c r="W2" s="37" t="s">
        <v>270</v>
      </c>
      <c r="X2" s="37" t="s">
        <v>271</v>
      </c>
      <c r="Y2" s="37" t="s">
        <v>272</v>
      </c>
      <c r="Z2" s="37" t="s">
        <v>273</v>
      </c>
      <c r="AA2" s="37" t="s">
        <v>274</v>
      </c>
      <c r="AB2" s="37" t="s">
        <v>275</v>
      </c>
      <c r="AC2" s="37" t="s">
        <v>276</v>
      </c>
      <c r="AD2" s="37" t="s">
        <v>277</v>
      </c>
      <c r="AE2" s="37" t="s">
        <v>278</v>
      </c>
      <c r="AG2" s="37" t="s">
        <v>393</v>
      </c>
      <c r="AH2" s="37" t="s">
        <v>5</v>
      </c>
      <c r="AI2" s="37" t="s">
        <v>279</v>
      </c>
      <c r="AJ2" s="37" t="s">
        <v>280</v>
      </c>
      <c r="AK2" s="37" t="s">
        <v>281</v>
      </c>
      <c r="AL2" s="37" t="s">
        <v>282</v>
      </c>
      <c r="AM2" s="37" t="s">
        <v>283</v>
      </c>
      <c r="AN2" s="37" t="s">
        <v>284</v>
      </c>
      <c r="AO2" s="37" t="s">
        <v>285</v>
      </c>
      <c r="AP2" s="37" t="s">
        <v>286</v>
      </c>
    </row>
    <row r="3" spans="2:42" ht="13.8" x14ac:dyDescent="0.25">
      <c r="B3" s="37" t="s">
        <v>429</v>
      </c>
      <c r="H3" s="37" t="s">
        <v>292</v>
      </c>
      <c r="I3" s="37">
        <v>12</v>
      </c>
      <c r="J3" s="37">
        <v>12</v>
      </c>
      <c r="K3" s="37">
        <v>12</v>
      </c>
      <c r="L3" s="37">
        <v>12</v>
      </c>
      <c r="M3" s="37" t="s">
        <v>292</v>
      </c>
      <c r="N3" s="37">
        <v>12</v>
      </c>
      <c r="O3" s="37">
        <v>12</v>
      </c>
      <c r="P3" s="37">
        <v>12</v>
      </c>
      <c r="S3" s="37">
        <v>2006</v>
      </c>
      <c r="T3" s="37">
        <v>90</v>
      </c>
      <c r="U3" s="37">
        <v>112.4</v>
      </c>
      <c r="V3" s="37">
        <v>78.7</v>
      </c>
      <c r="W3" s="37">
        <v>83.7</v>
      </c>
      <c r="X3" s="37">
        <v>75395025</v>
      </c>
      <c r="Y3" s="37">
        <v>408369</v>
      </c>
      <c r="Z3" s="37">
        <v>7233641778</v>
      </c>
      <c r="AA3" s="37">
        <v>14876415</v>
      </c>
      <c r="AB3" s="37">
        <v>19.73</v>
      </c>
      <c r="AC3" s="37">
        <v>33.700000000000003</v>
      </c>
      <c r="AD3" s="37">
        <v>-6.3</v>
      </c>
      <c r="AG3" s="37">
        <v>532764</v>
      </c>
      <c r="AH3" s="37" t="s">
        <v>99</v>
      </c>
      <c r="AI3" s="164">
        <v>39282</v>
      </c>
      <c r="AJ3" s="37">
        <v>0.75</v>
      </c>
      <c r="AK3" s="37" t="s">
        <v>289</v>
      </c>
      <c r="AL3" s="164">
        <v>39284</v>
      </c>
      <c r="AM3" s="164">
        <v>39294</v>
      </c>
      <c r="AN3" s="164">
        <v>39279</v>
      </c>
      <c r="AO3" s="37" t="s">
        <v>290</v>
      </c>
    </row>
    <row r="4" spans="2:42" ht="13.8" x14ac:dyDescent="0.25">
      <c r="B4" s="37" t="s">
        <v>243</v>
      </c>
      <c r="C4" s="165">
        <v>1846.52</v>
      </c>
      <c r="D4" s="37">
        <v>922.05</v>
      </c>
      <c r="E4" s="165">
        <v>1441.94</v>
      </c>
      <c r="F4" s="37">
        <v>434.13</v>
      </c>
      <c r="G4" s="37">
        <v>144.29</v>
      </c>
      <c r="H4" s="37" t="s">
        <v>293</v>
      </c>
      <c r="I4" s="37" t="s">
        <v>295</v>
      </c>
      <c r="M4" s="37" t="s">
        <v>293</v>
      </c>
      <c r="N4" s="37" t="s">
        <v>295</v>
      </c>
      <c r="S4" s="37">
        <v>2007</v>
      </c>
      <c r="T4" s="37">
        <v>83.9</v>
      </c>
      <c r="U4" s="37">
        <v>118.7</v>
      </c>
      <c r="V4" s="37">
        <v>49.1</v>
      </c>
      <c r="W4" s="37">
        <v>111.05</v>
      </c>
      <c r="X4" s="37">
        <v>26479819</v>
      </c>
      <c r="Y4" s="37">
        <v>211742</v>
      </c>
      <c r="Z4" s="37">
        <v>2144709098</v>
      </c>
      <c r="AA4" s="37">
        <v>12638549</v>
      </c>
      <c r="AB4" s="37">
        <v>47.73</v>
      </c>
      <c r="AC4" s="37">
        <v>69.599999999999994</v>
      </c>
      <c r="AD4" s="37">
        <v>27.15</v>
      </c>
      <c r="AG4" s="37">
        <v>532764</v>
      </c>
      <c r="AH4" s="37" t="s">
        <v>99</v>
      </c>
      <c r="AI4" s="164">
        <v>39645</v>
      </c>
      <c r="AJ4" s="37">
        <v>1.2</v>
      </c>
      <c r="AK4" s="37" t="s">
        <v>289</v>
      </c>
      <c r="AL4" s="164">
        <v>39647</v>
      </c>
      <c r="AM4" s="164">
        <v>39657</v>
      </c>
      <c r="AN4" s="164">
        <v>39640</v>
      </c>
      <c r="AO4" s="37" t="s">
        <v>290</v>
      </c>
    </row>
    <row r="5" spans="2:42" ht="13.8" x14ac:dyDescent="0.25">
      <c r="B5" s="37" t="s">
        <v>299</v>
      </c>
      <c r="C5" s="37">
        <v>9.61</v>
      </c>
      <c r="D5" s="37">
        <v>31.3</v>
      </c>
      <c r="E5" s="37">
        <v>19.239999999999998</v>
      </c>
      <c r="F5" s="37">
        <v>26.69</v>
      </c>
      <c r="G5" s="37">
        <v>22.44</v>
      </c>
      <c r="H5" s="37" t="s">
        <v>298</v>
      </c>
      <c r="I5" s="37">
        <v>129.38999999999999</v>
      </c>
      <c r="J5" s="37">
        <v>34.15</v>
      </c>
      <c r="K5" s="37">
        <v>40.01</v>
      </c>
      <c r="L5" s="165">
        <v>1312.25</v>
      </c>
      <c r="M5" s="37" t="s">
        <v>298</v>
      </c>
      <c r="N5" s="165">
        <v>3755.41</v>
      </c>
      <c r="O5" s="165">
        <v>2948.71</v>
      </c>
      <c r="P5" s="165">
        <v>2053.64</v>
      </c>
      <c r="S5" s="37">
        <v>2008</v>
      </c>
      <c r="T5" s="37">
        <v>112</v>
      </c>
      <c r="U5" s="37">
        <v>127.9</v>
      </c>
      <c r="V5" s="37">
        <v>34.6</v>
      </c>
      <c r="W5" s="37">
        <v>49.35</v>
      </c>
      <c r="X5" s="37">
        <v>68025334</v>
      </c>
      <c r="Y5" s="37">
        <v>620003</v>
      </c>
      <c r="Z5" s="37">
        <v>6433034531</v>
      </c>
      <c r="AA5" s="37">
        <v>16879258</v>
      </c>
      <c r="AB5" s="37">
        <v>24.81</v>
      </c>
      <c r="AC5" s="37">
        <v>93.3</v>
      </c>
      <c r="AD5" s="37">
        <v>-62.65</v>
      </c>
      <c r="AG5" s="37">
        <v>532764</v>
      </c>
      <c r="AH5" s="37" t="s">
        <v>99</v>
      </c>
      <c r="AI5" s="164">
        <v>40063</v>
      </c>
      <c r="AJ5" s="37">
        <v>1.2</v>
      </c>
      <c r="AK5" s="37" t="s">
        <v>289</v>
      </c>
      <c r="AL5" s="164">
        <v>40065</v>
      </c>
      <c r="AM5" s="164">
        <v>40073</v>
      </c>
      <c r="AN5" s="164">
        <v>40058</v>
      </c>
      <c r="AO5" s="37" t="s">
        <v>290</v>
      </c>
    </row>
    <row r="6" spans="2:42" ht="13.8" x14ac:dyDescent="0.25">
      <c r="B6" s="37" t="s">
        <v>301</v>
      </c>
      <c r="C6" s="165">
        <v>1856.13</v>
      </c>
      <c r="D6" s="37">
        <v>953.35</v>
      </c>
      <c r="E6" s="165">
        <v>1461.18</v>
      </c>
      <c r="F6" s="37">
        <v>460.82</v>
      </c>
      <c r="G6" s="37">
        <v>166.73</v>
      </c>
      <c r="H6" s="37" t="s">
        <v>299</v>
      </c>
      <c r="I6" s="37">
        <v>48.43</v>
      </c>
      <c r="J6" s="37">
        <v>219.6</v>
      </c>
      <c r="K6" s="37">
        <v>137.37</v>
      </c>
      <c r="L6" s="37">
        <v>74.599999999999994</v>
      </c>
      <c r="M6" s="37" t="s">
        <v>299</v>
      </c>
      <c r="N6" s="37">
        <v>58.56</v>
      </c>
      <c r="O6" s="37">
        <v>8.4</v>
      </c>
      <c r="P6" s="37">
        <v>16.25</v>
      </c>
      <c r="S6" s="37">
        <v>2009</v>
      </c>
      <c r="T6" s="37">
        <v>49.5</v>
      </c>
      <c r="U6" s="37">
        <v>125.7</v>
      </c>
      <c r="V6" s="37">
        <v>39</v>
      </c>
      <c r="W6" s="37">
        <v>91.2</v>
      </c>
      <c r="X6" s="37">
        <v>22489385</v>
      </c>
      <c r="Y6" s="37">
        <v>186724</v>
      </c>
      <c r="Z6" s="37">
        <v>2077657788</v>
      </c>
      <c r="AA6" s="37">
        <v>10089397</v>
      </c>
      <c r="AB6" s="37">
        <v>44.86</v>
      </c>
      <c r="AC6" s="37">
        <v>86.7</v>
      </c>
      <c r="AD6" s="37">
        <v>41.7</v>
      </c>
      <c r="AG6" s="37">
        <v>532764</v>
      </c>
      <c r="AH6" s="37" t="s">
        <v>99</v>
      </c>
      <c r="AI6" s="164">
        <v>40429</v>
      </c>
      <c r="AJ6" s="37">
        <v>1.5</v>
      </c>
      <c r="AK6" s="37" t="s">
        <v>289</v>
      </c>
      <c r="AL6" s="164">
        <v>40431</v>
      </c>
      <c r="AM6" s="164">
        <v>40442</v>
      </c>
      <c r="AN6" s="164">
        <v>40424</v>
      </c>
      <c r="AO6" s="37" t="s">
        <v>290</v>
      </c>
    </row>
    <row r="7" spans="2:42" ht="13.8" x14ac:dyDescent="0.25">
      <c r="B7" s="37" t="s">
        <v>303</v>
      </c>
      <c r="C7" s="165">
        <v>-1531.81</v>
      </c>
      <c r="D7" s="37">
        <v>-631</v>
      </c>
      <c r="E7" s="165">
        <v>-1103.1300000000001</v>
      </c>
      <c r="F7" s="37">
        <v>-363.1</v>
      </c>
      <c r="G7" s="37">
        <v>-58.92</v>
      </c>
      <c r="H7" s="37" t="s">
        <v>303</v>
      </c>
      <c r="I7" s="37">
        <v>-65.48</v>
      </c>
      <c r="J7" s="37">
        <v>-83.52</v>
      </c>
      <c r="K7" s="37">
        <v>-87.61</v>
      </c>
      <c r="L7" s="165">
        <v>-1182.77</v>
      </c>
      <c r="M7" s="37" t="s">
        <v>301</v>
      </c>
      <c r="N7" s="165">
        <v>3813.97</v>
      </c>
      <c r="O7" s="165">
        <v>2957.11</v>
      </c>
      <c r="P7" s="165">
        <v>2069.89</v>
      </c>
      <c r="S7" s="37">
        <v>2010</v>
      </c>
      <c r="T7" s="37">
        <v>91.5</v>
      </c>
      <c r="U7" s="37">
        <v>105.3</v>
      </c>
      <c r="V7" s="37">
        <v>45</v>
      </c>
      <c r="W7" s="37">
        <v>52.35</v>
      </c>
      <c r="X7" s="37">
        <v>7878817</v>
      </c>
      <c r="Y7" s="37">
        <v>46886</v>
      </c>
      <c r="Z7" s="37">
        <v>693222367</v>
      </c>
      <c r="AA7" s="37">
        <v>5648396</v>
      </c>
      <c r="AB7" s="37">
        <v>71.69</v>
      </c>
      <c r="AC7" s="37">
        <v>60.3</v>
      </c>
      <c r="AD7" s="37">
        <v>-39.15</v>
      </c>
      <c r="AG7" s="37">
        <v>532764</v>
      </c>
      <c r="AH7" s="37" t="s">
        <v>99</v>
      </c>
      <c r="AI7" s="164">
        <v>40760</v>
      </c>
      <c r="AJ7" s="37">
        <v>1.5</v>
      </c>
      <c r="AK7" s="37" t="s">
        <v>289</v>
      </c>
      <c r="AL7" s="164">
        <v>40764</v>
      </c>
      <c r="AM7" s="164">
        <v>40771</v>
      </c>
      <c r="AN7" s="164">
        <v>40757</v>
      </c>
      <c r="AO7" s="37" t="s">
        <v>290</v>
      </c>
    </row>
    <row r="8" spans="2:42" ht="13.8" x14ac:dyDescent="0.25">
      <c r="B8" s="37" t="s">
        <v>304</v>
      </c>
      <c r="C8" s="37">
        <v>-0.17</v>
      </c>
      <c r="D8" s="37">
        <v>-1.24</v>
      </c>
      <c r="E8" s="37">
        <v>-0.45</v>
      </c>
      <c r="F8" s="37">
        <v>-0.2</v>
      </c>
      <c r="G8" s="37">
        <v>-0.03</v>
      </c>
      <c r="H8" s="37" t="s">
        <v>304</v>
      </c>
      <c r="I8" s="37">
        <v>-1.21</v>
      </c>
      <c r="J8" s="37">
        <v>-1.39</v>
      </c>
      <c r="K8" s="37">
        <v>0</v>
      </c>
      <c r="L8" s="37">
        <v>-46.54</v>
      </c>
      <c r="M8" s="37" t="s">
        <v>303</v>
      </c>
      <c r="N8" s="165">
        <v>-3213.36</v>
      </c>
      <c r="O8" s="165">
        <v>-2402.96</v>
      </c>
      <c r="P8" s="165">
        <v>-1667.94</v>
      </c>
      <c r="S8" s="37">
        <v>2011</v>
      </c>
      <c r="T8" s="37">
        <v>52.8</v>
      </c>
      <c r="U8" s="37">
        <v>54.55</v>
      </c>
      <c r="V8" s="37">
        <v>28.3</v>
      </c>
      <c r="W8" s="37">
        <v>30.1</v>
      </c>
      <c r="X8" s="37">
        <v>3447211</v>
      </c>
      <c r="Y8" s="37">
        <v>8611</v>
      </c>
      <c r="Z8" s="37">
        <v>144177270</v>
      </c>
      <c r="AA8" s="37">
        <v>3164859</v>
      </c>
      <c r="AB8" s="37">
        <v>91.81</v>
      </c>
      <c r="AC8" s="37">
        <v>26.25</v>
      </c>
      <c r="AD8" s="37">
        <v>-22.7</v>
      </c>
      <c r="AG8" s="37">
        <v>532764</v>
      </c>
      <c r="AH8" s="37" t="s">
        <v>99</v>
      </c>
      <c r="AI8" s="164">
        <v>41155</v>
      </c>
      <c r="AJ8" s="37">
        <v>1.5</v>
      </c>
      <c r="AK8" s="37" t="s">
        <v>289</v>
      </c>
      <c r="AL8" s="164">
        <v>41157</v>
      </c>
      <c r="AM8" s="164">
        <v>41164</v>
      </c>
      <c r="AN8" s="164">
        <v>41150</v>
      </c>
      <c r="AO8" s="37" t="s">
        <v>290</v>
      </c>
    </row>
    <row r="9" spans="2:42" ht="13.8" x14ac:dyDescent="0.25">
      <c r="B9" s="37" t="s">
        <v>431</v>
      </c>
      <c r="C9" s="37">
        <v>324.32</v>
      </c>
      <c r="D9" s="37">
        <v>322.35000000000002</v>
      </c>
      <c r="E9" s="37">
        <v>357.59</v>
      </c>
      <c r="F9" s="37">
        <v>97.52</v>
      </c>
      <c r="G9" s="37">
        <v>107.78</v>
      </c>
      <c r="H9" s="37" t="s">
        <v>308</v>
      </c>
      <c r="I9" s="37">
        <v>111.13</v>
      </c>
      <c r="J9" s="37">
        <v>168.84</v>
      </c>
      <c r="K9" s="37">
        <v>89.77</v>
      </c>
      <c r="L9" s="37">
        <v>157.54</v>
      </c>
      <c r="M9" s="37" t="s">
        <v>309</v>
      </c>
      <c r="N9" s="37">
        <v>600.61</v>
      </c>
      <c r="O9" s="37">
        <v>554.15</v>
      </c>
      <c r="P9" s="37">
        <v>401.96</v>
      </c>
      <c r="S9" s="37">
        <v>2012</v>
      </c>
      <c r="T9" s="37">
        <v>30.4</v>
      </c>
      <c r="U9" s="37">
        <v>53.05</v>
      </c>
      <c r="V9" s="37">
        <v>29.55</v>
      </c>
      <c r="W9" s="37">
        <v>41.55</v>
      </c>
      <c r="X9" s="37">
        <v>2999970</v>
      </c>
      <c r="Y9" s="37">
        <v>26085</v>
      </c>
      <c r="Z9" s="37">
        <v>140664145</v>
      </c>
      <c r="AA9" s="37">
        <v>2709478</v>
      </c>
      <c r="AB9" s="37">
        <v>90.32</v>
      </c>
      <c r="AC9" s="37">
        <v>23.5</v>
      </c>
      <c r="AD9" s="37">
        <v>11.15</v>
      </c>
      <c r="AG9" s="37">
        <v>532764</v>
      </c>
      <c r="AH9" s="37" t="s">
        <v>99</v>
      </c>
      <c r="AI9" s="164">
        <v>41512</v>
      </c>
      <c r="AJ9" s="37">
        <v>1.5</v>
      </c>
      <c r="AK9" s="37" t="s">
        <v>289</v>
      </c>
      <c r="AL9" s="164">
        <v>41514</v>
      </c>
      <c r="AM9" s="164">
        <v>41520</v>
      </c>
      <c r="AN9" s="164">
        <v>41507</v>
      </c>
      <c r="AO9" s="37" t="s">
        <v>290</v>
      </c>
    </row>
    <row r="10" spans="2:42" ht="13.8" x14ac:dyDescent="0.25">
      <c r="B10" s="37" t="s">
        <v>312</v>
      </c>
      <c r="C10" s="37">
        <v>-14.07</v>
      </c>
      <c r="D10" s="37">
        <v>-14.96</v>
      </c>
      <c r="E10" s="37">
        <v>-16.18</v>
      </c>
      <c r="F10" s="37">
        <v>-18.170000000000002</v>
      </c>
      <c r="G10" s="37">
        <v>-17.72</v>
      </c>
      <c r="H10" s="37" t="s">
        <v>312</v>
      </c>
      <c r="I10" s="37">
        <v>-17.84</v>
      </c>
      <c r="J10" s="37">
        <v>-18.37</v>
      </c>
      <c r="K10" s="37">
        <v>-21.55</v>
      </c>
      <c r="L10" s="37">
        <v>-55.58</v>
      </c>
      <c r="M10" s="37" t="s">
        <v>304</v>
      </c>
      <c r="N10" s="37">
        <v>-95.63</v>
      </c>
      <c r="O10" s="37">
        <v>-91.87</v>
      </c>
      <c r="P10" s="37">
        <v>-56.28</v>
      </c>
      <c r="S10" s="37">
        <v>2013</v>
      </c>
      <c r="T10" s="37">
        <v>42</v>
      </c>
      <c r="U10" s="37">
        <v>46.5</v>
      </c>
      <c r="V10" s="37">
        <v>22.25</v>
      </c>
      <c r="W10" s="37">
        <v>27.3</v>
      </c>
      <c r="X10" s="37">
        <v>205653</v>
      </c>
      <c r="Y10" s="37">
        <v>2381</v>
      </c>
      <c r="Z10" s="37">
        <v>6890605</v>
      </c>
      <c r="AA10" s="37">
        <v>168623</v>
      </c>
      <c r="AB10" s="37">
        <v>81.99</v>
      </c>
      <c r="AC10" s="37">
        <v>24.25</v>
      </c>
      <c r="AD10" s="37">
        <v>-14.7</v>
      </c>
      <c r="AG10" s="37">
        <v>532764</v>
      </c>
      <c r="AH10" s="37" t="s">
        <v>99</v>
      </c>
      <c r="AI10" s="164">
        <v>41883</v>
      </c>
      <c r="AJ10" s="37">
        <v>1.5</v>
      </c>
      <c r="AK10" s="37" t="s">
        <v>289</v>
      </c>
      <c r="AL10" s="164">
        <v>41885</v>
      </c>
      <c r="AM10" s="164">
        <v>41892</v>
      </c>
      <c r="AN10" s="164">
        <v>41877</v>
      </c>
      <c r="AO10" s="37" t="s">
        <v>290</v>
      </c>
    </row>
    <row r="11" spans="2:42" ht="13.8" x14ac:dyDescent="0.25">
      <c r="B11" s="37" t="s">
        <v>432</v>
      </c>
      <c r="C11" s="37">
        <v>310.25</v>
      </c>
      <c r="D11" s="37">
        <v>307.39</v>
      </c>
      <c r="E11" s="37">
        <v>341.41</v>
      </c>
      <c r="F11" s="37">
        <v>79.349999999999994</v>
      </c>
      <c r="G11" s="37">
        <v>90.06</v>
      </c>
      <c r="H11" s="37" t="s">
        <v>315</v>
      </c>
      <c r="I11" s="37">
        <v>93.29</v>
      </c>
      <c r="J11" s="37">
        <v>150.46</v>
      </c>
      <c r="K11" s="37">
        <v>68.209999999999994</v>
      </c>
      <c r="L11" s="37">
        <v>101.96</v>
      </c>
      <c r="M11" s="37" t="s">
        <v>308</v>
      </c>
      <c r="N11" s="37">
        <v>504.98</v>
      </c>
      <c r="O11" s="37">
        <v>462.28</v>
      </c>
      <c r="P11" s="37">
        <v>345.67</v>
      </c>
      <c r="S11" s="37">
        <v>2014</v>
      </c>
      <c r="T11" s="37">
        <v>26</v>
      </c>
      <c r="U11" s="37">
        <v>50.25</v>
      </c>
      <c r="V11" s="37">
        <v>24.85</v>
      </c>
      <c r="W11" s="37">
        <v>45.15</v>
      </c>
      <c r="X11" s="37">
        <v>818180</v>
      </c>
      <c r="Y11" s="37">
        <v>10807</v>
      </c>
      <c r="Z11" s="37">
        <v>28732434</v>
      </c>
      <c r="AA11" s="37">
        <v>684940</v>
      </c>
      <c r="AB11" s="37">
        <v>83.72</v>
      </c>
      <c r="AC11" s="37">
        <v>25.4</v>
      </c>
      <c r="AD11" s="37">
        <v>19.149999999999999</v>
      </c>
      <c r="AG11" s="37">
        <v>532764</v>
      </c>
      <c r="AH11" s="37" t="s">
        <v>99</v>
      </c>
      <c r="AI11" s="164">
        <v>42250</v>
      </c>
      <c r="AJ11" s="37">
        <v>1.5</v>
      </c>
      <c r="AK11" s="37" t="s">
        <v>289</v>
      </c>
      <c r="AL11" s="164">
        <v>42254</v>
      </c>
      <c r="AM11" s="164">
        <v>42262</v>
      </c>
      <c r="AN11" s="164">
        <v>42247</v>
      </c>
      <c r="AO11" s="37" t="s">
        <v>290</v>
      </c>
    </row>
    <row r="12" spans="2:42" ht="13.8" x14ac:dyDescent="0.25">
      <c r="B12" s="37" t="s">
        <v>318</v>
      </c>
      <c r="C12" s="37">
        <v>-9.43</v>
      </c>
      <c r="D12" s="37">
        <v>-27.02</v>
      </c>
      <c r="E12" s="37">
        <v>-20.98</v>
      </c>
      <c r="F12" s="37">
        <v>-4.0999999999999996</v>
      </c>
      <c r="G12" s="37">
        <v>-25.81</v>
      </c>
      <c r="H12" s="37" t="s">
        <v>318</v>
      </c>
      <c r="I12" s="37">
        <v>-30.26</v>
      </c>
      <c r="J12" s="37">
        <v>-27.87</v>
      </c>
      <c r="K12" s="37">
        <v>11.68</v>
      </c>
      <c r="L12" s="37">
        <v>-25.19</v>
      </c>
      <c r="M12" s="37" t="s">
        <v>312</v>
      </c>
      <c r="N12" s="37">
        <v>-106.52</v>
      </c>
      <c r="O12" s="37">
        <v>-88.84</v>
      </c>
      <c r="P12" s="37">
        <v>-70.77</v>
      </c>
      <c r="S12" s="37">
        <v>2015</v>
      </c>
      <c r="T12" s="37">
        <v>45.35</v>
      </c>
      <c r="U12" s="37">
        <v>147.4</v>
      </c>
      <c r="V12" s="37">
        <v>42.1</v>
      </c>
      <c r="W12" s="37">
        <v>137</v>
      </c>
      <c r="X12" s="37">
        <v>2102618</v>
      </c>
      <c r="Y12" s="37">
        <v>34064</v>
      </c>
      <c r="Z12" s="37">
        <v>209815207</v>
      </c>
      <c r="AA12" s="37">
        <v>1155397</v>
      </c>
      <c r="AB12" s="37">
        <v>54.95</v>
      </c>
      <c r="AC12" s="37">
        <v>105.3</v>
      </c>
      <c r="AD12" s="37">
        <v>91.65</v>
      </c>
      <c r="AG12" s="37">
        <v>532764</v>
      </c>
      <c r="AH12" s="37" t="s">
        <v>99</v>
      </c>
      <c r="AI12" s="164">
        <v>42451</v>
      </c>
      <c r="AJ12" s="37">
        <v>1.5</v>
      </c>
      <c r="AK12" s="164">
        <v>42452</v>
      </c>
      <c r="AL12" s="37" t="s">
        <v>430</v>
      </c>
      <c r="AM12" s="37" t="s">
        <v>430</v>
      </c>
      <c r="AN12" s="164">
        <v>42445</v>
      </c>
      <c r="AO12" s="37" t="s">
        <v>296</v>
      </c>
    </row>
    <row r="13" spans="2:42" ht="13.8" x14ac:dyDescent="0.25">
      <c r="B13" s="37" t="s">
        <v>320</v>
      </c>
      <c r="C13" s="37">
        <v>300.81</v>
      </c>
      <c r="D13" s="37">
        <v>280.36</v>
      </c>
      <c r="E13" s="37">
        <v>365.43</v>
      </c>
      <c r="F13" s="37">
        <v>125.24</v>
      </c>
      <c r="G13" s="37">
        <v>64.239999999999995</v>
      </c>
      <c r="H13" s="37" t="s">
        <v>326</v>
      </c>
      <c r="I13" s="37">
        <v>63.04</v>
      </c>
      <c r="J13" s="37">
        <v>122.59</v>
      </c>
      <c r="K13" s="37">
        <v>79.89</v>
      </c>
      <c r="L13" s="37">
        <v>76.77</v>
      </c>
      <c r="M13" s="37" t="s">
        <v>315</v>
      </c>
      <c r="N13" s="37">
        <v>398.46</v>
      </c>
      <c r="O13" s="37">
        <v>373.44</v>
      </c>
      <c r="P13" s="37">
        <v>274.91000000000003</v>
      </c>
      <c r="S13" s="37">
        <v>2016</v>
      </c>
      <c r="T13" s="37">
        <v>137.1</v>
      </c>
      <c r="U13" s="37">
        <v>219.95</v>
      </c>
      <c r="V13" s="37">
        <v>83.7</v>
      </c>
      <c r="W13" s="37">
        <v>117.85</v>
      </c>
      <c r="X13" s="37">
        <v>6004821</v>
      </c>
      <c r="Y13" s="37">
        <v>124276</v>
      </c>
      <c r="Z13" s="37">
        <v>997891577</v>
      </c>
      <c r="AA13" s="37">
        <v>2427009</v>
      </c>
      <c r="AB13" s="37">
        <v>40.42</v>
      </c>
      <c r="AC13" s="37">
        <v>136.25</v>
      </c>
      <c r="AD13" s="37">
        <v>-19.25</v>
      </c>
      <c r="AG13" s="37">
        <v>532764</v>
      </c>
      <c r="AH13" s="37" t="s">
        <v>99</v>
      </c>
      <c r="AI13" s="164">
        <v>43042</v>
      </c>
      <c r="AJ13" s="37">
        <v>1.5</v>
      </c>
      <c r="AK13" s="164">
        <v>43045</v>
      </c>
      <c r="AL13" s="37" t="s">
        <v>430</v>
      </c>
      <c r="AM13" s="37" t="s">
        <v>430</v>
      </c>
      <c r="AN13" s="164">
        <v>43038</v>
      </c>
      <c r="AO13" s="37" t="s">
        <v>296</v>
      </c>
    </row>
    <row r="14" spans="2:42" ht="13.8" x14ac:dyDescent="0.25">
      <c r="B14" s="37" t="s">
        <v>244</v>
      </c>
      <c r="C14" s="37">
        <v>217.27</v>
      </c>
      <c r="D14" s="37">
        <v>217.27</v>
      </c>
      <c r="E14" s="37">
        <v>217.27</v>
      </c>
      <c r="F14" s="37">
        <v>190.27</v>
      </c>
      <c r="G14" s="37">
        <v>190.27</v>
      </c>
      <c r="H14" s="37" t="s">
        <v>344</v>
      </c>
      <c r="I14" s="37">
        <v>-0.37</v>
      </c>
      <c r="J14" s="37">
        <v>224.96</v>
      </c>
      <c r="K14" s="37">
        <v>-5.55</v>
      </c>
      <c r="L14" s="37">
        <v>924.89</v>
      </c>
      <c r="M14" s="37" t="s">
        <v>318</v>
      </c>
      <c r="N14" s="37">
        <v>-115.66</v>
      </c>
      <c r="O14" s="37">
        <v>-123.65</v>
      </c>
      <c r="P14" s="37">
        <v>-87.56</v>
      </c>
      <c r="S14" s="37">
        <v>2017</v>
      </c>
      <c r="T14" s="37">
        <v>121.85</v>
      </c>
      <c r="U14" s="37">
        <v>193.8</v>
      </c>
      <c r="V14" s="37">
        <v>106.75</v>
      </c>
      <c r="W14" s="37">
        <v>171.95</v>
      </c>
      <c r="X14" s="37">
        <v>6561646</v>
      </c>
      <c r="Y14" s="37">
        <v>70340</v>
      </c>
      <c r="Z14" s="37">
        <v>911507061</v>
      </c>
      <c r="AA14" s="37">
        <v>4715390</v>
      </c>
      <c r="AB14" s="37">
        <v>71.86</v>
      </c>
      <c r="AC14" s="37">
        <v>87.05</v>
      </c>
      <c r="AD14" s="37">
        <v>50.1</v>
      </c>
      <c r="AG14" s="37" t="s">
        <v>430</v>
      </c>
      <c r="AJ14" s="37">
        <f>SUM(AJ3:AJ13)</f>
        <v>15.15</v>
      </c>
    </row>
    <row r="15" spans="2:42" ht="13.8" x14ac:dyDescent="0.25">
      <c r="B15" s="37" t="s">
        <v>249</v>
      </c>
      <c r="C15" s="37">
        <v>13.85</v>
      </c>
      <c r="D15" s="37">
        <v>12.9</v>
      </c>
      <c r="E15" s="37">
        <v>16.82</v>
      </c>
      <c r="F15" s="37">
        <v>6.58</v>
      </c>
      <c r="G15" s="37">
        <v>3.38</v>
      </c>
      <c r="H15" s="37" t="s">
        <v>320</v>
      </c>
      <c r="I15" s="37">
        <v>62.67</v>
      </c>
      <c r="J15" s="37">
        <v>347.56</v>
      </c>
      <c r="K15" s="37">
        <v>74.34</v>
      </c>
      <c r="L15" s="165">
        <v>1001.66</v>
      </c>
      <c r="M15" s="37" t="s">
        <v>326</v>
      </c>
      <c r="N15" s="37">
        <v>282.8</v>
      </c>
      <c r="O15" s="37">
        <v>249.79</v>
      </c>
      <c r="P15" s="37">
        <v>187.35</v>
      </c>
      <c r="S15" s="37">
        <v>2018</v>
      </c>
      <c r="T15" s="37">
        <v>172</v>
      </c>
      <c r="U15" s="37">
        <v>183.65</v>
      </c>
      <c r="V15" s="37">
        <v>123.7</v>
      </c>
      <c r="W15" s="37">
        <v>150.94999999999999</v>
      </c>
      <c r="X15" s="37">
        <v>832975</v>
      </c>
      <c r="Y15" s="37">
        <v>15578</v>
      </c>
      <c r="Z15" s="37">
        <v>131092771</v>
      </c>
      <c r="AA15" s="37">
        <v>340894</v>
      </c>
      <c r="AB15" s="37">
        <v>40.92</v>
      </c>
      <c r="AC15" s="37">
        <v>59.95</v>
      </c>
      <c r="AD15" s="37">
        <v>-21.05</v>
      </c>
    </row>
    <row r="16" spans="2:42" ht="13.8" x14ac:dyDescent="0.25">
      <c r="B16" s="37" t="s">
        <v>433</v>
      </c>
      <c r="C16" s="37">
        <v>14.49</v>
      </c>
      <c r="D16" s="37">
        <v>13.59</v>
      </c>
      <c r="E16" s="37">
        <v>17.559999999999999</v>
      </c>
      <c r="F16" s="37">
        <v>7.54</v>
      </c>
      <c r="G16" s="37">
        <v>4.3099999999999996</v>
      </c>
      <c r="H16" s="37" t="s">
        <v>323</v>
      </c>
      <c r="I16" s="37">
        <v>190.27</v>
      </c>
      <c r="J16" s="37">
        <v>202.76</v>
      </c>
      <c r="K16" s="37">
        <v>206.27</v>
      </c>
      <c r="L16" s="37">
        <v>246.77</v>
      </c>
      <c r="M16" s="37" t="s">
        <v>344</v>
      </c>
      <c r="N16" s="37">
        <v>-5.79</v>
      </c>
      <c r="O16" s="37">
        <v>-6.62</v>
      </c>
      <c r="P16" s="37">
        <v>0</v>
      </c>
    </row>
    <row r="17" spans="2:16" ht="13.8" x14ac:dyDescent="0.25">
      <c r="B17" s="37" t="s">
        <v>434</v>
      </c>
      <c r="C17" s="37">
        <v>17.559999999999999</v>
      </c>
      <c r="D17" s="37">
        <v>34.96</v>
      </c>
      <c r="E17" s="37">
        <v>24.83</v>
      </c>
      <c r="F17" s="37">
        <v>22.51</v>
      </c>
      <c r="G17" s="37">
        <v>74.72</v>
      </c>
      <c r="H17" s="37" t="s">
        <v>325</v>
      </c>
      <c r="I17" s="165">
        <v>2580.84</v>
      </c>
      <c r="J17" s="165">
        <v>2596.71</v>
      </c>
      <c r="K17" s="165">
        <v>2295.3200000000002</v>
      </c>
      <c r="L17" s="165">
        <v>2702.43</v>
      </c>
      <c r="M17" s="37" t="s">
        <v>320</v>
      </c>
      <c r="N17" s="37">
        <v>277.02</v>
      </c>
      <c r="O17" s="37">
        <v>243.17</v>
      </c>
      <c r="P17" s="37">
        <v>187.35</v>
      </c>
    </row>
    <row r="18" spans="2:16" ht="13.8" x14ac:dyDescent="0.25">
      <c r="B18" s="37" t="s">
        <v>435</v>
      </c>
      <c r="C18" s="37">
        <v>16.29</v>
      </c>
      <c r="D18" s="37">
        <v>30.41</v>
      </c>
      <c r="E18" s="37">
        <v>25.34</v>
      </c>
      <c r="F18" s="37">
        <v>28.85</v>
      </c>
      <c r="G18" s="37">
        <v>44.52</v>
      </c>
      <c r="H18" s="37" t="s">
        <v>329</v>
      </c>
      <c r="I18" s="37">
        <v>3.24</v>
      </c>
      <c r="J18" s="37" t="s">
        <v>289</v>
      </c>
      <c r="K18" s="37" t="s">
        <v>289</v>
      </c>
      <c r="L18" s="37">
        <v>40.590000000000003</v>
      </c>
      <c r="M18" s="37" t="s">
        <v>323</v>
      </c>
      <c r="N18" s="37">
        <v>246.77</v>
      </c>
      <c r="O18" s="37">
        <v>246.77</v>
      </c>
      <c r="P18" s="37">
        <v>246.77</v>
      </c>
    </row>
    <row r="19" spans="2:16" ht="13.8" x14ac:dyDescent="0.25">
      <c r="B19" s="37" t="s">
        <v>430</v>
      </c>
      <c r="C19" s="37" t="s">
        <v>437</v>
      </c>
      <c r="D19" s="37" t="s">
        <v>437</v>
      </c>
      <c r="E19" s="37" t="s">
        <v>437</v>
      </c>
      <c r="F19" s="37" t="s">
        <v>437</v>
      </c>
      <c r="G19" s="37" t="s">
        <v>437</v>
      </c>
      <c r="H19" s="37" t="s">
        <v>330</v>
      </c>
      <c r="I19" s="37" t="s">
        <v>289</v>
      </c>
      <c r="J19" s="37">
        <v>16.86</v>
      </c>
      <c r="K19" s="37">
        <v>3.6</v>
      </c>
      <c r="L19" s="37" t="s">
        <v>289</v>
      </c>
      <c r="M19" s="37" t="s">
        <v>325</v>
      </c>
      <c r="N19" s="165">
        <v>1771.5</v>
      </c>
      <c r="O19" s="165">
        <v>1529.13</v>
      </c>
      <c r="P19" s="165">
        <v>1308.9000000000001</v>
      </c>
    </row>
    <row r="20" spans="2:16" ht="13.8" x14ac:dyDescent="0.25">
      <c r="B20" s="37" t="s">
        <v>430</v>
      </c>
      <c r="C20" s="37" t="s">
        <v>438</v>
      </c>
      <c r="D20" s="37" t="s">
        <v>438</v>
      </c>
      <c r="E20" s="37" t="s">
        <v>438</v>
      </c>
      <c r="F20" s="37" t="s">
        <v>438</v>
      </c>
      <c r="G20" s="37" t="s">
        <v>438</v>
      </c>
      <c r="H20" s="37" t="s">
        <v>332</v>
      </c>
      <c r="I20" s="37" t="s">
        <v>289</v>
      </c>
      <c r="J20" s="37">
        <v>16.86</v>
      </c>
      <c r="K20" s="37">
        <v>3.6</v>
      </c>
      <c r="L20" s="37" t="s">
        <v>289</v>
      </c>
      <c r="M20" s="37" t="s">
        <v>329</v>
      </c>
      <c r="N20" s="37">
        <v>11.23</v>
      </c>
      <c r="O20" s="37">
        <v>9.85</v>
      </c>
      <c r="P20" s="37">
        <v>9.43</v>
      </c>
    </row>
    <row r="21" spans="2:16" ht="15.75" customHeight="1" x14ac:dyDescent="0.25">
      <c r="B21" s="37" t="s">
        <v>430</v>
      </c>
      <c r="C21" s="37" t="s">
        <v>506</v>
      </c>
      <c r="D21" s="37" t="s">
        <v>506</v>
      </c>
      <c r="E21" s="37" t="s">
        <v>506</v>
      </c>
      <c r="F21" s="37" t="s">
        <v>506</v>
      </c>
      <c r="G21" s="37" t="s">
        <v>506</v>
      </c>
      <c r="H21" s="37" t="s">
        <v>334</v>
      </c>
      <c r="I21" s="37" t="s">
        <v>594</v>
      </c>
      <c r="J21" s="37" t="s">
        <v>595</v>
      </c>
      <c r="K21" s="37" t="s">
        <v>596</v>
      </c>
      <c r="L21" s="37" t="s">
        <v>597</v>
      </c>
      <c r="M21" s="37" t="s">
        <v>334</v>
      </c>
      <c r="N21" s="37" t="s">
        <v>597</v>
      </c>
      <c r="O21" s="37" t="s">
        <v>597</v>
      </c>
      <c r="P21" s="37" t="s">
        <v>597</v>
      </c>
    </row>
    <row r="22" spans="2:16" ht="15.75" customHeight="1" x14ac:dyDescent="0.25">
      <c r="H22" s="37" t="s">
        <v>345</v>
      </c>
      <c r="I22" s="37">
        <v>36.299999999999997</v>
      </c>
      <c r="J22" s="37">
        <v>40.229999999999997</v>
      </c>
      <c r="K22" s="37">
        <v>41.25</v>
      </c>
      <c r="L22" s="37">
        <v>40.020000000000003</v>
      </c>
      <c r="M22" s="37" t="s">
        <v>345</v>
      </c>
      <c r="N22" s="37">
        <v>40</v>
      </c>
      <c r="O22" s="37">
        <v>40</v>
      </c>
      <c r="P22" s="37">
        <v>40</v>
      </c>
    </row>
    <row r="23" spans="2:16" ht="15.75" customHeight="1" x14ac:dyDescent="0.25">
      <c r="H23" s="37" t="s">
        <v>351</v>
      </c>
      <c r="I23" s="37">
        <v>86.82</v>
      </c>
      <c r="J23" s="37">
        <v>498.48</v>
      </c>
      <c r="K23" s="37">
        <v>224.37</v>
      </c>
      <c r="L23" s="37">
        <v>15.55</v>
      </c>
      <c r="M23" s="37" t="s">
        <v>351</v>
      </c>
      <c r="N23" s="37">
        <v>15.99</v>
      </c>
      <c r="O23" s="37">
        <v>18.79</v>
      </c>
      <c r="P23" s="37">
        <v>19.57</v>
      </c>
    </row>
    <row r="24" spans="2:16" ht="15.75" customHeight="1" x14ac:dyDescent="0.25">
      <c r="H24" s="37" t="s">
        <v>355</v>
      </c>
      <c r="I24" s="37">
        <v>48.43</v>
      </c>
      <c r="J24" s="165">
        <v>1017.75</v>
      </c>
      <c r="K24" s="37">
        <v>185.8</v>
      </c>
      <c r="L24" s="37">
        <v>76.33</v>
      </c>
      <c r="M24" s="37" t="s">
        <v>355</v>
      </c>
      <c r="N24" s="37">
        <v>7.38</v>
      </c>
      <c r="O24" s="37">
        <v>8.25</v>
      </c>
      <c r="P24" s="37">
        <v>9.1199999999999992</v>
      </c>
    </row>
    <row r="25" spans="2:16" ht="15.75" customHeight="1" x14ac:dyDescent="0.25">
      <c r="H25" s="37" t="s">
        <v>360</v>
      </c>
      <c r="I25" s="37">
        <v>4.2300000000000004</v>
      </c>
      <c r="J25" s="37">
        <v>18.05</v>
      </c>
      <c r="K25" s="37">
        <v>4.6500000000000004</v>
      </c>
      <c r="L25" s="37">
        <v>42.84</v>
      </c>
      <c r="M25" s="37" t="s">
        <v>360</v>
      </c>
      <c r="N25" s="37">
        <v>15.54</v>
      </c>
      <c r="O25" s="37">
        <v>13.45</v>
      </c>
      <c r="P25" s="37" t="s">
        <v>289</v>
      </c>
    </row>
    <row r="26" spans="2:16" ht="15.75" customHeight="1" x14ac:dyDescent="0.25">
      <c r="H26" s="37" t="s">
        <v>361</v>
      </c>
      <c r="I26" s="37" t="s">
        <v>361</v>
      </c>
      <c r="J26" s="37" t="s">
        <v>361</v>
      </c>
      <c r="K26" s="37" t="s">
        <v>361</v>
      </c>
      <c r="L26" s="37" t="s">
        <v>362</v>
      </c>
      <c r="M26" s="37" t="s">
        <v>361</v>
      </c>
      <c r="N26" s="37" t="s">
        <v>361</v>
      </c>
      <c r="O26" s="37" t="s">
        <v>361</v>
      </c>
      <c r="P26" s="37" t="s">
        <v>598</v>
      </c>
    </row>
    <row r="27" spans="2:16" ht="15.75" customHeight="1" x14ac:dyDescent="0.25"/>
    <row r="28" spans="2:16" ht="15.75" customHeight="1" x14ac:dyDescent="0.25"/>
    <row r="29" spans="2:16" ht="15.75" customHeight="1" x14ac:dyDescent="0.25"/>
    <row r="30" spans="2:16" ht="15.75" customHeight="1" x14ac:dyDescent="0.25"/>
    <row r="31" spans="2:16" ht="15.75" customHeight="1" x14ac:dyDescent="0.25"/>
    <row r="32" spans="2:1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AH1000"/>
  <sheetViews>
    <sheetView workbookViewId="0"/>
  </sheetViews>
  <sheetFormatPr defaultColWidth="12.59765625" defaultRowHeight="15" customHeight="1" x14ac:dyDescent="0.25"/>
  <cols>
    <col min="1" max="32" width="7.59765625" customWidth="1"/>
    <col min="33" max="33" width="8.59765625" customWidth="1"/>
    <col min="34" max="34" width="7.59765625" customWidth="1"/>
  </cols>
  <sheetData>
    <row r="2" spans="2:34" ht="24" x14ac:dyDescent="0.25">
      <c r="B2" s="149" t="s">
        <v>427</v>
      </c>
      <c r="C2" s="149">
        <v>2017</v>
      </c>
      <c r="D2" s="149">
        <v>2016</v>
      </c>
      <c r="E2" s="149">
        <v>2015</v>
      </c>
      <c r="F2" s="149">
        <v>2014</v>
      </c>
      <c r="G2" s="149">
        <v>2013</v>
      </c>
      <c r="I2" s="157" t="s">
        <v>428</v>
      </c>
      <c r="J2" s="158">
        <v>40999</v>
      </c>
      <c r="K2" s="158">
        <v>40633</v>
      </c>
      <c r="L2" s="158">
        <v>40268</v>
      </c>
      <c r="M2" s="158">
        <v>39903</v>
      </c>
      <c r="N2" s="142" t="s">
        <v>287</v>
      </c>
      <c r="O2" s="143">
        <v>39173</v>
      </c>
      <c r="R2" s="37" t="s">
        <v>266</v>
      </c>
      <c r="S2" s="37" t="s">
        <v>267</v>
      </c>
      <c r="T2" s="37" t="s">
        <v>268</v>
      </c>
      <c r="U2" s="37" t="s">
        <v>269</v>
      </c>
      <c r="V2" s="37" t="s">
        <v>270</v>
      </c>
      <c r="W2" s="37" t="s">
        <v>271</v>
      </c>
      <c r="X2" s="37" t="s">
        <v>272</v>
      </c>
      <c r="Y2" s="37" t="s">
        <v>273</v>
      </c>
      <c r="Z2" s="37" t="s">
        <v>274</v>
      </c>
      <c r="AA2" s="37" t="s">
        <v>275</v>
      </c>
      <c r="AB2" s="37" t="s">
        <v>276</v>
      </c>
      <c r="AC2" s="37" t="s">
        <v>277</v>
      </c>
      <c r="AD2" s="37" t="s">
        <v>278</v>
      </c>
    </row>
    <row r="3" spans="2:34" ht="24" x14ac:dyDescent="0.25">
      <c r="B3" s="285" t="s">
        <v>429</v>
      </c>
      <c r="C3" s="270"/>
      <c r="D3" s="270"/>
      <c r="E3" s="270"/>
      <c r="F3" s="270"/>
      <c r="G3" s="270"/>
      <c r="H3" s="270"/>
      <c r="I3" s="157" t="s">
        <v>292</v>
      </c>
      <c r="J3" s="159">
        <v>12</v>
      </c>
      <c r="K3" s="159">
        <v>12</v>
      </c>
      <c r="L3" s="159">
        <v>12</v>
      </c>
      <c r="M3" s="159">
        <v>12</v>
      </c>
      <c r="N3" s="142" t="s">
        <v>291</v>
      </c>
      <c r="O3" s="143">
        <v>39538</v>
      </c>
      <c r="R3" s="37">
        <v>2007</v>
      </c>
      <c r="S3" s="37">
        <v>567.5</v>
      </c>
      <c r="T3" s="37">
        <v>1103.9000000000001</v>
      </c>
      <c r="U3" s="37">
        <v>473.5</v>
      </c>
      <c r="V3" s="37">
        <v>1073.95</v>
      </c>
      <c r="W3" s="37">
        <v>114306950</v>
      </c>
      <c r="X3" s="37">
        <v>1408563</v>
      </c>
      <c r="Y3" s="37">
        <v>70519060317</v>
      </c>
      <c r="Z3" s="37">
        <v>26710818</v>
      </c>
      <c r="AA3" s="37">
        <v>23.37</v>
      </c>
      <c r="AB3" s="37">
        <v>630.4</v>
      </c>
      <c r="AC3" s="37">
        <v>506.45</v>
      </c>
      <c r="AG3" s="164">
        <v>39639</v>
      </c>
      <c r="AH3" s="37">
        <v>3</v>
      </c>
    </row>
    <row r="4" spans="2:34" ht="36" x14ac:dyDescent="0.25">
      <c r="B4" s="150" t="s">
        <v>243</v>
      </c>
      <c r="C4" s="151">
        <v>7108.1</v>
      </c>
      <c r="D4" s="151">
        <v>11683</v>
      </c>
      <c r="E4" s="151">
        <v>10052.5</v>
      </c>
      <c r="F4" s="151">
        <v>7707.9</v>
      </c>
      <c r="G4" s="151">
        <v>9805.2999999999993</v>
      </c>
      <c r="I4" s="149" t="s">
        <v>293</v>
      </c>
      <c r="J4" s="275" t="s">
        <v>295</v>
      </c>
      <c r="K4" s="276"/>
      <c r="L4" s="276"/>
      <c r="M4" s="277"/>
      <c r="N4" s="149" t="s">
        <v>293</v>
      </c>
      <c r="O4" s="149" t="s">
        <v>295</v>
      </c>
      <c r="R4" s="37">
        <v>2008</v>
      </c>
      <c r="S4" s="37">
        <v>1088.7</v>
      </c>
      <c r="T4" s="37">
        <v>1432</v>
      </c>
      <c r="U4" s="37">
        <v>69</v>
      </c>
      <c r="V4" s="37">
        <v>129.94999999999999</v>
      </c>
      <c r="W4" s="37">
        <v>647434964</v>
      </c>
      <c r="X4" s="37">
        <v>7535762</v>
      </c>
      <c r="Y4" s="37">
        <v>174627044336</v>
      </c>
      <c r="Z4" s="37">
        <v>91635257</v>
      </c>
      <c r="AA4" s="37">
        <v>14.15</v>
      </c>
      <c r="AB4" s="37">
        <v>1363</v>
      </c>
      <c r="AC4" s="37">
        <v>-958.75</v>
      </c>
      <c r="AG4" s="164">
        <v>39310</v>
      </c>
      <c r="AH4" s="37">
        <v>2</v>
      </c>
    </row>
    <row r="5" spans="2:34" ht="57.6" x14ac:dyDescent="0.25">
      <c r="B5" s="150" t="s">
        <v>299</v>
      </c>
      <c r="C5" s="152">
        <v>353.7</v>
      </c>
      <c r="D5" s="152">
        <v>228</v>
      </c>
      <c r="E5" s="152">
        <v>856.9</v>
      </c>
      <c r="F5" s="151">
        <v>1696.5</v>
      </c>
      <c r="G5" s="151">
        <v>1730.8</v>
      </c>
      <c r="I5" s="150" t="s">
        <v>298</v>
      </c>
      <c r="J5" s="151">
        <v>9174.2000000000007</v>
      </c>
      <c r="K5" s="151">
        <v>18026.3</v>
      </c>
      <c r="L5" s="151">
        <v>14919.9</v>
      </c>
      <c r="M5" s="151">
        <v>17192.900000000001</v>
      </c>
      <c r="N5" s="150" t="s">
        <v>297</v>
      </c>
      <c r="O5" s="151">
        <v>23803.7</v>
      </c>
      <c r="Q5" s="151">
        <v>3.5</v>
      </c>
      <c r="R5" s="37">
        <v>2009</v>
      </c>
      <c r="S5" s="37">
        <v>132.5</v>
      </c>
      <c r="T5" s="37">
        <v>410.8</v>
      </c>
      <c r="U5" s="37">
        <v>62.5</v>
      </c>
      <c r="V5" s="37">
        <v>360.65</v>
      </c>
      <c r="W5" s="37">
        <v>1291440960</v>
      </c>
      <c r="X5" s="37">
        <v>11196326</v>
      </c>
      <c r="Y5" s="37">
        <v>278728541474</v>
      </c>
      <c r="Z5" s="37">
        <v>150364976</v>
      </c>
      <c r="AA5" s="37">
        <v>11.64</v>
      </c>
      <c r="AB5" s="37">
        <v>348.3</v>
      </c>
      <c r="AC5" s="37">
        <v>228.15</v>
      </c>
      <c r="AH5" s="37">
        <f>SUM(AH3:AH4)</f>
        <v>5</v>
      </c>
    </row>
    <row r="6" spans="2:34" ht="23.4" x14ac:dyDescent="0.25">
      <c r="B6" s="150" t="s">
        <v>301</v>
      </c>
      <c r="C6" s="151">
        <v>7461.8</v>
      </c>
      <c r="D6" s="151">
        <v>11911</v>
      </c>
      <c r="E6" s="151">
        <v>10909.4</v>
      </c>
      <c r="F6" s="151">
        <v>9404.4</v>
      </c>
      <c r="G6" s="151">
        <v>11536.1</v>
      </c>
      <c r="I6" s="150" t="s">
        <v>299</v>
      </c>
      <c r="J6" s="151">
        <v>1492.5</v>
      </c>
      <c r="K6" s="151">
        <v>1201.3</v>
      </c>
      <c r="L6" s="151">
        <v>1075.9000000000001</v>
      </c>
      <c r="M6" s="152">
        <v>952.8</v>
      </c>
      <c r="N6" s="150" t="s">
        <v>299</v>
      </c>
      <c r="O6" s="152">
        <v>529.20000000000005</v>
      </c>
      <c r="R6" s="37">
        <v>2010</v>
      </c>
      <c r="S6" s="37">
        <v>365</v>
      </c>
      <c r="T6" s="37">
        <v>392.25</v>
      </c>
      <c r="U6" s="37">
        <v>160.1</v>
      </c>
      <c r="V6" s="37">
        <v>194.25</v>
      </c>
      <c r="W6" s="37">
        <v>363657301</v>
      </c>
      <c r="X6" s="37">
        <v>4137307</v>
      </c>
      <c r="Y6" s="37">
        <v>100181541255</v>
      </c>
      <c r="Z6" s="37">
        <v>70696690</v>
      </c>
      <c r="AA6" s="37">
        <v>19.440000000000001</v>
      </c>
      <c r="AB6" s="37">
        <v>232.15</v>
      </c>
      <c r="AC6" s="37">
        <v>-170.75</v>
      </c>
    </row>
    <row r="7" spans="2:34" ht="23.4" x14ac:dyDescent="0.25">
      <c r="B7" s="150" t="s">
        <v>303</v>
      </c>
      <c r="C7" s="151">
        <v>-5302.7</v>
      </c>
      <c r="D7" s="151">
        <v>-5298.8</v>
      </c>
      <c r="E7" s="151">
        <v>-3897.4</v>
      </c>
      <c r="F7" s="151">
        <v>-1781.4</v>
      </c>
      <c r="G7" s="151">
        <v>-4129.1000000000004</v>
      </c>
      <c r="I7" s="150" t="s">
        <v>303</v>
      </c>
      <c r="J7" s="152">
        <v>-645.20000000000005</v>
      </c>
      <c r="K7" s="151">
        <v>-7796.7</v>
      </c>
      <c r="L7" s="151">
        <v>-7803</v>
      </c>
      <c r="M7" s="151">
        <v>-9373.7999999999993</v>
      </c>
      <c r="N7" s="150" t="s">
        <v>301</v>
      </c>
      <c r="O7" s="151">
        <v>24332.9</v>
      </c>
      <c r="R7" s="37">
        <v>2011</v>
      </c>
      <c r="S7" s="37">
        <v>196</v>
      </c>
      <c r="T7" s="37">
        <v>198.9</v>
      </c>
      <c r="U7" s="37">
        <v>52.3</v>
      </c>
      <c r="V7" s="37">
        <v>53.3</v>
      </c>
      <c r="W7" s="37">
        <v>351721908</v>
      </c>
      <c r="X7" s="37">
        <v>2983861</v>
      </c>
      <c r="Y7" s="37">
        <v>42621647628</v>
      </c>
      <c r="Z7" s="37">
        <v>62490986</v>
      </c>
      <c r="AA7" s="37">
        <v>17.77</v>
      </c>
      <c r="AB7" s="37">
        <v>146.6</v>
      </c>
      <c r="AC7" s="37">
        <v>-142.69999999999999</v>
      </c>
    </row>
    <row r="8" spans="2:34" ht="24" x14ac:dyDescent="0.25">
      <c r="B8" s="150" t="s">
        <v>304</v>
      </c>
      <c r="C8" s="152">
        <v>-3817</v>
      </c>
      <c r="D8" s="151">
        <v>-3672</v>
      </c>
      <c r="E8" s="151">
        <v>-3869.4</v>
      </c>
      <c r="F8" s="151">
        <v>-5096.3999999999996</v>
      </c>
      <c r="G8" s="151">
        <v>-5677.7</v>
      </c>
      <c r="I8" s="150" t="s">
        <v>304</v>
      </c>
      <c r="J8" s="151">
        <v>-5783.3</v>
      </c>
      <c r="K8" s="152">
        <v>-818.1</v>
      </c>
      <c r="L8" s="152">
        <v>-789</v>
      </c>
      <c r="M8" s="152">
        <v>-579.70000000000005</v>
      </c>
      <c r="N8" s="153" t="s">
        <v>303</v>
      </c>
      <c r="O8" s="151">
        <v>-6904.7</v>
      </c>
      <c r="R8" s="37">
        <v>2012</v>
      </c>
      <c r="S8" s="37">
        <v>53.75</v>
      </c>
      <c r="T8" s="37">
        <v>135.4</v>
      </c>
      <c r="U8" s="37">
        <v>52.1</v>
      </c>
      <c r="V8" s="37">
        <v>111.45</v>
      </c>
      <c r="W8" s="37">
        <v>970381667</v>
      </c>
      <c r="X8" s="37">
        <v>5433008</v>
      </c>
      <c r="Y8" s="37">
        <v>86527387511</v>
      </c>
      <c r="Z8" s="37">
        <v>143866538</v>
      </c>
      <c r="AA8" s="37">
        <v>14.83</v>
      </c>
      <c r="AB8" s="37">
        <v>83.3</v>
      </c>
      <c r="AC8" s="37">
        <v>57.7</v>
      </c>
    </row>
    <row r="9" spans="2:34" ht="57.6" x14ac:dyDescent="0.25">
      <c r="B9" s="150" t="s">
        <v>431</v>
      </c>
      <c r="C9" s="151">
        <v>2159.1</v>
      </c>
      <c r="D9" s="151">
        <v>2940.2</v>
      </c>
      <c r="E9" s="151">
        <v>3142.6</v>
      </c>
      <c r="F9" s="151">
        <v>2526.6</v>
      </c>
      <c r="G9" s="151">
        <v>1729.3</v>
      </c>
      <c r="I9" s="150" t="s">
        <v>308</v>
      </c>
      <c r="J9" s="151">
        <v>4238.2</v>
      </c>
      <c r="K9" s="151">
        <v>10612.8</v>
      </c>
      <c r="L9" s="151">
        <v>7403.8</v>
      </c>
      <c r="M9" s="151">
        <v>8192.2000000000007</v>
      </c>
      <c r="N9" s="150" t="s">
        <v>304</v>
      </c>
      <c r="O9" s="151">
        <v>-1407.8</v>
      </c>
      <c r="R9" s="37">
        <v>2013</v>
      </c>
      <c r="S9" s="37">
        <v>113</v>
      </c>
      <c r="T9" s="37">
        <v>123.95</v>
      </c>
      <c r="U9" s="37">
        <v>26.1</v>
      </c>
      <c r="V9" s="37">
        <v>53.55</v>
      </c>
      <c r="W9" s="37">
        <v>915718395</v>
      </c>
      <c r="X9" s="37">
        <v>4074842</v>
      </c>
      <c r="Y9" s="37">
        <v>52033554530</v>
      </c>
      <c r="Z9" s="37">
        <v>137097064</v>
      </c>
      <c r="AA9" s="37">
        <v>14.97</v>
      </c>
      <c r="AB9" s="37">
        <v>97.85</v>
      </c>
      <c r="AC9" s="37">
        <v>-59.45</v>
      </c>
    </row>
    <row r="10" spans="2:34" ht="69" x14ac:dyDescent="0.25">
      <c r="B10" s="150" t="s">
        <v>312</v>
      </c>
      <c r="C10" s="152">
        <v>-73.400000000000006</v>
      </c>
      <c r="D10" s="152">
        <v>-54.8</v>
      </c>
      <c r="E10" s="152">
        <v>-67.099999999999994</v>
      </c>
      <c r="F10" s="152">
        <v>-78</v>
      </c>
      <c r="G10" s="152">
        <v>-78.2</v>
      </c>
      <c r="I10" s="150" t="s">
        <v>312</v>
      </c>
      <c r="J10" s="152">
        <v>-84.4</v>
      </c>
      <c r="K10" s="152">
        <v>-72.5</v>
      </c>
      <c r="L10" s="152">
        <v>-51</v>
      </c>
      <c r="M10" s="152">
        <v>-38.9</v>
      </c>
      <c r="N10" s="150" t="s">
        <v>321</v>
      </c>
      <c r="O10" s="151">
        <v>16020.4</v>
      </c>
      <c r="R10" s="37">
        <v>2014</v>
      </c>
      <c r="S10" s="37">
        <v>53.7</v>
      </c>
      <c r="T10" s="37">
        <v>113.85</v>
      </c>
      <c r="U10" s="37">
        <v>38.700000000000003</v>
      </c>
      <c r="V10" s="37">
        <v>68.25</v>
      </c>
      <c r="W10" s="37">
        <v>630854451</v>
      </c>
      <c r="X10" s="37">
        <v>4516095</v>
      </c>
      <c r="Y10" s="37">
        <v>50819046663</v>
      </c>
      <c r="Z10" s="37">
        <v>100456912</v>
      </c>
      <c r="AA10" s="37">
        <v>15.92</v>
      </c>
      <c r="AB10" s="37">
        <v>75.150000000000006</v>
      </c>
      <c r="AC10" s="37">
        <v>14.55</v>
      </c>
    </row>
    <row r="11" spans="2:34" ht="23.4" x14ac:dyDescent="0.25">
      <c r="B11" s="150" t="s">
        <v>432</v>
      </c>
      <c r="C11" s="151">
        <v>2085.6999999999998</v>
      </c>
      <c r="D11" s="151">
        <v>2885.4</v>
      </c>
      <c r="E11" s="151">
        <v>3075.5</v>
      </c>
      <c r="F11" s="151">
        <v>2448.6</v>
      </c>
      <c r="G11" s="151">
        <v>1651.1</v>
      </c>
      <c r="I11" s="150" t="s">
        <v>315</v>
      </c>
      <c r="J11" s="151">
        <v>4153.8</v>
      </c>
      <c r="K11" s="151">
        <v>10540.3</v>
      </c>
      <c r="L11" s="151">
        <v>7352.8</v>
      </c>
      <c r="M11" s="151">
        <v>8153.3</v>
      </c>
      <c r="N11" s="150" t="s">
        <v>318</v>
      </c>
      <c r="O11" s="151">
        <v>-1922</v>
      </c>
      <c r="R11" s="37">
        <v>2015</v>
      </c>
      <c r="S11" s="37">
        <v>67.7</v>
      </c>
      <c r="T11" s="37">
        <v>143</v>
      </c>
      <c r="U11" s="37">
        <v>54.25</v>
      </c>
      <c r="V11" s="37">
        <v>72.849999999999994</v>
      </c>
      <c r="W11" s="37">
        <v>582622374</v>
      </c>
      <c r="X11" s="37">
        <v>4016049</v>
      </c>
      <c r="Y11" s="37">
        <v>53922142984</v>
      </c>
      <c r="Z11" s="37">
        <v>85878384</v>
      </c>
      <c r="AA11" s="37">
        <v>14.74</v>
      </c>
      <c r="AB11" s="37">
        <v>88.75</v>
      </c>
      <c r="AC11" s="37">
        <v>5.15</v>
      </c>
    </row>
    <row r="12" spans="2:34" ht="69" x14ac:dyDescent="0.25">
      <c r="B12" s="150" t="s">
        <v>318</v>
      </c>
      <c r="C12" s="152">
        <v>-333.2</v>
      </c>
      <c r="D12" s="152">
        <v>-235.8</v>
      </c>
      <c r="E12" s="152">
        <v>-812</v>
      </c>
      <c r="F12" s="152" t="s">
        <v>442</v>
      </c>
      <c r="G12" s="152">
        <v>-197.3</v>
      </c>
      <c r="I12" s="150" t="s">
        <v>318</v>
      </c>
      <c r="J12" s="152">
        <v>-284.10000000000002</v>
      </c>
      <c r="K12" s="151">
        <v>-1576.2</v>
      </c>
      <c r="L12" s="151">
        <v>-1329.9</v>
      </c>
      <c r="M12" s="152">
        <v>-941.2</v>
      </c>
      <c r="N12" s="150" t="s">
        <v>327</v>
      </c>
      <c r="O12" s="151">
        <v>14098.4</v>
      </c>
      <c r="R12" s="37">
        <v>2016</v>
      </c>
      <c r="S12" s="37">
        <v>78.25</v>
      </c>
      <c r="T12" s="37">
        <v>108.75</v>
      </c>
      <c r="U12" s="37">
        <v>52.25</v>
      </c>
      <c r="V12" s="37">
        <v>59.85</v>
      </c>
      <c r="W12" s="37">
        <v>410054492</v>
      </c>
      <c r="X12" s="37">
        <v>1683369</v>
      </c>
      <c r="Y12" s="37">
        <v>32846936683</v>
      </c>
      <c r="Z12" s="37">
        <v>64105923</v>
      </c>
      <c r="AA12" s="37">
        <v>15.63</v>
      </c>
      <c r="AB12" s="37">
        <v>56.5</v>
      </c>
      <c r="AC12" s="37">
        <v>-18.399999999999999</v>
      </c>
    </row>
    <row r="13" spans="2:34" ht="23.4" x14ac:dyDescent="0.25">
      <c r="B13" s="150" t="s">
        <v>320</v>
      </c>
      <c r="C13" s="151">
        <v>1752.5</v>
      </c>
      <c r="D13" s="151">
        <v>2649.6</v>
      </c>
      <c r="E13" s="151">
        <v>2263.5</v>
      </c>
      <c r="F13" s="151">
        <v>2448.6</v>
      </c>
      <c r="G13" s="151">
        <v>1453.8</v>
      </c>
      <c r="I13" s="150" t="s">
        <v>326</v>
      </c>
      <c r="J13" s="151">
        <v>3869.7</v>
      </c>
      <c r="K13" s="151">
        <v>8964.1</v>
      </c>
      <c r="L13" s="151">
        <v>6022.9</v>
      </c>
      <c r="M13" s="151">
        <v>7212.1</v>
      </c>
      <c r="N13" s="150" t="s">
        <v>344</v>
      </c>
      <c r="O13" s="152">
        <v>0</v>
      </c>
      <c r="R13" s="37">
        <v>2017</v>
      </c>
      <c r="S13" s="37">
        <v>62</v>
      </c>
      <c r="T13" s="37">
        <v>101.85</v>
      </c>
      <c r="U13" s="37">
        <v>45.1</v>
      </c>
      <c r="V13" s="37">
        <v>65.5</v>
      </c>
      <c r="W13" s="37">
        <v>569162800</v>
      </c>
      <c r="X13" s="37">
        <v>1673675</v>
      </c>
      <c r="Y13" s="37">
        <v>40698946446</v>
      </c>
      <c r="Z13" s="37">
        <v>102590264</v>
      </c>
      <c r="AA13" s="37">
        <v>18.02</v>
      </c>
      <c r="AB13" s="37">
        <v>56.75</v>
      </c>
      <c r="AC13" s="37">
        <v>3.5</v>
      </c>
    </row>
    <row r="14" spans="2:34" ht="23.4" x14ac:dyDescent="0.25">
      <c r="B14" s="150" t="s">
        <v>244</v>
      </c>
      <c r="C14" s="151">
        <v>4340</v>
      </c>
      <c r="D14" s="151">
        <v>4190</v>
      </c>
      <c r="E14" s="151">
        <v>4190</v>
      </c>
      <c r="F14" s="151">
        <v>4190.04</v>
      </c>
      <c r="G14" s="151">
        <v>4190.04</v>
      </c>
      <c r="I14" s="150" t="s">
        <v>344</v>
      </c>
      <c r="J14" s="152">
        <v>0</v>
      </c>
      <c r="K14" s="152">
        <v>9.5</v>
      </c>
      <c r="L14" s="152">
        <v>-56.4</v>
      </c>
      <c r="M14" s="151">
        <v>1092.2</v>
      </c>
      <c r="N14" s="150" t="s">
        <v>320</v>
      </c>
      <c r="O14" s="151">
        <v>14098.4</v>
      </c>
      <c r="R14" s="37">
        <v>2018</v>
      </c>
      <c r="S14" s="37">
        <v>65.400000000000006</v>
      </c>
      <c r="T14" s="37">
        <v>69.05</v>
      </c>
      <c r="U14" s="37">
        <v>25.75</v>
      </c>
      <c r="V14" s="37">
        <v>28.15</v>
      </c>
      <c r="W14" s="37">
        <v>193250191</v>
      </c>
      <c r="X14" s="37">
        <v>416562</v>
      </c>
      <c r="Y14" s="37">
        <v>9575333973</v>
      </c>
      <c r="Z14" s="37">
        <v>43522870</v>
      </c>
      <c r="AA14" s="37">
        <v>22.52</v>
      </c>
      <c r="AB14" s="37">
        <v>43.3</v>
      </c>
      <c r="AC14" s="37">
        <v>-37.25</v>
      </c>
    </row>
    <row r="15" spans="2:34" ht="23.4" x14ac:dyDescent="0.25">
      <c r="B15" s="150" t="s">
        <v>249</v>
      </c>
      <c r="C15" s="152">
        <v>4.08</v>
      </c>
      <c r="D15" s="152">
        <v>8.17</v>
      </c>
      <c r="E15" s="152">
        <v>5.49</v>
      </c>
      <c r="F15" s="152">
        <v>5.81</v>
      </c>
      <c r="G15" s="152">
        <v>3.46</v>
      </c>
      <c r="I15" s="150" t="s">
        <v>320</v>
      </c>
      <c r="J15" s="151">
        <v>3869.7</v>
      </c>
      <c r="K15" s="151">
        <v>8973.6</v>
      </c>
      <c r="L15" s="151">
        <v>5966.5</v>
      </c>
      <c r="M15" s="151">
        <v>8304.2999999999993</v>
      </c>
      <c r="N15" s="150" t="s">
        <v>348</v>
      </c>
      <c r="O15" s="152">
        <v>0</v>
      </c>
    </row>
    <row r="16" spans="2:34" ht="46.2" x14ac:dyDescent="0.25">
      <c r="B16" s="150" t="s">
        <v>433</v>
      </c>
      <c r="C16" s="152">
        <v>4.21</v>
      </c>
      <c r="D16" s="152">
        <v>6.45</v>
      </c>
      <c r="E16" s="152">
        <v>5.56</v>
      </c>
      <c r="F16" s="152">
        <v>6.03</v>
      </c>
      <c r="G16" s="152">
        <v>3.66</v>
      </c>
      <c r="I16" s="150" t="s">
        <v>323</v>
      </c>
      <c r="J16" s="151">
        <v>4190.04</v>
      </c>
      <c r="K16" s="151">
        <v>4150</v>
      </c>
      <c r="L16" s="151">
        <v>3588.4</v>
      </c>
      <c r="M16" s="151">
        <v>2754.9</v>
      </c>
      <c r="N16" s="150" t="s">
        <v>353</v>
      </c>
      <c r="O16" s="152">
        <v>0</v>
      </c>
      <c r="S16" s="37">
        <f>(100*AH5)/S3</f>
        <v>0.88105726872246692</v>
      </c>
    </row>
    <row r="17" spans="2:15" ht="57.6" x14ac:dyDescent="0.25">
      <c r="B17" s="150" t="s">
        <v>434</v>
      </c>
      <c r="C17" s="152">
        <v>30.38</v>
      </c>
      <c r="D17" s="152">
        <v>56.6</v>
      </c>
      <c r="E17" s="152">
        <v>69.75</v>
      </c>
      <c r="F17" s="152">
        <v>98.9</v>
      </c>
      <c r="G17" s="152">
        <v>75.540000000000006</v>
      </c>
      <c r="I17" s="150" t="s">
        <v>325</v>
      </c>
      <c r="J17" s="151">
        <v>96176</v>
      </c>
      <c r="K17" s="151">
        <v>89628.9</v>
      </c>
      <c r="L17" s="151">
        <v>66809</v>
      </c>
      <c r="M17" s="151">
        <v>41921.5</v>
      </c>
      <c r="N17" s="150" t="s">
        <v>358</v>
      </c>
      <c r="O17" s="151">
        <v>14098.4</v>
      </c>
    </row>
    <row r="18" spans="2:15" ht="46.2" x14ac:dyDescent="0.25">
      <c r="B18" s="150" t="s">
        <v>435</v>
      </c>
      <c r="C18" s="152">
        <v>24.65</v>
      </c>
      <c r="D18" s="152">
        <v>22.68</v>
      </c>
      <c r="E18" s="152">
        <v>22.52</v>
      </c>
      <c r="F18" s="152">
        <v>31.77</v>
      </c>
      <c r="G18" s="152">
        <v>14.83</v>
      </c>
      <c r="I18" s="150" t="s">
        <v>330</v>
      </c>
      <c r="J18" s="152">
        <v>9.41</v>
      </c>
      <c r="K18" s="152">
        <v>22.88</v>
      </c>
      <c r="L18" s="152">
        <v>18.23</v>
      </c>
      <c r="M18" s="152" t="s">
        <v>289</v>
      </c>
      <c r="N18" s="150" t="s">
        <v>363</v>
      </c>
      <c r="O18" s="152">
        <v>0</v>
      </c>
    </row>
    <row r="19" spans="2:15" ht="58.2" x14ac:dyDescent="0.3">
      <c r="B19" s="150"/>
      <c r="C19" s="178" t="s">
        <v>437</v>
      </c>
      <c r="D19" s="178" t="s">
        <v>437</v>
      </c>
      <c r="E19" s="178" t="s">
        <v>437</v>
      </c>
      <c r="F19" s="178" t="s">
        <v>437</v>
      </c>
      <c r="G19" s="178" t="s">
        <v>437</v>
      </c>
      <c r="I19" s="150" t="s">
        <v>332</v>
      </c>
      <c r="J19" s="152">
        <v>9.25</v>
      </c>
      <c r="K19" s="152">
        <v>22.48</v>
      </c>
      <c r="L19" s="152">
        <v>17.809999999999999</v>
      </c>
      <c r="M19" s="152" t="s">
        <v>289</v>
      </c>
      <c r="N19" s="150" t="s">
        <v>366</v>
      </c>
      <c r="O19" s="151">
        <v>14098.4</v>
      </c>
    </row>
    <row r="20" spans="2:15" ht="35.4" x14ac:dyDescent="0.3">
      <c r="B20" s="150"/>
      <c r="C20" s="178" t="s">
        <v>438</v>
      </c>
      <c r="D20" s="178" t="s">
        <v>438</v>
      </c>
      <c r="E20" s="178" t="s">
        <v>438</v>
      </c>
      <c r="F20" s="178" t="s">
        <v>438</v>
      </c>
      <c r="G20" s="178" t="s">
        <v>438</v>
      </c>
      <c r="I20" s="150" t="s">
        <v>334</v>
      </c>
      <c r="J20" s="152" t="s">
        <v>599</v>
      </c>
      <c r="K20" s="152" t="s">
        <v>600</v>
      </c>
      <c r="L20" s="152" t="s">
        <v>601</v>
      </c>
      <c r="M20" s="152" t="s">
        <v>602</v>
      </c>
      <c r="N20" s="150" t="s">
        <v>404</v>
      </c>
      <c r="O20" s="152">
        <v>-431</v>
      </c>
    </row>
    <row r="21" spans="2:15" ht="15.75" customHeight="1" x14ac:dyDescent="0.25">
      <c r="I21" s="150" t="s">
        <v>345</v>
      </c>
      <c r="J21" s="152">
        <v>62.64</v>
      </c>
      <c r="K21" s="152">
        <v>61.44</v>
      </c>
      <c r="L21" s="152">
        <v>49.85</v>
      </c>
      <c r="M21" s="152">
        <v>38.5</v>
      </c>
      <c r="N21" s="150" t="s">
        <v>603</v>
      </c>
      <c r="O21" s="151">
        <v>40530.9</v>
      </c>
    </row>
    <row r="22" spans="2:15" ht="15.75" customHeight="1" x14ac:dyDescent="0.25">
      <c r="I22" s="150" t="s">
        <v>351</v>
      </c>
      <c r="J22" s="152">
        <v>109.24</v>
      </c>
      <c r="K22" s="152">
        <v>63.41</v>
      </c>
      <c r="L22" s="152">
        <v>54.91</v>
      </c>
      <c r="M22" s="152">
        <v>51.02</v>
      </c>
      <c r="N22" s="150" t="s">
        <v>604</v>
      </c>
      <c r="O22" s="151">
        <v>-47039.9</v>
      </c>
    </row>
    <row r="23" spans="2:15" ht="15.75" customHeight="1" x14ac:dyDescent="0.25">
      <c r="I23" s="150" t="s">
        <v>355</v>
      </c>
      <c r="J23" s="152">
        <v>42.18</v>
      </c>
      <c r="K23" s="152">
        <v>49.78</v>
      </c>
      <c r="L23" s="152">
        <v>39.99</v>
      </c>
      <c r="M23" s="152">
        <v>48.3</v>
      </c>
      <c r="N23" s="150" t="s">
        <v>564</v>
      </c>
      <c r="O23" s="152">
        <v>-22.3</v>
      </c>
    </row>
    <row r="24" spans="2:15" ht="15.75" customHeight="1" x14ac:dyDescent="0.25">
      <c r="I24" s="150" t="s">
        <v>360</v>
      </c>
      <c r="J24" s="152">
        <v>9.44</v>
      </c>
      <c r="K24" s="152">
        <v>21.8</v>
      </c>
      <c r="L24" s="152">
        <v>16.77</v>
      </c>
      <c r="M24" s="152">
        <v>30.28</v>
      </c>
      <c r="N24" s="150" t="s">
        <v>447</v>
      </c>
      <c r="O24" s="152">
        <v>-122.4</v>
      </c>
    </row>
    <row r="25" spans="2:15" ht="15.75" customHeight="1" x14ac:dyDescent="0.3">
      <c r="I25" s="150" t="s">
        <v>361</v>
      </c>
      <c r="J25" s="154" t="s">
        <v>361</v>
      </c>
      <c r="K25" s="154" t="s">
        <v>361</v>
      </c>
      <c r="L25" s="154" t="s">
        <v>361</v>
      </c>
      <c r="M25" s="154" t="s">
        <v>361</v>
      </c>
      <c r="N25" s="150" t="s">
        <v>605</v>
      </c>
      <c r="O25" s="152">
        <v>180</v>
      </c>
    </row>
    <row r="26" spans="2:15" ht="15.75" customHeight="1" x14ac:dyDescent="0.25">
      <c r="N26" s="150" t="s">
        <v>370</v>
      </c>
      <c r="O26" s="152">
        <v>0</v>
      </c>
    </row>
    <row r="27" spans="2:15" ht="15.75" customHeight="1" x14ac:dyDescent="0.25">
      <c r="N27" s="150" t="s">
        <v>323</v>
      </c>
      <c r="O27" s="151">
        <v>2142.6999999999998</v>
      </c>
    </row>
    <row r="28" spans="2:15" ht="15.75" customHeight="1" x14ac:dyDescent="0.25">
      <c r="N28" s="150" t="s">
        <v>325</v>
      </c>
      <c r="O28" s="151">
        <v>34272.300000000003</v>
      </c>
    </row>
    <row r="29" spans="2:15" ht="15.75" customHeight="1" x14ac:dyDescent="0.25">
      <c r="N29" s="153" t="s">
        <v>368</v>
      </c>
      <c r="O29" s="152"/>
    </row>
    <row r="30" spans="2:15" ht="15.75" customHeight="1" x14ac:dyDescent="0.25">
      <c r="N30" s="150" t="s">
        <v>571</v>
      </c>
      <c r="O30" s="152" t="s">
        <v>606</v>
      </c>
    </row>
    <row r="31" spans="2:15" ht="15.75" customHeight="1" x14ac:dyDescent="0.25">
      <c r="N31" s="150" t="s">
        <v>572</v>
      </c>
      <c r="O31" s="152">
        <v>38.5</v>
      </c>
    </row>
    <row r="32" spans="2:15" ht="15.75" customHeight="1" x14ac:dyDescent="0.25">
      <c r="N32" s="150" t="s">
        <v>324</v>
      </c>
      <c r="O32" s="152">
        <v>0</v>
      </c>
    </row>
    <row r="33" spans="14:15" ht="15.75" customHeight="1" x14ac:dyDescent="0.25">
      <c r="N33" s="150" t="s">
        <v>374</v>
      </c>
      <c r="O33" s="152">
        <v>10</v>
      </c>
    </row>
    <row r="34" spans="14:15" ht="15.75" customHeight="1" x14ac:dyDescent="0.25">
      <c r="N34" s="153" t="s">
        <v>377</v>
      </c>
      <c r="O34" s="152"/>
    </row>
    <row r="35" spans="14:15" ht="15.75" customHeight="1" x14ac:dyDescent="0.25">
      <c r="N35" s="150" t="s">
        <v>582</v>
      </c>
      <c r="O35" s="152" t="s">
        <v>289</v>
      </c>
    </row>
    <row r="36" spans="14:15" ht="15.75" customHeight="1" x14ac:dyDescent="0.25">
      <c r="N36" s="150" t="s">
        <v>583</v>
      </c>
      <c r="O36" s="152" t="s">
        <v>289</v>
      </c>
    </row>
    <row r="37" spans="14:15" ht="15.75" customHeight="1" x14ac:dyDescent="0.25">
      <c r="N37" s="150" t="s">
        <v>584</v>
      </c>
      <c r="O37" s="152" t="s">
        <v>289</v>
      </c>
    </row>
    <row r="38" spans="14:15" ht="15.75" customHeight="1" x14ac:dyDescent="0.25">
      <c r="N38" s="150" t="s">
        <v>585</v>
      </c>
      <c r="O38" s="152" t="s">
        <v>289</v>
      </c>
    </row>
    <row r="39" spans="14:15" ht="15.75" customHeight="1" x14ac:dyDescent="0.25">
      <c r="N39" s="150" t="s">
        <v>586</v>
      </c>
      <c r="O39" s="152" t="s">
        <v>289</v>
      </c>
    </row>
    <row r="40" spans="14:15" ht="15.75" customHeight="1" x14ac:dyDescent="0.25">
      <c r="N40" s="150" t="s">
        <v>587</v>
      </c>
      <c r="O40" s="152" t="s">
        <v>289</v>
      </c>
    </row>
    <row r="41" spans="14:15" ht="15.75" customHeight="1" x14ac:dyDescent="0.25">
      <c r="N41" s="150" t="s">
        <v>588</v>
      </c>
      <c r="O41" s="152" t="s">
        <v>289</v>
      </c>
    </row>
    <row r="42" spans="14:15" ht="15.75" customHeight="1" x14ac:dyDescent="0.25">
      <c r="N42" s="150" t="s">
        <v>589</v>
      </c>
      <c r="O42" s="152" t="s">
        <v>289</v>
      </c>
    </row>
    <row r="43" spans="14:15" ht="15.75" customHeight="1" x14ac:dyDescent="0.25">
      <c r="N43" s="150" t="s">
        <v>607</v>
      </c>
      <c r="O43" s="152">
        <v>69.17</v>
      </c>
    </row>
    <row r="44" spans="14:15" ht="15.75" customHeight="1" x14ac:dyDescent="0.25">
      <c r="N44" s="150" t="s">
        <v>590</v>
      </c>
      <c r="O44" s="152" t="s">
        <v>289</v>
      </c>
    </row>
    <row r="45" spans="14:15" ht="15.75" customHeight="1" x14ac:dyDescent="0.25">
      <c r="N45" s="150" t="s">
        <v>535</v>
      </c>
      <c r="O45" s="152">
        <v>69.17</v>
      </c>
    </row>
    <row r="46" spans="14:15" ht="15.75" customHeight="1" x14ac:dyDescent="0.25">
      <c r="N46" s="150" t="s">
        <v>591</v>
      </c>
      <c r="O46" s="152" t="s">
        <v>289</v>
      </c>
    </row>
    <row r="47" spans="14:15" ht="15.75" customHeight="1" x14ac:dyDescent="0.25">
      <c r="N47" s="150" t="s">
        <v>592</v>
      </c>
      <c r="O47" s="152" t="s">
        <v>289</v>
      </c>
    </row>
    <row r="48" spans="14:15" ht="15.75" customHeight="1" x14ac:dyDescent="0.25">
      <c r="N48" s="150" t="s">
        <v>593</v>
      </c>
      <c r="O48" s="152" t="s">
        <v>289</v>
      </c>
    </row>
    <row r="49" spans="14:15" ht="15.75" customHeight="1" x14ac:dyDescent="0.25">
      <c r="N49" s="150" t="s">
        <v>354</v>
      </c>
      <c r="O49" s="152" t="s">
        <v>289</v>
      </c>
    </row>
    <row r="50" spans="14:15" ht="15.75" customHeight="1" x14ac:dyDescent="0.25">
      <c r="N50" s="150" t="s">
        <v>359</v>
      </c>
      <c r="O50" s="152" t="s">
        <v>289</v>
      </c>
    </row>
    <row r="51" spans="14:15" ht="15.75" customHeight="1" x14ac:dyDescent="0.25">
      <c r="N51" s="150" t="s">
        <v>364</v>
      </c>
      <c r="O51" s="152" t="s">
        <v>289</v>
      </c>
    </row>
    <row r="52" spans="14:15" ht="15.75" customHeight="1" x14ac:dyDescent="0.25">
      <c r="N52" s="150" t="s">
        <v>367</v>
      </c>
      <c r="O52" s="152" t="s">
        <v>289</v>
      </c>
    </row>
    <row r="53" spans="14:15" ht="15.75" customHeight="1" x14ac:dyDescent="0.25">
      <c r="N53" s="150" t="s">
        <v>371</v>
      </c>
      <c r="O53" s="152" t="s">
        <v>289</v>
      </c>
    </row>
    <row r="54" spans="14:15" ht="15.75" customHeight="1" x14ac:dyDescent="0.25">
      <c r="N54" s="150" t="s">
        <v>372</v>
      </c>
      <c r="O54" s="152" t="s">
        <v>289</v>
      </c>
    </row>
    <row r="55" spans="14:15" ht="15.75" customHeight="1" x14ac:dyDescent="0.25">
      <c r="N55" s="150" t="s">
        <v>375</v>
      </c>
      <c r="O55" s="152" t="s">
        <v>289</v>
      </c>
    </row>
    <row r="56" spans="14:15" ht="15.75" customHeight="1" x14ac:dyDescent="0.25">
      <c r="N56" s="150" t="s">
        <v>386</v>
      </c>
      <c r="O56" s="152" t="s">
        <v>289</v>
      </c>
    </row>
    <row r="57" spans="14:15" ht="15.75" customHeight="1" x14ac:dyDescent="0.25">
      <c r="N57" s="150" t="s">
        <v>387</v>
      </c>
      <c r="O57" s="152" t="s">
        <v>289</v>
      </c>
    </row>
    <row r="58" spans="14:15" ht="15.75" customHeight="1" x14ac:dyDescent="0.25">
      <c r="N58" s="150" t="s">
        <v>388</v>
      </c>
      <c r="O58" s="152" t="s">
        <v>289</v>
      </c>
    </row>
    <row r="59" spans="14:15" ht="15.75" customHeight="1" x14ac:dyDescent="0.25">
      <c r="N59" s="150" t="s">
        <v>391</v>
      </c>
      <c r="O59" s="152" t="s">
        <v>289</v>
      </c>
    </row>
    <row r="60" spans="14:15" ht="15.75" customHeight="1" x14ac:dyDescent="0.3">
      <c r="N60" s="153"/>
      <c r="O60" s="154" t="s">
        <v>608</v>
      </c>
    </row>
    <row r="61" spans="14:15" ht="15.75" customHeight="1" x14ac:dyDescent="0.25"/>
    <row r="62" spans="14:15" ht="15.75" customHeight="1" x14ac:dyDescent="0.25"/>
    <row r="63" spans="14:15" ht="15.75" customHeight="1" x14ac:dyDescent="0.25"/>
    <row r="64" spans="14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B3:H3"/>
    <mergeCell ref="J4:M4"/>
  </mergeCells>
  <hyperlinks>
    <hyperlink ref="C19" r:id="rId1" xr:uid="{00000000-0004-0000-1100-000000000000}"/>
    <hyperlink ref="D19" r:id="rId2" xr:uid="{00000000-0004-0000-1100-000001000000}"/>
    <hyperlink ref="E19" r:id="rId3" xr:uid="{00000000-0004-0000-1100-000002000000}"/>
    <hyperlink ref="F19" r:id="rId4" xr:uid="{00000000-0004-0000-1100-000003000000}"/>
    <hyperlink ref="G19" r:id="rId5" xr:uid="{00000000-0004-0000-1100-000004000000}"/>
    <hyperlink ref="C20" r:id="rId6" xr:uid="{00000000-0004-0000-1100-000005000000}"/>
    <hyperlink ref="D20" r:id="rId7" xr:uid="{00000000-0004-0000-1100-000006000000}"/>
    <hyperlink ref="E20" r:id="rId8" xr:uid="{00000000-0004-0000-1100-000007000000}"/>
    <hyperlink ref="F20" r:id="rId9" xr:uid="{00000000-0004-0000-1100-000008000000}"/>
    <hyperlink ref="G20" r:id="rId10" xr:uid="{00000000-0004-0000-1100-000009000000}"/>
  </hyperlink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AS1000"/>
  <sheetViews>
    <sheetView workbookViewId="0"/>
  </sheetViews>
  <sheetFormatPr defaultColWidth="12.59765625" defaultRowHeight="15" customHeight="1" x14ac:dyDescent="0.25"/>
  <cols>
    <col min="1" max="45" width="7.59765625" customWidth="1"/>
  </cols>
  <sheetData>
    <row r="2" spans="2:45" ht="36" x14ac:dyDescent="0.25">
      <c r="B2" s="157" t="s">
        <v>609</v>
      </c>
      <c r="C2" s="158">
        <v>42826</v>
      </c>
      <c r="D2" s="142" t="s">
        <v>287</v>
      </c>
      <c r="E2" s="143">
        <v>42461</v>
      </c>
      <c r="F2" s="142" t="s">
        <v>392</v>
      </c>
      <c r="G2" s="143">
        <v>42095</v>
      </c>
      <c r="H2" s="142" t="s">
        <v>288</v>
      </c>
      <c r="I2" s="143">
        <v>42094</v>
      </c>
      <c r="J2" s="143">
        <v>41729</v>
      </c>
      <c r="K2" s="143">
        <v>41364</v>
      </c>
      <c r="L2" s="143">
        <v>40999</v>
      </c>
      <c r="M2" s="142" t="s">
        <v>610</v>
      </c>
      <c r="N2" s="143">
        <v>40633</v>
      </c>
      <c r="O2" s="143">
        <v>40268</v>
      </c>
      <c r="P2" s="143">
        <v>39903</v>
      </c>
      <c r="Q2" s="143">
        <v>39538</v>
      </c>
      <c r="T2" s="37" t="s">
        <v>266</v>
      </c>
      <c r="U2" s="37" t="s">
        <v>267</v>
      </c>
      <c r="V2" s="37" t="s">
        <v>268</v>
      </c>
      <c r="W2" s="37" t="s">
        <v>269</v>
      </c>
      <c r="X2" s="37" t="s">
        <v>270</v>
      </c>
      <c r="Y2" s="37" t="s">
        <v>271</v>
      </c>
      <c r="Z2" s="37" t="s">
        <v>272</v>
      </c>
      <c r="AA2" s="37" t="s">
        <v>273</v>
      </c>
      <c r="AB2" s="37" t="s">
        <v>274</v>
      </c>
      <c r="AC2" s="37" t="s">
        <v>275</v>
      </c>
      <c r="AD2" s="37" t="s">
        <v>276</v>
      </c>
      <c r="AE2" s="37" t="s">
        <v>277</v>
      </c>
      <c r="AF2" s="37" t="s">
        <v>278</v>
      </c>
      <c r="AI2" s="140" t="s">
        <v>41</v>
      </c>
      <c r="AJ2" s="140" t="s">
        <v>5</v>
      </c>
      <c r="AK2" s="140" t="s">
        <v>279</v>
      </c>
      <c r="AL2" s="140" t="s">
        <v>280</v>
      </c>
      <c r="AM2" s="140" t="s">
        <v>281</v>
      </c>
      <c r="AN2" s="140" t="s">
        <v>282</v>
      </c>
      <c r="AO2" s="140" t="s">
        <v>283</v>
      </c>
      <c r="AP2" s="140" t="s">
        <v>284</v>
      </c>
      <c r="AQ2" s="140" t="s">
        <v>285</v>
      </c>
      <c r="AR2" s="141" t="s">
        <v>286</v>
      </c>
    </row>
    <row r="3" spans="2:45" ht="24.6" x14ac:dyDescent="0.3">
      <c r="B3" s="157" t="s">
        <v>291</v>
      </c>
      <c r="C3" s="158">
        <v>43190</v>
      </c>
      <c r="D3" s="142" t="s">
        <v>291</v>
      </c>
      <c r="E3" s="143">
        <v>42825</v>
      </c>
      <c r="F3" s="142" t="s">
        <v>291</v>
      </c>
      <c r="G3" s="143">
        <v>42460</v>
      </c>
      <c r="H3" s="142" t="s">
        <v>292</v>
      </c>
      <c r="I3" s="148">
        <v>12</v>
      </c>
      <c r="J3" s="148">
        <v>12</v>
      </c>
      <c r="K3" s="148">
        <v>12</v>
      </c>
      <c r="L3" s="148">
        <v>12</v>
      </c>
      <c r="M3" s="142" t="s">
        <v>292</v>
      </c>
      <c r="N3" s="148">
        <v>12</v>
      </c>
      <c r="O3" s="148">
        <v>12</v>
      </c>
      <c r="P3" s="148">
        <v>12</v>
      </c>
      <c r="Q3" s="148">
        <v>12</v>
      </c>
      <c r="T3" s="37">
        <v>2007</v>
      </c>
      <c r="U3" s="37">
        <v>399</v>
      </c>
      <c r="V3" s="37">
        <v>535</v>
      </c>
      <c r="W3" s="37">
        <v>348</v>
      </c>
      <c r="X3" s="37">
        <v>456.3</v>
      </c>
      <c r="Y3" s="37">
        <v>22786488</v>
      </c>
      <c r="Z3" s="37">
        <v>281428</v>
      </c>
      <c r="AA3" s="37">
        <v>8988623038</v>
      </c>
      <c r="AB3" s="37">
        <v>6603677</v>
      </c>
      <c r="AC3" s="37">
        <v>28.98</v>
      </c>
      <c r="AD3" s="37">
        <v>187</v>
      </c>
      <c r="AE3" s="37">
        <v>57.3</v>
      </c>
      <c r="AI3" s="144">
        <v>532891</v>
      </c>
      <c r="AJ3" s="145" t="s">
        <v>75</v>
      </c>
      <c r="AK3" s="146">
        <v>39702</v>
      </c>
      <c r="AL3" s="37">
        <v>2</v>
      </c>
      <c r="AM3" s="147" t="s">
        <v>289</v>
      </c>
      <c r="AN3" s="146">
        <v>39704</v>
      </c>
      <c r="AO3" s="146">
        <v>39706</v>
      </c>
      <c r="AP3" s="146">
        <v>39699</v>
      </c>
      <c r="AQ3" s="146">
        <v>39702</v>
      </c>
      <c r="AR3" s="145" t="s">
        <v>475</v>
      </c>
      <c r="AS3" s="37" t="s">
        <v>289</v>
      </c>
    </row>
    <row r="4" spans="2:45" ht="36.6" x14ac:dyDescent="0.3">
      <c r="B4" s="149" t="s">
        <v>293</v>
      </c>
      <c r="C4" s="149" t="s">
        <v>295</v>
      </c>
      <c r="D4" s="149" t="s">
        <v>293</v>
      </c>
      <c r="E4" s="149" t="s">
        <v>295</v>
      </c>
      <c r="F4" s="149" t="s">
        <v>293</v>
      </c>
      <c r="G4" s="149" t="s">
        <v>295</v>
      </c>
      <c r="H4" s="149" t="s">
        <v>293</v>
      </c>
      <c r="I4" s="275" t="s">
        <v>295</v>
      </c>
      <c r="J4" s="276"/>
      <c r="K4" s="276"/>
      <c r="L4" s="277"/>
      <c r="M4" s="149" t="s">
        <v>293</v>
      </c>
      <c r="N4" s="275" t="s">
        <v>295</v>
      </c>
      <c r="O4" s="276"/>
      <c r="P4" s="276"/>
      <c r="Q4" s="277"/>
      <c r="T4" s="37">
        <v>2008</v>
      </c>
      <c r="U4" s="37">
        <v>468</v>
      </c>
      <c r="V4" s="37">
        <v>473</v>
      </c>
      <c r="W4" s="37">
        <v>28</v>
      </c>
      <c r="X4" s="37">
        <v>49.05</v>
      </c>
      <c r="Y4" s="37">
        <v>8730739</v>
      </c>
      <c r="Z4" s="37">
        <v>123419</v>
      </c>
      <c r="AA4" s="37">
        <v>1451563092</v>
      </c>
      <c r="AB4" s="37">
        <v>4210719</v>
      </c>
      <c r="AC4" s="37">
        <v>48.23</v>
      </c>
      <c r="AD4" s="37">
        <v>445</v>
      </c>
      <c r="AE4" s="37">
        <v>-418.95</v>
      </c>
      <c r="AI4" s="144">
        <v>532891</v>
      </c>
      <c r="AJ4" s="145" t="s">
        <v>75</v>
      </c>
      <c r="AK4" s="146">
        <v>40353</v>
      </c>
      <c r="AL4" s="37">
        <v>1</v>
      </c>
      <c r="AM4" s="147" t="s">
        <v>289</v>
      </c>
      <c r="AN4" s="146">
        <v>40355</v>
      </c>
      <c r="AO4" s="146">
        <v>40357</v>
      </c>
      <c r="AP4" s="146">
        <v>40350</v>
      </c>
      <c r="AQ4" s="146">
        <v>40353</v>
      </c>
      <c r="AR4" s="145" t="s">
        <v>454</v>
      </c>
      <c r="AS4" s="37" t="s">
        <v>289</v>
      </c>
    </row>
    <row r="5" spans="2:45" ht="58.2" x14ac:dyDescent="0.3">
      <c r="B5" s="150" t="s">
        <v>297</v>
      </c>
      <c r="C5" s="151">
        <v>14149</v>
      </c>
      <c r="D5" s="150" t="s">
        <v>297</v>
      </c>
      <c r="E5" s="151">
        <v>14071.2</v>
      </c>
      <c r="F5" s="150" t="s">
        <v>297</v>
      </c>
      <c r="G5" s="151">
        <v>15507</v>
      </c>
      <c r="H5" s="150" t="s">
        <v>298</v>
      </c>
      <c r="I5" s="151">
        <v>12073.7</v>
      </c>
      <c r="J5" s="151">
        <v>9226.82</v>
      </c>
      <c r="K5" s="151">
        <v>8152.56</v>
      </c>
      <c r="L5" s="151">
        <v>5275.74</v>
      </c>
      <c r="M5" s="150" t="s">
        <v>298</v>
      </c>
      <c r="N5" s="151">
        <v>4141.3999999999996</v>
      </c>
      <c r="O5" s="151">
        <v>5038.2</v>
      </c>
      <c r="P5" s="151">
        <v>4449</v>
      </c>
      <c r="Q5" s="151">
        <v>5658.1</v>
      </c>
      <c r="T5" s="37">
        <v>2009</v>
      </c>
      <c r="U5" s="37">
        <v>49.1</v>
      </c>
      <c r="V5" s="37">
        <v>136.5</v>
      </c>
      <c r="W5" s="37">
        <v>25.6</v>
      </c>
      <c r="X5" s="37">
        <v>92.9</v>
      </c>
      <c r="Y5" s="37">
        <v>36087064</v>
      </c>
      <c r="Z5" s="37">
        <v>372010</v>
      </c>
      <c r="AA5" s="37">
        <v>3473495840</v>
      </c>
      <c r="AB5" s="37">
        <v>8540243</v>
      </c>
      <c r="AC5" s="37">
        <v>23.67</v>
      </c>
      <c r="AD5" s="37">
        <v>110.9</v>
      </c>
      <c r="AE5" s="37">
        <v>43.8</v>
      </c>
      <c r="AI5" s="144">
        <v>532891</v>
      </c>
      <c r="AJ5" s="145" t="s">
        <v>75</v>
      </c>
      <c r="AK5" s="146">
        <v>40801</v>
      </c>
      <c r="AL5" s="37">
        <v>1</v>
      </c>
      <c r="AM5" s="147" t="s">
        <v>289</v>
      </c>
      <c r="AN5" s="146">
        <v>40803</v>
      </c>
      <c r="AO5" s="146">
        <v>40810</v>
      </c>
      <c r="AP5" s="146">
        <v>40798</v>
      </c>
      <c r="AQ5" s="146">
        <v>40801</v>
      </c>
      <c r="AR5" s="145" t="s">
        <v>475</v>
      </c>
      <c r="AS5" s="37" t="s">
        <v>289</v>
      </c>
    </row>
    <row r="6" spans="2:45" ht="35.4" x14ac:dyDescent="0.3">
      <c r="B6" s="150" t="s">
        <v>299</v>
      </c>
      <c r="C6" s="152">
        <v>900.4</v>
      </c>
      <c r="D6" s="150" t="s">
        <v>302</v>
      </c>
      <c r="E6" s="152">
        <v>834.8</v>
      </c>
      <c r="F6" s="150" t="s">
        <v>611</v>
      </c>
      <c r="G6" s="152">
        <v>129.6</v>
      </c>
      <c r="H6" s="150" t="s">
        <v>299</v>
      </c>
      <c r="I6" s="152">
        <v>110.4</v>
      </c>
      <c r="J6" s="152">
        <v>438.57</v>
      </c>
      <c r="K6" s="152">
        <v>25.87</v>
      </c>
      <c r="L6" s="152">
        <v>9.57</v>
      </c>
      <c r="M6" s="150" t="s">
        <v>301</v>
      </c>
      <c r="N6" s="151">
        <v>4141.3999999999996</v>
      </c>
      <c r="O6" s="151">
        <v>5038.2</v>
      </c>
      <c r="P6" s="151">
        <v>4449</v>
      </c>
      <c r="Q6" s="151">
        <v>5658.1</v>
      </c>
      <c r="T6" s="37">
        <v>2010</v>
      </c>
      <c r="U6" s="37">
        <v>92</v>
      </c>
      <c r="V6" s="37">
        <v>145.25</v>
      </c>
      <c r="W6" s="37">
        <v>76.400000000000006</v>
      </c>
      <c r="X6" s="37">
        <v>111.2</v>
      </c>
      <c r="Y6" s="37">
        <v>19473677</v>
      </c>
      <c r="Z6" s="37">
        <v>263907</v>
      </c>
      <c r="AA6" s="37">
        <v>2186904741</v>
      </c>
      <c r="AB6" s="37">
        <v>5193027</v>
      </c>
      <c r="AC6" s="37">
        <v>26.67</v>
      </c>
      <c r="AD6" s="37">
        <v>68.849999999999994</v>
      </c>
      <c r="AE6" s="37">
        <v>19.2</v>
      </c>
      <c r="AI6" s="144">
        <v>532891</v>
      </c>
      <c r="AJ6" s="145" t="s">
        <v>75</v>
      </c>
      <c r="AK6" s="146">
        <v>41137</v>
      </c>
      <c r="AL6" s="37">
        <v>1</v>
      </c>
      <c r="AM6" s="147" t="s">
        <v>289</v>
      </c>
      <c r="AN6" s="146">
        <v>41139</v>
      </c>
      <c r="AO6" s="146">
        <v>41142</v>
      </c>
      <c r="AP6" s="146">
        <v>41131</v>
      </c>
      <c r="AQ6" s="146">
        <v>41137</v>
      </c>
      <c r="AR6" s="145" t="s">
        <v>475</v>
      </c>
      <c r="AS6" s="37" t="s">
        <v>289</v>
      </c>
    </row>
    <row r="7" spans="2:45" ht="46.8" x14ac:dyDescent="0.3">
      <c r="B7" s="150" t="s">
        <v>301</v>
      </c>
      <c r="C7" s="151">
        <v>15049.4</v>
      </c>
      <c r="D7" s="150" t="s">
        <v>398</v>
      </c>
      <c r="E7" s="151">
        <v>13236.4</v>
      </c>
      <c r="F7" s="150" t="s">
        <v>612</v>
      </c>
      <c r="G7" s="151">
        <v>15377.4</v>
      </c>
      <c r="H7" s="150" t="s">
        <v>303</v>
      </c>
      <c r="I7" s="151">
        <v>-9415.2000000000007</v>
      </c>
      <c r="J7" s="151">
        <v>-6181.45</v>
      </c>
      <c r="K7" s="151">
        <v>-4247.67</v>
      </c>
      <c r="L7" s="151">
        <v>-2644.29</v>
      </c>
      <c r="M7" s="150" t="s">
        <v>304</v>
      </c>
      <c r="N7" s="152">
        <v>53.6</v>
      </c>
      <c r="O7" s="152">
        <v>16.2</v>
      </c>
      <c r="P7" s="152">
        <v>7.7</v>
      </c>
      <c r="Q7" s="152">
        <v>98.2</v>
      </c>
      <c r="T7" s="37">
        <v>2011</v>
      </c>
      <c r="U7" s="37">
        <v>112</v>
      </c>
      <c r="V7" s="37">
        <v>118.8</v>
      </c>
      <c r="W7" s="37">
        <v>54.15</v>
      </c>
      <c r="X7" s="37">
        <v>56.05</v>
      </c>
      <c r="Y7" s="37">
        <v>2147489</v>
      </c>
      <c r="Z7" s="37">
        <v>39834</v>
      </c>
      <c r="AA7" s="37">
        <v>214888671</v>
      </c>
      <c r="AB7" s="37">
        <v>756204</v>
      </c>
      <c r="AC7" s="37">
        <v>35.21</v>
      </c>
      <c r="AD7" s="37">
        <v>64.650000000000006</v>
      </c>
      <c r="AE7" s="37">
        <v>-55.95</v>
      </c>
      <c r="AI7" s="144">
        <v>532891</v>
      </c>
      <c r="AJ7" s="145" t="s">
        <v>75</v>
      </c>
      <c r="AK7" s="146">
        <v>41394</v>
      </c>
      <c r="AL7" s="37">
        <v>2.5</v>
      </c>
      <c r="AM7" s="146">
        <v>41396</v>
      </c>
      <c r="AN7" s="147"/>
      <c r="AO7" s="147"/>
      <c r="AP7" s="146">
        <v>41387</v>
      </c>
      <c r="AQ7" s="146">
        <v>41394</v>
      </c>
      <c r="AR7" s="145" t="s">
        <v>459</v>
      </c>
      <c r="AS7" s="37" t="s">
        <v>402</v>
      </c>
    </row>
    <row r="8" spans="2:45" ht="24.6" x14ac:dyDescent="0.3">
      <c r="B8" s="153" t="s">
        <v>303</v>
      </c>
      <c r="C8" s="151">
        <v>-13737.1</v>
      </c>
      <c r="D8" s="150" t="s">
        <v>299</v>
      </c>
      <c r="E8" s="152">
        <v>213.9</v>
      </c>
      <c r="F8" s="153" t="s">
        <v>303</v>
      </c>
      <c r="G8" s="151">
        <v>-12164.3</v>
      </c>
      <c r="H8" s="150" t="s">
        <v>304</v>
      </c>
      <c r="I8" s="151">
        <v>-1884.7</v>
      </c>
      <c r="J8" s="151">
        <v>-2011.1</v>
      </c>
      <c r="K8" s="151">
        <v>-2208.2800000000002</v>
      </c>
      <c r="L8" s="151">
        <v>-1921.5</v>
      </c>
      <c r="M8" s="150" t="s">
        <v>407</v>
      </c>
      <c r="N8" s="151">
        <v>-3245.6</v>
      </c>
      <c r="O8" s="151">
        <v>-3390.7</v>
      </c>
      <c r="P8" s="151">
        <v>-3101.2</v>
      </c>
      <c r="Q8" s="151">
        <v>-3579.8</v>
      </c>
      <c r="T8" s="37">
        <v>2012</v>
      </c>
      <c r="U8" s="37">
        <v>57</v>
      </c>
      <c r="V8" s="37">
        <v>106.75</v>
      </c>
      <c r="W8" s="37">
        <v>54.9</v>
      </c>
      <c r="X8" s="37">
        <v>100.5</v>
      </c>
      <c r="Y8" s="37">
        <v>7193047</v>
      </c>
      <c r="Z8" s="37">
        <v>105558</v>
      </c>
      <c r="AA8" s="37">
        <v>638596190</v>
      </c>
      <c r="AB8" s="37">
        <v>1795057</v>
      </c>
      <c r="AC8" s="37">
        <v>24.96</v>
      </c>
      <c r="AD8" s="37">
        <v>51.85</v>
      </c>
      <c r="AE8" s="37">
        <v>43.5</v>
      </c>
      <c r="AI8" s="144">
        <v>532891</v>
      </c>
      <c r="AJ8" s="145" t="s">
        <v>75</v>
      </c>
      <c r="AK8" s="146">
        <v>41533</v>
      </c>
      <c r="AL8" s="37">
        <v>1</v>
      </c>
      <c r="AM8" s="147" t="s">
        <v>289</v>
      </c>
      <c r="AN8" s="146">
        <v>41535</v>
      </c>
      <c r="AO8" s="146">
        <v>41541</v>
      </c>
      <c r="AP8" s="146">
        <v>41528</v>
      </c>
      <c r="AQ8" s="146">
        <v>41534</v>
      </c>
      <c r="AR8" s="145" t="s">
        <v>475</v>
      </c>
      <c r="AS8" s="37" t="s">
        <v>289</v>
      </c>
    </row>
    <row r="9" spans="2:45" ht="58.2" x14ac:dyDescent="0.3">
      <c r="B9" s="150" t="s">
        <v>310</v>
      </c>
      <c r="C9" s="151">
        <v>-2513.4</v>
      </c>
      <c r="D9" s="150" t="s">
        <v>301</v>
      </c>
      <c r="E9" s="151">
        <v>14285.1</v>
      </c>
      <c r="F9" s="150" t="s">
        <v>613</v>
      </c>
      <c r="G9" s="152">
        <v>-333</v>
      </c>
      <c r="H9" s="150" t="s">
        <v>308</v>
      </c>
      <c r="I9" s="152">
        <v>884.2</v>
      </c>
      <c r="J9" s="151">
        <v>1472.84</v>
      </c>
      <c r="K9" s="151">
        <v>1722.48</v>
      </c>
      <c r="L9" s="152">
        <v>719.52</v>
      </c>
      <c r="M9" s="150" t="s">
        <v>308</v>
      </c>
      <c r="N9" s="152">
        <v>949.4</v>
      </c>
      <c r="O9" s="151">
        <v>1663.7</v>
      </c>
      <c r="P9" s="151">
        <v>1355.5</v>
      </c>
      <c r="Q9" s="151">
        <v>2176.5</v>
      </c>
      <c r="T9" s="37">
        <v>2013</v>
      </c>
      <c r="U9" s="37">
        <v>101.8</v>
      </c>
      <c r="V9" s="37">
        <v>122.8</v>
      </c>
      <c r="W9" s="37">
        <v>58.05</v>
      </c>
      <c r="X9" s="37">
        <v>80</v>
      </c>
      <c r="Y9" s="37">
        <v>17965702</v>
      </c>
      <c r="Z9" s="37">
        <v>187142</v>
      </c>
      <c r="AA9" s="37">
        <v>1746440091</v>
      </c>
      <c r="AB9" s="37">
        <v>3059197</v>
      </c>
      <c r="AC9" s="37">
        <v>17.03</v>
      </c>
      <c r="AD9" s="37">
        <v>64.75</v>
      </c>
      <c r="AE9" s="37">
        <v>-21.8</v>
      </c>
      <c r="AI9" s="144">
        <v>532891</v>
      </c>
      <c r="AJ9" s="145" t="s">
        <v>75</v>
      </c>
      <c r="AK9" s="146">
        <v>41894</v>
      </c>
      <c r="AL9" s="37">
        <v>1.92</v>
      </c>
      <c r="AM9" s="147" t="s">
        <v>289</v>
      </c>
      <c r="AN9" s="146">
        <v>41898</v>
      </c>
      <c r="AO9" s="146">
        <v>41904</v>
      </c>
      <c r="AP9" s="146">
        <v>41891</v>
      </c>
      <c r="AQ9" s="146">
        <v>41897</v>
      </c>
      <c r="AR9" s="145" t="s">
        <v>454</v>
      </c>
      <c r="AS9" s="37" t="s">
        <v>289</v>
      </c>
    </row>
    <row r="10" spans="2:45" ht="24.6" x14ac:dyDescent="0.3">
      <c r="B10" s="150" t="s">
        <v>307</v>
      </c>
      <c r="C10" s="151">
        <v>-2097.6999999999998</v>
      </c>
      <c r="D10" s="153" t="s">
        <v>303</v>
      </c>
      <c r="E10" s="151">
        <v>-12675.5</v>
      </c>
      <c r="F10" s="150" t="s">
        <v>307</v>
      </c>
      <c r="G10" s="152">
        <v>-790.2</v>
      </c>
      <c r="H10" s="150" t="s">
        <v>312</v>
      </c>
      <c r="I10" s="152">
        <v>-112.5</v>
      </c>
      <c r="J10" s="152">
        <v>-63.2</v>
      </c>
      <c r="K10" s="152">
        <v>-54.4</v>
      </c>
      <c r="L10" s="152">
        <v>-42.72</v>
      </c>
      <c r="M10" s="150" t="s">
        <v>312</v>
      </c>
      <c r="N10" s="152">
        <v>0</v>
      </c>
      <c r="O10" s="152">
        <v>0</v>
      </c>
      <c r="P10" s="152">
        <v>0</v>
      </c>
      <c r="Q10" s="152">
        <v>0</v>
      </c>
      <c r="T10" s="37">
        <v>2014</v>
      </c>
      <c r="U10" s="37">
        <v>81</v>
      </c>
      <c r="V10" s="37">
        <v>133.9</v>
      </c>
      <c r="W10" s="37">
        <v>50</v>
      </c>
      <c r="X10" s="37">
        <v>84.8</v>
      </c>
      <c r="Y10" s="37">
        <v>12394667</v>
      </c>
      <c r="Z10" s="37">
        <v>268257</v>
      </c>
      <c r="AA10" s="37">
        <v>1149441998</v>
      </c>
      <c r="AB10" s="37">
        <v>6571039</v>
      </c>
      <c r="AC10" s="37">
        <v>53.02</v>
      </c>
      <c r="AD10" s="37">
        <v>83.9</v>
      </c>
      <c r="AE10" s="37">
        <v>3.8</v>
      </c>
      <c r="AI10" s="144">
        <v>532891</v>
      </c>
      <c r="AJ10" s="145" t="s">
        <v>75</v>
      </c>
      <c r="AK10" s="146">
        <v>42262</v>
      </c>
      <c r="AL10" s="37">
        <v>1.55</v>
      </c>
      <c r="AM10" s="147" t="s">
        <v>289</v>
      </c>
      <c r="AN10" s="146">
        <v>42264</v>
      </c>
      <c r="AO10" s="146">
        <v>42271</v>
      </c>
      <c r="AP10" s="146">
        <v>42257</v>
      </c>
      <c r="AQ10" s="146">
        <v>42262</v>
      </c>
      <c r="AR10" s="145" t="s">
        <v>454</v>
      </c>
      <c r="AS10" s="37" t="s">
        <v>289</v>
      </c>
    </row>
    <row r="11" spans="2:45" ht="35.4" x14ac:dyDescent="0.3">
      <c r="B11" s="150" t="s">
        <v>319</v>
      </c>
      <c r="C11" s="151">
        <v>-1039</v>
      </c>
      <c r="D11" s="150" t="s">
        <v>306</v>
      </c>
      <c r="E11" s="151">
        <v>-1007.3</v>
      </c>
      <c r="F11" s="150" t="s">
        <v>311</v>
      </c>
      <c r="G11" s="151">
        <v>-1103</v>
      </c>
      <c r="H11" s="150" t="s">
        <v>315</v>
      </c>
      <c r="I11" s="152">
        <v>771.7</v>
      </c>
      <c r="J11" s="151">
        <v>1409.64</v>
      </c>
      <c r="K11" s="151">
        <v>1668.08</v>
      </c>
      <c r="L11" s="152">
        <v>676.8</v>
      </c>
      <c r="M11" s="150" t="s">
        <v>315</v>
      </c>
      <c r="N11" s="152">
        <v>949.4</v>
      </c>
      <c r="O11" s="151">
        <v>1663.7</v>
      </c>
      <c r="P11" s="151">
        <v>1355.5</v>
      </c>
      <c r="Q11" s="151">
        <v>2176.5</v>
      </c>
      <c r="T11" s="37">
        <v>2015</v>
      </c>
      <c r="U11" s="37">
        <v>83.85</v>
      </c>
      <c r="V11" s="37">
        <v>89.8</v>
      </c>
      <c r="W11" s="37">
        <v>57.4</v>
      </c>
      <c r="X11" s="37">
        <v>59.6</v>
      </c>
      <c r="Y11" s="37">
        <v>6861503</v>
      </c>
      <c r="Z11" s="37">
        <v>127652</v>
      </c>
      <c r="AA11" s="37">
        <v>491748009</v>
      </c>
      <c r="AB11" s="37">
        <v>3803463</v>
      </c>
      <c r="AC11" s="37">
        <v>55.43</v>
      </c>
      <c r="AD11" s="37">
        <v>32.4</v>
      </c>
      <c r="AE11" s="37">
        <v>-24.25</v>
      </c>
      <c r="AI11" s="144">
        <v>532891</v>
      </c>
      <c r="AJ11" s="145" t="s">
        <v>75</v>
      </c>
      <c r="AK11" s="146">
        <v>42629</v>
      </c>
      <c r="AL11" s="37">
        <v>0.78200000000000003</v>
      </c>
      <c r="AM11" s="147" t="s">
        <v>289</v>
      </c>
      <c r="AN11" s="146">
        <v>42633</v>
      </c>
      <c r="AO11" s="146">
        <v>42640</v>
      </c>
      <c r="AP11" s="146">
        <v>42625</v>
      </c>
      <c r="AQ11" s="146">
        <v>42632</v>
      </c>
      <c r="AR11" s="145" t="s">
        <v>454</v>
      </c>
      <c r="AS11" s="37" t="s">
        <v>289</v>
      </c>
    </row>
    <row r="12" spans="2:45" ht="58.2" x14ac:dyDescent="0.3">
      <c r="B12" s="150" t="s">
        <v>406</v>
      </c>
      <c r="C12" s="152">
        <v>-149.6</v>
      </c>
      <c r="D12" s="150" t="s">
        <v>310</v>
      </c>
      <c r="E12" s="151">
        <v>-2503.8000000000002</v>
      </c>
      <c r="F12" s="150" t="s">
        <v>317</v>
      </c>
      <c r="G12" s="152">
        <v>-159.9</v>
      </c>
      <c r="H12" s="150" t="s">
        <v>318</v>
      </c>
      <c r="I12" s="152">
        <v>72.7</v>
      </c>
      <c r="J12" s="152">
        <v>-349.34</v>
      </c>
      <c r="K12" s="152">
        <v>-545.27</v>
      </c>
      <c r="L12" s="152">
        <v>-224.08</v>
      </c>
      <c r="M12" s="150" t="s">
        <v>318</v>
      </c>
      <c r="N12" s="152">
        <v>-110.7</v>
      </c>
      <c r="O12" s="152">
        <v>-298.10000000000002</v>
      </c>
      <c r="P12" s="152">
        <v>-26</v>
      </c>
      <c r="Q12" s="152">
        <v>-67</v>
      </c>
      <c r="T12" s="37">
        <v>2016</v>
      </c>
      <c r="U12" s="37">
        <v>63.7</v>
      </c>
      <c r="V12" s="37">
        <v>65.7</v>
      </c>
      <c r="W12" s="37">
        <v>37.200000000000003</v>
      </c>
      <c r="X12" s="37">
        <v>43.55</v>
      </c>
      <c r="Y12" s="37">
        <v>14028453</v>
      </c>
      <c r="Z12" s="37">
        <v>68260</v>
      </c>
      <c r="AA12" s="37">
        <v>691647671</v>
      </c>
      <c r="AB12" s="37">
        <v>10693209</v>
      </c>
      <c r="AC12" s="37">
        <v>76.23</v>
      </c>
      <c r="AD12" s="37">
        <v>28.5</v>
      </c>
      <c r="AE12" s="37">
        <v>-20.149999999999999</v>
      </c>
      <c r="AI12" s="144">
        <v>532891</v>
      </c>
      <c r="AJ12" s="145" t="s">
        <v>75</v>
      </c>
      <c r="AK12" s="146">
        <v>42965</v>
      </c>
      <c r="AL12" s="37">
        <v>2.25</v>
      </c>
      <c r="AM12" s="147" t="s">
        <v>289</v>
      </c>
      <c r="AN12" s="146">
        <v>42969</v>
      </c>
      <c r="AO12" s="146">
        <v>42976</v>
      </c>
      <c r="AP12" s="146">
        <v>42958</v>
      </c>
      <c r="AQ12" s="146">
        <v>42968</v>
      </c>
      <c r="AR12" s="145" t="s">
        <v>454</v>
      </c>
      <c r="AS12" s="37" t="s">
        <v>289</v>
      </c>
    </row>
    <row r="13" spans="2:45" ht="114.6" x14ac:dyDescent="0.25">
      <c r="B13" s="150" t="s">
        <v>614</v>
      </c>
      <c r="C13" s="151">
        <v>2149</v>
      </c>
      <c r="D13" s="150" t="s">
        <v>313</v>
      </c>
      <c r="E13" s="152">
        <v>-164.7</v>
      </c>
      <c r="F13" s="150" t="s">
        <v>615</v>
      </c>
      <c r="G13" s="152">
        <v>-511.5</v>
      </c>
      <c r="H13" s="150" t="s">
        <v>326</v>
      </c>
      <c r="I13" s="152">
        <v>844.4</v>
      </c>
      <c r="J13" s="151">
        <v>1060.3</v>
      </c>
      <c r="K13" s="151">
        <v>1122.81</v>
      </c>
      <c r="L13" s="152">
        <v>452.72</v>
      </c>
      <c r="M13" s="150" t="s">
        <v>320</v>
      </c>
      <c r="N13" s="152">
        <v>838.7</v>
      </c>
      <c r="O13" s="151">
        <v>1365.6</v>
      </c>
      <c r="P13" s="151">
        <v>1329.5</v>
      </c>
      <c r="Q13" s="151">
        <v>2109.5</v>
      </c>
      <c r="T13" s="37">
        <v>2017</v>
      </c>
      <c r="U13" s="37">
        <v>45.55</v>
      </c>
      <c r="V13" s="37">
        <v>182</v>
      </c>
      <c r="W13" s="37">
        <v>43.45</v>
      </c>
      <c r="X13" s="37">
        <v>166.8</v>
      </c>
      <c r="Y13" s="37">
        <v>20869605</v>
      </c>
      <c r="Z13" s="37">
        <v>211741</v>
      </c>
      <c r="AA13" s="37">
        <v>2130202797</v>
      </c>
      <c r="AB13" s="37">
        <v>8142259</v>
      </c>
      <c r="AC13" s="37">
        <v>39.01</v>
      </c>
      <c r="AD13" s="37">
        <v>138.55000000000001</v>
      </c>
      <c r="AE13" s="37">
        <v>121.25</v>
      </c>
      <c r="AL13" s="37">
        <f>SUM(AL3:AL12)</f>
        <v>15.002000000000001</v>
      </c>
    </row>
    <row r="14" spans="2:45" ht="148.80000000000001" x14ac:dyDescent="0.25">
      <c r="B14" s="150" t="s">
        <v>616</v>
      </c>
      <c r="C14" s="151">
        <v>-3947.9</v>
      </c>
      <c r="D14" s="150" t="s">
        <v>307</v>
      </c>
      <c r="E14" s="151">
        <v>-1803</v>
      </c>
      <c r="F14" s="150" t="s">
        <v>617</v>
      </c>
      <c r="G14" s="151">
        <v>4808.8</v>
      </c>
      <c r="H14" s="150" t="s">
        <v>344</v>
      </c>
      <c r="I14" s="152">
        <v>8.9</v>
      </c>
      <c r="J14" s="152">
        <v>0</v>
      </c>
      <c r="K14" s="152">
        <v>0</v>
      </c>
      <c r="L14" s="152">
        <v>21.24</v>
      </c>
      <c r="M14" s="150" t="s">
        <v>323</v>
      </c>
      <c r="N14" s="151">
        <v>1067.0999999999999</v>
      </c>
      <c r="O14" s="151">
        <v>1067.0999999999999</v>
      </c>
      <c r="P14" s="151">
        <v>1067.0999999999999</v>
      </c>
      <c r="Q14" s="151">
        <v>1067.0999999999999</v>
      </c>
      <c r="T14" s="37">
        <v>2018</v>
      </c>
      <c r="U14" s="37">
        <v>167.65</v>
      </c>
      <c r="V14" s="37">
        <v>172.55</v>
      </c>
      <c r="W14" s="37">
        <v>125</v>
      </c>
      <c r="X14" s="37">
        <v>132.25</v>
      </c>
      <c r="Y14" s="37">
        <v>6235021</v>
      </c>
      <c r="Z14" s="37">
        <v>76463</v>
      </c>
      <c r="AA14" s="37">
        <v>954666748</v>
      </c>
      <c r="AB14" s="37">
        <v>2519084</v>
      </c>
      <c r="AC14" s="37">
        <v>40.4</v>
      </c>
      <c r="AD14" s="37">
        <v>47.55</v>
      </c>
      <c r="AE14" s="37">
        <v>-35.4</v>
      </c>
    </row>
    <row r="15" spans="2:45" ht="80.400000000000006" x14ac:dyDescent="0.25">
      <c r="B15" s="150" t="s">
        <v>618</v>
      </c>
      <c r="C15" s="152">
        <v>-648.6</v>
      </c>
      <c r="D15" s="150" t="s">
        <v>619</v>
      </c>
      <c r="E15" s="151">
        <v>10882.9</v>
      </c>
      <c r="F15" s="150" t="s">
        <v>620</v>
      </c>
      <c r="G15" s="151">
        <v>-3500</v>
      </c>
      <c r="H15" s="150" t="s">
        <v>320</v>
      </c>
      <c r="I15" s="152">
        <v>853.3</v>
      </c>
      <c r="J15" s="151">
        <v>1060.3</v>
      </c>
      <c r="K15" s="151">
        <v>1122.81</v>
      </c>
      <c r="L15" s="152">
        <v>473.96</v>
      </c>
      <c r="M15" s="150" t="s">
        <v>325</v>
      </c>
      <c r="N15" s="151">
        <v>13737.8</v>
      </c>
      <c r="O15" s="151">
        <v>13166.7</v>
      </c>
      <c r="P15" s="151">
        <v>12050.8</v>
      </c>
      <c r="Q15" s="151">
        <v>10643.6</v>
      </c>
      <c r="U15" s="37">
        <f>(100*AL13)/U3</f>
        <v>3.7598997493734339</v>
      </c>
    </row>
    <row r="16" spans="2:45" ht="46.2" x14ac:dyDescent="0.25">
      <c r="B16" s="150" t="s">
        <v>621</v>
      </c>
      <c r="C16" s="151">
        <v>-5489.9</v>
      </c>
      <c r="D16" s="150" t="s">
        <v>622</v>
      </c>
      <c r="E16" s="151">
        <v>-10674.4</v>
      </c>
      <c r="F16" s="150" t="s">
        <v>623</v>
      </c>
      <c r="G16" s="151">
        <v>-9917.9</v>
      </c>
      <c r="H16" s="150" t="s">
        <v>323</v>
      </c>
      <c r="I16" s="151">
        <v>1185.8</v>
      </c>
      <c r="J16" s="151">
        <v>1185.75</v>
      </c>
      <c r="K16" s="151">
        <v>1067.1199999999999</v>
      </c>
      <c r="L16" s="151">
        <v>1067.1199999999999</v>
      </c>
      <c r="M16" s="150" t="s">
        <v>330</v>
      </c>
      <c r="N16" s="152">
        <v>3.93</v>
      </c>
      <c r="O16" s="152" t="s">
        <v>289</v>
      </c>
      <c r="P16" s="152" t="s">
        <v>289</v>
      </c>
      <c r="Q16" s="152" t="s">
        <v>289</v>
      </c>
    </row>
    <row r="17" spans="2:17" ht="69" x14ac:dyDescent="0.25">
      <c r="B17" s="150" t="s">
        <v>321</v>
      </c>
      <c r="C17" s="151">
        <v>1312.3</v>
      </c>
      <c r="D17" s="150" t="s">
        <v>623</v>
      </c>
      <c r="E17" s="151">
        <v>-7405.2</v>
      </c>
      <c r="F17" s="150" t="s">
        <v>624</v>
      </c>
      <c r="G17" s="152">
        <v>-657.6</v>
      </c>
      <c r="H17" s="150" t="s">
        <v>325</v>
      </c>
      <c r="I17" s="151">
        <v>17324.2</v>
      </c>
      <c r="J17" s="151">
        <v>16923.150000000001</v>
      </c>
      <c r="K17" s="151">
        <v>14774.15</v>
      </c>
      <c r="L17" s="151">
        <v>13963.7</v>
      </c>
      <c r="M17" s="150" t="s">
        <v>332</v>
      </c>
      <c r="N17" s="152">
        <v>3.93</v>
      </c>
      <c r="O17" s="152" t="s">
        <v>289</v>
      </c>
      <c r="P17" s="152" t="s">
        <v>289</v>
      </c>
      <c r="Q17" s="152" t="s">
        <v>289</v>
      </c>
    </row>
    <row r="18" spans="2:17" ht="103.2" x14ac:dyDescent="0.25">
      <c r="B18" s="150" t="s">
        <v>318</v>
      </c>
      <c r="C18" s="152">
        <v>-361.3</v>
      </c>
      <c r="D18" s="150" t="s">
        <v>322</v>
      </c>
      <c r="E18" s="151">
        <v>1609.6</v>
      </c>
      <c r="F18" s="150" t="s">
        <v>379</v>
      </c>
      <c r="G18" s="151">
        <v>3342.7</v>
      </c>
      <c r="H18" s="150" t="s">
        <v>329</v>
      </c>
      <c r="I18" s="152">
        <v>3.6</v>
      </c>
      <c r="J18" s="152">
        <v>4.55</v>
      </c>
      <c r="K18" s="152">
        <v>5.26</v>
      </c>
      <c r="L18" s="152" t="s">
        <v>289</v>
      </c>
      <c r="M18" s="150" t="s">
        <v>334</v>
      </c>
      <c r="N18" s="152" t="s">
        <v>625</v>
      </c>
      <c r="O18" s="152" t="s">
        <v>625</v>
      </c>
      <c r="P18" s="152" t="s">
        <v>625</v>
      </c>
      <c r="Q18" s="152" t="s">
        <v>625</v>
      </c>
    </row>
    <row r="19" spans="2:17" ht="69" x14ac:dyDescent="0.25">
      <c r="B19" s="150" t="s">
        <v>327</v>
      </c>
      <c r="C19" s="152">
        <v>951</v>
      </c>
      <c r="D19" s="150" t="s">
        <v>324</v>
      </c>
      <c r="E19" s="152">
        <v>0</v>
      </c>
      <c r="F19" s="150" t="s">
        <v>299</v>
      </c>
      <c r="G19" s="152">
        <v>171.5</v>
      </c>
      <c r="H19" s="150" t="s">
        <v>330</v>
      </c>
      <c r="I19" s="152" t="s">
        <v>289</v>
      </c>
      <c r="J19" s="152" t="s">
        <v>289</v>
      </c>
      <c r="K19" s="152" t="s">
        <v>289</v>
      </c>
      <c r="L19" s="152">
        <v>2.2200000000000002</v>
      </c>
      <c r="M19" s="150" t="s">
        <v>345</v>
      </c>
      <c r="N19" s="152">
        <v>10.039999999999999</v>
      </c>
      <c r="O19" s="152">
        <v>10.039999999999999</v>
      </c>
      <c r="P19" s="152">
        <v>10.039999999999999</v>
      </c>
      <c r="Q19" s="152">
        <v>10.039999999999999</v>
      </c>
    </row>
    <row r="20" spans="2:17" ht="69" x14ac:dyDescent="0.25">
      <c r="B20" s="150" t="s">
        <v>320</v>
      </c>
      <c r="C20" s="152">
        <v>914</v>
      </c>
      <c r="D20" s="150" t="s">
        <v>321</v>
      </c>
      <c r="E20" s="151">
        <v>1609.6</v>
      </c>
      <c r="F20" s="150" t="s">
        <v>381</v>
      </c>
      <c r="G20" s="151">
        <v>3514.2</v>
      </c>
      <c r="H20" s="150" t="s">
        <v>332</v>
      </c>
      <c r="I20" s="152" t="s">
        <v>289</v>
      </c>
      <c r="J20" s="152" t="s">
        <v>289</v>
      </c>
      <c r="K20" s="152" t="s">
        <v>289</v>
      </c>
      <c r="L20" s="152">
        <v>2.2200000000000002</v>
      </c>
      <c r="M20" s="150" t="s">
        <v>355</v>
      </c>
      <c r="N20" s="152">
        <v>20.25</v>
      </c>
      <c r="O20" s="152">
        <v>27.1</v>
      </c>
      <c r="P20" s="152">
        <v>29.88</v>
      </c>
      <c r="Q20" s="152">
        <v>37.28</v>
      </c>
    </row>
    <row r="21" spans="2:17" ht="15.75" customHeight="1" x14ac:dyDescent="0.25">
      <c r="B21" s="150" t="s">
        <v>331</v>
      </c>
      <c r="C21" s="152">
        <v>-409</v>
      </c>
      <c r="D21" s="150" t="s">
        <v>318</v>
      </c>
      <c r="E21" s="152">
        <v>-384.9</v>
      </c>
      <c r="F21" s="150" t="s">
        <v>304</v>
      </c>
      <c r="G21" s="151">
        <v>-2438.1</v>
      </c>
      <c r="H21" s="150" t="s">
        <v>334</v>
      </c>
      <c r="I21" s="152" t="s">
        <v>626</v>
      </c>
      <c r="J21" s="152" t="s">
        <v>626</v>
      </c>
      <c r="K21" s="152" t="s">
        <v>627</v>
      </c>
      <c r="L21" s="152" t="s">
        <v>625</v>
      </c>
      <c r="M21" s="150" t="s">
        <v>360</v>
      </c>
      <c r="N21" s="152">
        <v>3.93</v>
      </c>
      <c r="O21" s="152">
        <v>6.4</v>
      </c>
      <c r="P21" s="152">
        <v>6.23</v>
      </c>
      <c r="Q21" s="152">
        <v>9.8800000000000008</v>
      </c>
    </row>
    <row r="22" spans="2:17" ht="15.75" customHeight="1" x14ac:dyDescent="0.3">
      <c r="B22" s="150" t="s">
        <v>333</v>
      </c>
      <c r="C22" s="152">
        <v>47.7</v>
      </c>
      <c r="D22" s="150" t="s">
        <v>327</v>
      </c>
      <c r="E22" s="151">
        <v>1224.7</v>
      </c>
      <c r="F22" s="150" t="s">
        <v>322</v>
      </c>
      <c r="G22" s="151">
        <v>1076.0999999999999</v>
      </c>
      <c r="H22" s="150" t="s">
        <v>345</v>
      </c>
      <c r="I22" s="152">
        <v>25</v>
      </c>
      <c r="J22" s="152">
        <v>25</v>
      </c>
      <c r="K22" s="152">
        <v>10.039999999999999</v>
      </c>
      <c r="L22" s="152">
        <v>10.039999999999999</v>
      </c>
      <c r="M22" s="150" t="s">
        <v>361</v>
      </c>
      <c r="N22" s="154" t="s">
        <v>361</v>
      </c>
      <c r="O22" s="154" t="s">
        <v>361</v>
      </c>
      <c r="P22" s="154" t="s">
        <v>361</v>
      </c>
      <c r="Q22" s="154" t="s">
        <v>361</v>
      </c>
    </row>
    <row r="23" spans="2:17" ht="15.75" customHeight="1" x14ac:dyDescent="0.25">
      <c r="B23" s="150" t="s">
        <v>348</v>
      </c>
      <c r="C23" s="152">
        <v>0</v>
      </c>
      <c r="D23" s="150" t="s">
        <v>349</v>
      </c>
      <c r="E23" s="152">
        <v>0</v>
      </c>
      <c r="F23" s="150" t="s">
        <v>324</v>
      </c>
      <c r="G23" s="152">
        <v>0</v>
      </c>
      <c r="H23" s="150" t="s">
        <v>351</v>
      </c>
      <c r="I23" s="152">
        <v>22.93</v>
      </c>
      <c r="J23" s="152">
        <v>37.76</v>
      </c>
      <c r="K23" s="152">
        <v>48.22</v>
      </c>
      <c r="L23" s="152">
        <v>50.06</v>
      </c>
    </row>
    <row r="24" spans="2:17" ht="15.75" customHeight="1" x14ac:dyDescent="0.25">
      <c r="B24" s="150" t="s">
        <v>353</v>
      </c>
      <c r="C24" s="152">
        <v>0</v>
      </c>
      <c r="D24" s="150" t="s">
        <v>354</v>
      </c>
      <c r="E24" s="151">
        <v>1224.7</v>
      </c>
      <c r="F24" s="150" t="s">
        <v>350</v>
      </c>
      <c r="G24" s="152">
        <v>0</v>
      </c>
      <c r="H24" s="150" t="s">
        <v>355</v>
      </c>
      <c r="I24" s="152">
        <v>7.07</v>
      </c>
      <c r="J24" s="152">
        <v>11.49</v>
      </c>
      <c r="K24" s="152">
        <v>13.77</v>
      </c>
      <c r="L24" s="152">
        <v>8.98</v>
      </c>
    </row>
    <row r="25" spans="2:17" ht="15.75" customHeight="1" x14ac:dyDescent="0.25">
      <c r="B25" s="150" t="s">
        <v>358</v>
      </c>
      <c r="C25" s="152">
        <v>914</v>
      </c>
      <c r="D25" s="150" t="s">
        <v>359</v>
      </c>
      <c r="E25" s="152">
        <v>0</v>
      </c>
      <c r="F25" s="150" t="s">
        <v>321</v>
      </c>
      <c r="G25" s="151">
        <v>1076.0999999999999</v>
      </c>
      <c r="H25" s="150" t="s">
        <v>360</v>
      </c>
      <c r="I25" s="152">
        <v>4.07</v>
      </c>
      <c r="J25" s="152">
        <v>4.74</v>
      </c>
      <c r="K25" s="152">
        <v>5.52</v>
      </c>
      <c r="L25" s="152">
        <v>2.42</v>
      </c>
    </row>
    <row r="26" spans="2:17" ht="15.75" customHeight="1" x14ac:dyDescent="0.3">
      <c r="B26" s="150" t="s">
        <v>363</v>
      </c>
      <c r="C26" s="152">
        <v>0</v>
      </c>
      <c r="D26" s="150" t="s">
        <v>364</v>
      </c>
      <c r="E26" s="152">
        <v>0</v>
      </c>
      <c r="F26" s="150" t="s">
        <v>318</v>
      </c>
      <c r="G26" s="152">
        <v>-404.2</v>
      </c>
      <c r="H26" s="150" t="s">
        <v>361</v>
      </c>
      <c r="I26" s="154" t="s">
        <v>361</v>
      </c>
      <c r="J26" s="154" t="s">
        <v>361</v>
      </c>
      <c r="K26" s="154" t="s">
        <v>361</v>
      </c>
      <c r="L26" s="154" t="s">
        <v>361</v>
      </c>
    </row>
    <row r="27" spans="2:17" ht="15.75" customHeight="1" x14ac:dyDescent="0.25">
      <c r="B27" s="150" t="s">
        <v>366</v>
      </c>
      <c r="C27" s="152">
        <v>914</v>
      </c>
      <c r="D27" s="150" t="s">
        <v>367</v>
      </c>
      <c r="E27" s="152">
        <v>0</v>
      </c>
      <c r="F27" s="150" t="s">
        <v>327</v>
      </c>
      <c r="G27" s="152">
        <v>671.9</v>
      </c>
    </row>
    <row r="28" spans="2:17" ht="15.75" customHeight="1" x14ac:dyDescent="0.25">
      <c r="B28" s="153" t="s">
        <v>368</v>
      </c>
      <c r="C28" s="152"/>
      <c r="D28" s="150" t="s">
        <v>369</v>
      </c>
      <c r="E28" s="152">
        <v>46.4</v>
      </c>
      <c r="F28" s="150" t="s">
        <v>344</v>
      </c>
      <c r="G28" s="152">
        <v>1.9</v>
      </c>
    </row>
    <row r="29" spans="2:17" ht="15.75" customHeight="1" x14ac:dyDescent="0.25">
      <c r="B29" s="150" t="s">
        <v>324</v>
      </c>
      <c r="C29" s="152">
        <v>0</v>
      </c>
      <c r="D29" s="150" t="s">
        <v>320</v>
      </c>
      <c r="E29" s="151">
        <v>1271.0999999999999</v>
      </c>
      <c r="F29" s="150" t="s">
        <v>628</v>
      </c>
      <c r="G29" s="152">
        <v>1.9</v>
      </c>
    </row>
    <row r="30" spans="2:17" ht="15.75" customHeight="1" x14ac:dyDescent="0.25">
      <c r="B30" s="150" t="s">
        <v>322</v>
      </c>
      <c r="C30" s="151">
        <v>1312.3</v>
      </c>
      <c r="D30" s="150" t="s">
        <v>348</v>
      </c>
      <c r="E30" s="152">
        <v>0</v>
      </c>
      <c r="F30" s="150" t="s">
        <v>354</v>
      </c>
      <c r="G30" s="152">
        <v>673.8</v>
      </c>
    </row>
    <row r="31" spans="2:17" ht="15.75" customHeight="1" x14ac:dyDescent="0.25">
      <c r="B31" s="150" t="s">
        <v>354</v>
      </c>
      <c r="C31" s="152">
        <v>951</v>
      </c>
      <c r="D31" s="150" t="s">
        <v>353</v>
      </c>
      <c r="E31" s="152">
        <v>0</v>
      </c>
      <c r="F31" s="150" t="s">
        <v>359</v>
      </c>
      <c r="G31" s="152">
        <v>0</v>
      </c>
    </row>
    <row r="32" spans="2:17" ht="15.75" customHeight="1" x14ac:dyDescent="0.25">
      <c r="B32" s="150" t="s">
        <v>359</v>
      </c>
      <c r="C32" s="152">
        <v>0</v>
      </c>
      <c r="D32" s="150" t="s">
        <v>358</v>
      </c>
      <c r="E32" s="151">
        <v>1271.0999999999999</v>
      </c>
      <c r="F32" s="150" t="s">
        <v>364</v>
      </c>
      <c r="G32" s="152">
        <v>0</v>
      </c>
    </row>
    <row r="33" spans="2:7" ht="15.75" customHeight="1" x14ac:dyDescent="0.25">
      <c r="B33" s="150" t="s">
        <v>364</v>
      </c>
      <c r="C33" s="152">
        <v>0</v>
      </c>
      <c r="D33" s="150" t="s">
        <v>363</v>
      </c>
      <c r="E33" s="152">
        <v>0</v>
      </c>
      <c r="F33" s="150" t="s">
        <v>367</v>
      </c>
      <c r="G33" s="152">
        <v>0</v>
      </c>
    </row>
    <row r="34" spans="2:7" ht="15.75" customHeight="1" x14ac:dyDescent="0.25">
      <c r="B34" s="150" t="s">
        <v>367</v>
      </c>
      <c r="C34" s="152">
        <v>0</v>
      </c>
      <c r="D34" s="150" t="s">
        <v>366</v>
      </c>
      <c r="E34" s="151">
        <v>1271.0999999999999</v>
      </c>
      <c r="F34" s="150" t="s">
        <v>320</v>
      </c>
      <c r="G34" s="152">
        <v>673.8</v>
      </c>
    </row>
    <row r="35" spans="2:7" ht="15.75" customHeight="1" x14ac:dyDescent="0.25">
      <c r="B35" s="150" t="s">
        <v>371</v>
      </c>
      <c r="C35" s="152">
        <v>-2.4</v>
      </c>
      <c r="D35" s="150" t="s">
        <v>371</v>
      </c>
      <c r="E35" s="152">
        <v>0.3</v>
      </c>
      <c r="F35" s="150" t="s">
        <v>348</v>
      </c>
      <c r="G35" s="152">
        <v>0</v>
      </c>
    </row>
    <row r="36" spans="2:7" ht="15.75" customHeight="1" x14ac:dyDescent="0.25">
      <c r="B36" s="150" t="s">
        <v>372</v>
      </c>
      <c r="C36" s="152">
        <v>0</v>
      </c>
      <c r="D36" s="150" t="s">
        <v>373</v>
      </c>
      <c r="E36" s="152">
        <v>0</v>
      </c>
      <c r="F36" s="150" t="s">
        <v>353</v>
      </c>
      <c r="G36" s="152">
        <v>-5.7</v>
      </c>
    </row>
    <row r="37" spans="2:7" ht="15.75" customHeight="1" x14ac:dyDescent="0.25">
      <c r="B37" s="150" t="s">
        <v>375</v>
      </c>
      <c r="C37" s="152">
        <v>911.6</v>
      </c>
      <c r="D37" s="150" t="s">
        <v>376</v>
      </c>
      <c r="E37" s="152">
        <v>0</v>
      </c>
      <c r="F37" s="150" t="s">
        <v>358</v>
      </c>
      <c r="G37" s="152">
        <v>668.1</v>
      </c>
    </row>
    <row r="38" spans="2:7" ht="15.75" customHeight="1" x14ac:dyDescent="0.25">
      <c r="B38" s="150" t="s">
        <v>373</v>
      </c>
      <c r="C38" s="152">
        <v>0</v>
      </c>
      <c r="D38" s="150" t="s">
        <v>378</v>
      </c>
      <c r="E38" s="152">
        <v>0</v>
      </c>
      <c r="F38" s="150" t="s">
        <v>363</v>
      </c>
      <c r="G38" s="152">
        <v>0</v>
      </c>
    </row>
    <row r="39" spans="2:7" ht="15.75" customHeight="1" x14ac:dyDescent="0.25">
      <c r="B39" s="150" t="s">
        <v>376</v>
      </c>
      <c r="C39" s="152">
        <v>0</v>
      </c>
      <c r="D39" s="150" t="s">
        <v>380</v>
      </c>
      <c r="E39" s="152">
        <v>0</v>
      </c>
      <c r="F39" s="150" t="s">
        <v>366</v>
      </c>
      <c r="G39" s="152">
        <v>668.1</v>
      </c>
    </row>
    <row r="40" spans="2:7" ht="15.75" customHeight="1" x14ac:dyDescent="0.25">
      <c r="B40" s="150" t="s">
        <v>378</v>
      </c>
      <c r="C40" s="152">
        <v>0</v>
      </c>
      <c r="D40" s="150" t="s">
        <v>372</v>
      </c>
      <c r="E40" s="152">
        <v>0</v>
      </c>
      <c r="F40" s="150" t="s">
        <v>371</v>
      </c>
      <c r="G40" s="152" t="s">
        <v>289</v>
      </c>
    </row>
    <row r="41" spans="2:7" ht="15.75" customHeight="1" x14ac:dyDescent="0.25">
      <c r="B41" s="150" t="s">
        <v>380</v>
      </c>
      <c r="C41" s="152">
        <v>0</v>
      </c>
      <c r="D41" s="150" t="s">
        <v>375</v>
      </c>
      <c r="E41" s="151">
        <v>1271.4000000000001</v>
      </c>
      <c r="F41" s="150" t="s">
        <v>372</v>
      </c>
      <c r="G41" s="152" t="s">
        <v>289</v>
      </c>
    </row>
    <row r="42" spans="2:7" ht="15.75" customHeight="1" x14ac:dyDescent="0.25">
      <c r="B42" s="150" t="s">
        <v>349</v>
      </c>
      <c r="C42" s="152">
        <v>0</v>
      </c>
      <c r="D42" s="153" t="s">
        <v>368</v>
      </c>
      <c r="E42" s="152"/>
      <c r="F42" s="150" t="s">
        <v>375</v>
      </c>
      <c r="G42" s="152" t="s">
        <v>289</v>
      </c>
    </row>
    <row r="43" spans="2:7" ht="15.75" customHeight="1" x14ac:dyDescent="0.25">
      <c r="B43" s="150" t="s">
        <v>369</v>
      </c>
      <c r="C43" s="152">
        <v>-37</v>
      </c>
      <c r="D43" s="150" t="s">
        <v>382</v>
      </c>
      <c r="E43" s="152">
        <v>5.36</v>
      </c>
      <c r="F43" s="150" t="s">
        <v>386</v>
      </c>
      <c r="G43" s="152" t="s">
        <v>289</v>
      </c>
    </row>
    <row r="44" spans="2:7" ht="15.75" customHeight="1" x14ac:dyDescent="0.25">
      <c r="B44" s="150" t="s">
        <v>382</v>
      </c>
      <c r="C44" s="152">
        <v>3.85</v>
      </c>
      <c r="D44" s="150" t="s">
        <v>383</v>
      </c>
      <c r="E44" s="152">
        <v>5.36</v>
      </c>
      <c r="F44" s="150" t="s">
        <v>387</v>
      </c>
      <c r="G44" s="152" t="s">
        <v>289</v>
      </c>
    </row>
    <row r="45" spans="2:7" ht="15.75" customHeight="1" x14ac:dyDescent="0.25">
      <c r="B45" s="150" t="s">
        <v>383</v>
      </c>
      <c r="C45" s="152">
        <v>3.85</v>
      </c>
      <c r="F45" s="150" t="s">
        <v>388</v>
      </c>
      <c r="G45" s="152" t="s">
        <v>289</v>
      </c>
    </row>
    <row r="46" spans="2:7" ht="15.75" customHeight="1" x14ac:dyDescent="0.3">
      <c r="B46" s="153"/>
      <c r="C46" s="154" t="s">
        <v>361</v>
      </c>
      <c r="F46" s="150" t="s">
        <v>391</v>
      </c>
      <c r="G46" s="152" t="s">
        <v>289</v>
      </c>
    </row>
    <row r="47" spans="2:7" ht="15.75" customHeight="1" x14ac:dyDescent="0.25">
      <c r="B47" s="150" t="s">
        <v>48</v>
      </c>
      <c r="C47" s="152">
        <v>1186</v>
      </c>
      <c r="F47" s="150" t="s">
        <v>370</v>
      </c>
      <c r="G47" s="152">
        <v>0</v>
      </c>
    </row>
    <row r="48" spans="2:7" ht="15.75" customHeight="1" x14ac:dyDescent="0.25">
      <c r="F48" s="150" t="s">
        <v>323</v>
      </c>
      <c r="G48" s="151">
        <v>1185.8</v>
      </c>
    </row>
    <row r="49" spans="6:7" ht="15.75" customHeight="1" x14ac:dyDescent="0.25">
      <c r="F49" s="150" t="s">
        <v>374</v>
      </c>
      <c r="G49" s="152">
        <v>5</v>
      </c>
    </row>
    <row r="50" spans="6:7" ht="15.75" customHeight="1" x14ac:dyDescent="0.25">
      <c r="F50" s="150" t="s">
        <v>325</v>
      </c>
      <c r="G50" s="151">
        <v>21866.9</v>
      </c>
    </row>
    <row r="51" spans="6:7" ht="15.75" customHeight="1" x14ac:dyDescent="0.25">
      <c r="F51" s="153" t="s">
        <v>377</v>
      </c>
      <c r="G51" s="152"/>
    </row>
    <row r="52" spans="6:7" ht="15.75" customHeight="1" x14ac:dyDescent="0.25">
      <c r="F52" s="150" t="s">
        <v>607</v>
      </c>
      <c r="G52" s="152">
        <v>2.82</v>
      </c>
    </row>
    <row r="53" spans="6:7" ht="15.75" customHeight="1" x14ac:dyDescent="0.25">
      <c r="F53" s="153" t="s">
        <v>368</v>
      </c>
      <c r="G53" s="152"/>
    </row>
    <row r="54" spans="6:7" ht="15.75" customHeight="1" x14ac:dyDescent="0.25">
      <c r="F54" s="150" t="s">
        <v>535</v>
      </c>
      <c r="G54" s="152">
        <v>2.82</v>
      </c>
    </row>
    <row r="55" spans="6:7" ht="15.75" customHeight="1" x14ac:dyDescent="0.3">
      <c r="F55" s="153"/>
      <c r="G55" s="154" t="s">
        <v>361</v>
      </c>
    </row>
    <row r="56" spans="6:7" ht="15.75" customHeight="1" x14ac:dyDescent="0.25"/>
    <row r="57" spans="6:7" ht="15.75" customHeight="1" x14ac:dyDescent="0.25"/>
    <row r="58" spans="6:7" ht="15.75" customHeight="1" x14ac:dyDescent="0.25"/>
    <row r="59" spans="6:7" ht="15.75" customHeight="1" x14ac:dyDescent="0.25"/>
    <row r="60" spans="6:7" ht="15.75" customHeight="1" x14ac:dyDescent="0.25"/>
    <row r="61" spans="6:7" ht="15.75" customHeight="1" x14ac:dyDescent="0.25"/>
    <row r="62" spans="6:7" ht="15.75" customHeight="1" x14ac:dyDescent="0.25"/>
    <row r="63" spans="6:7" ht="15.75" customHeight="1" x14ac:dyDescent="0.25"/>
    <row r="64" spans="6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I4:L4"/>
    <mergeCell ref="N4:Q4"/>
  </mergeCells>
  <hyperlinks>
    <hyperlink ref="AI3" r:id="rId1" display="https://www.bseindia.com/corporates/ScripWiseCorpAction.aspx?scrip_cd=532891" xr:uid="{00000000-0004-0000-1200-000000000000}"/>
    <hyperlink ref="AI4" r:id="rId2" display="https://www.bseindia.com/corporates/ScripWiseCorpAction.aspx?scrip_cd=532891" xr:uid="{00000000-0004-0000-1200-000001000000}"/>
    <hyperlink ref="AI5" r:id="rId3" display="https://www.bseindia.com/corporates/ScripWiseCorpAction.aspx?scrip_cd=532891" xr:uid="{00000000-0004-0000-1200-000002000000}"/>
    <hyperlink ref="AI6" r:id="rId4" display="https://www.bseindia.com/corporates/ScripWiseCorpAction.aspx?scrip_cd=532891" xr:uid="{00000000-0004-0000-1200-000003000000}"/>
    <hyperlink ref="AI7" r:id="rId5" display="https://www.bseindia.com/corporates/ScripWiseCorpAction.aspx?scrip_cd=532891" xr:uid="{00000000-0004-0000-1200-000004000000}"/>
    <hyperlink ref="AI8" r:id="rId6" display="https://www.bseindia.com/corporates/ScripWiseCorpAction.aspx?scrip_cd=532891" xr:uid="{00000000-0004-0000-1200-000005000000}"/>
    <hyperlink ref="AI9" r:id="rId7" display="https://www.bseindia.com/corporates/ScripWiseCorpAction.aspx?scrip_cd=532891" xr:uid="{00000000-0004-0000-1200-000006000000}"/>
    <hyperlink ref="AI10" r:id="rId8" display="https://www.bseindia.com/corporates/ScripWiseCorpAction.aspx?scrip_cd=532891" xr:uid="{00000000-0004-0000-1200-000007000000}"/>
    <hyperlink ref="AI11" r:id="rId9" display="https://www.bseindia.com/corporates/ScripWiseCorpAction.aspx?scrip_cd=532891" xr:uid="{00000000-0004-0000-1200-000008000000}"/>
    <hyperlink ref="AI12" r:id="rId10" display="https://www.bseindia.com/corporates/ScripWiseCorpAction.aspx?scrip_cd=532891" xr:uid="{00000000-0004-0000-1200-000009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T1000"/>
  <sheetViews>
    <sheetView workbookViewId="0"/>
  </sheetViews>
  <sheetFormatPr defaultColWidth="12.59765625" defaultRowHeight="15" customHeight="1" x14ac:dyDescent="0.25"/>
  <cols>
    <col min="1" max="1" width="11.8984375" customWidth="1"/>
    <col min="2" max="2" width="18.5" customWidth="1"/>
    <col min="3" max="3" width="18.09765625" customWidth="1"/>
    <col min="4" max="4" width="17.19921875" customWidth="1"/>
    <col min="5" max="5" width="18.8984375" customWidth="1"/>
    <col min="6" max="6" width="14.09765625" customWidth="1"/>
    <col min="7" max="7" width="7.59765625" customWidth="1"/>
    <col min="8" max="8" width="11.8984375" customWidth="1"/>
    <col min="9" max="9" width="13.59765625" customWidth="1"/>
    <col min="10" max="10" width="11" customWidth="1"/>
    <col min="11" max="11" width="23.8984375" customWidth="1"/>
    <col min="12" max="12" width="15.3984375" customWidth="1"/>
    <col min="13" max="13" width="14.09765625" customWidth="1"/>
    <col min="14" max="15" width="7.59765625" customWidth="1"/>
    <col min="16" max="16" width="11.8984375" customWidth="1"/>
    <col min="17" max="17" width="18.5" customWidth="1"/>
    <col min="18" max="18" width="18.09765625" customWidth="1"/>
    <col min="19" max="19" width="17.19921875" customWidth="1"/>
    <col min="20" max="20" width="18.8984375" customWidth="1"/>
    <col min="21" max="26" width="7.59765625" customWidth="1"/>
  </cols>
  <sheetData>
    <row r="3" spans="1:20" ht="13.8" x14ac:dyDescent="0.25">
      <c r="B3" t="s">
        <v>191</v>
      </c>
    </row>
    <row r="4" spans="1:20" ht="13.8" x14ac:dyDescent="0.25">
      <c r="A4" t="s">
        <v>192</v>
      </c>
      <c r="B4" s="37" t="s">
        <v>193</v>
      </c>
      <c r="C4" s="37" t="s">
        <v>194</v>
      </c>
      <c r="D4" s="37" t="s">
        <v>195</v>
      </c>
      <c r="E4" s="37" t="s">
        <v>196</v>
      </c>
      <c r="H4" s="38" t="s">
        <v>197</v>
      </c>
      <c r="I4" s="38" t="s">
        <v>198</v>
      </c>
      <c r="J4" s="38" t="s">
        <v>199</v>
      </c>
      <c r="K4" s="38" t="s">
        <v>200</v>
      </c>
      <c r="L4" s="38" t="s">
        <v>201</v>
      </c>
      <c r="M4" s="38" t="s">
        <v>202</v>
      </c>
      <c r="P4" s="38" t="s">
        <v>197</v>
      </c>
      <c r="Q4" s="39" t="s">
        <v>203</v>
      </c>
      <c r="R4" s="39" t="s">
        <v>204</v>
      </c>
      <c r="S4" s="39" t="s">
        <v>205</v>
      </c>
      <c r="T4" s="39" t="s">
        <v>206</v>
      </c>
    </row>
    <row r="5" spans="1:20" ht="13.8" x14ac:dyDescent="0.25">
      <c r="A5" s="40" t="s">
        <v>207</v>
      </c>
      <c r="B5" s="41">
        <v>-1.0429968000118306E-2</v>
      </c>
      <c r="C5" s="41">
        <v>5.6059639711121267E-3</v>
      </c>
      <c r="D5" s="41">
        <v>-0.21568627450980393</v>
      </c>
      <c r="E5" s="41">
        <v>1.8860101171648269E-2</v>
      </c>
      <c r="H5" s="42" t="s">
        <v>12</v>
      </c>
      <c r="I5" s="43">
        <v>26613</v>
      </c>
      <c r="J5" s="43">
        <v>8169</v>
      </c>
      <c r="K5" s="43">
        <v>240.75</v>
      </c>
      <c r="L5" s="43">
        <v>24.607668662028797</v>
      </c>
      <c r="M5" s="43">
        <v>13.533923303834808</v>
      </c>
      <c r="P5" s="44" t="s">
        <v>208</v>
      </c>
      <c r="Q5" s="45">
        <v>0.50944658286149158</v>
      </c>
      <c r="R5" s="45">
        <v>0.57624081197503707</v>
      </c>
      <c r="S5" s="41">
        <v>9.6618357487923134E-3</v>
      </c>
      <c r="T5" s="46">
        <v>3.0567685589519833E-2</v>
      </c>
    </row>
    <row r="6" spans="1:20" ht="13.8" x14ac:dyDescent="0.25">
      <c r="A6" s="40" t="s">
        <v>81</v>
      </c>
      <c r="B6" s="41"/>
      <c r="C6" s="41"/>
      <c r="D6" s="41">
        <v>1.4</v>
      </c>
      <c r="E6" s="41">
        <v>-0.16666666666666663</v>
      </c>
      <c r="H6" s="42" t="s">
        <v>13</v>
      </c>
      <c r="I6" s="43">
        <v>32219</v>
      </c>
      <c r="J6" s="43">
        <v>2531</v>
      </c>
      <c r="K6" s="43">
        <v>12.594564303726534</v>
      </c>
      <c r="L6" s="43">
        <v>12.594564303726534</v>
      </c>
      <c r="M6" s="47">
        <v>2.3391866913123844</v>
      </c>
      <c r="P6" s="44" t="s">
        <v>26</v>
      </c>
      <c r="Q6" s="45">
        <v>0.5589567115155587</v>
      </c>
      <c r="R6" s="45">
        <v>0.47628000313604346</v>
      </c>
      <c r="S6" s="48">
        <v>-0.19999999999999996</v>
      </c>
      <c r="T6" s="48">
        <v>-0.51351351351351349</v>
      </c>
    </row>
    <row r="7" spans="1:20" ht="13.8" x14ac:dyDescent="0.25">
      <c r="A7" s="40" t="s">
        <v>127</v>
      </c>
      <c r="B7" s="41"/>
      <c r="C7" s="41"/>
      <c r="D7" s="41">
        <v>0.19</v>
      </c>
      <c r="E7" s="41">
        <v>0.14000000000000001</v>
      </c>
      <c r="H7" s="42" t="s">
        <v>26</v>
      </c>
      <c r="I7" s="43">
        <v>8911</v>
      </c>
      <c r="J7" s="43">
        <v>2411</v>
      </c>
      <c r="K7" s="47">
        <v>6.1111111111111107</v>
      </c>
      <c r="L7" s="43">
        <v>20</v>
      </c>
      <c r="M7" s="43">
        <v>16.513698630136986</v>
      </c>
      <c r="P7" s="44" t="s">
        <v>9</v>
      </c>
      <c r="Q7" s="46">
        <v>0.12525549969941574</v>
      </c>
      <c r="R7" s="45">
        <v>0.21689290364957681</v>
      </c>
      <c r="S7" s="48">
        <v>-7.1170084439083237E-2</v>
      </c>
      <c r="T7" s="45">
        <v>1.2324324324324323</v>
      </c>
    </row>
    <row r="8" spans="1:20" ht="13.8" x14ac:dyDescent="0.25">
      <c r="A8" s="40" t="s">
        <v>18</v>
      </c>
      <c r="B8" s="41"/>
      <c r="C8" s="41"/>
      <c r="D8" s="41">
        <v>-9.8039215686274161E-3</v>
      </c>
      <c r="E8" s="41">
        <v>1</v>
      </c>
      <c r="H8" s="49" t="s">
        <v>99</v>
      </c>
      <c r="I8" s="50">
        <v>1565</v>
      </c>
      <c r="J8" s="50">
        <v>362</v>
      </c>
      <c r="K8" s="47">
        <v>9</v>
      </c>
      <c r="L8" s="43">
        <v>33.157894736842103</v>
      </c>
      <c r="M8" s="47">
        <v>1.3844985501910065</v>
      </c>
      <c r="P8" s="44" t="s">
        <v>78</v>
      </c>
      <c r="Q8" s="45">
        <v>0.36399735622416629</v>
      </c>
      <c r="R8" s="45">
        <v>0.21009210047616711</v>
      </c>
      <c r="S8" s="45">
        <v>0.56957186544342497</v>
      </c>
      <c r="T8" s="45">
        <v>0.71428571428571419</v>
      </c>
    </row>
    <row r="9" spans="1:20" ht="13.8" x14ac:dyDescent="0.25">
      <c r="A9" s="40" t="s">
        <v>209</v>
      </c>
      <c r="B9" s="41"/>
      <c r="C9" s="41"/>
      <c r="D9" s="41">
        <v>1.0940170940170941</v>
      </c>
      <c r="E9" s="41">
        <v>-6.0606060606060552E-2</v>
      </c>
      <c r="H9" s="49" t="s">
        <v>78</v>
      </c>
      <c r="I9" s="50">
        <v>8804</v>
      </c>
      <c r="J9" s="50">
        <v>994</v>
      </c>
      <c r="K9" s="47">
        <v>8.5086206896551726</v>
      </c>
      <c r="L9" s="43">
        <v>21.237213833414515</v>
      </c>
      <c r="M9" s="47">
        <v>1.4638261366885903</v>
      </c>
      <c r="P9" s="44" t="s">
        <v>14</v>
      </c>
      <c r="Q9" s="45">
        <v>0.60261659160089098</v>
      </c>
      <c r="R9" s="45">
        <v>0.17493076096123406</v>
      </c>
      <c r="S9" s="45">
        <v>0.46744186046511627</v>
      </c>
      <c r="T9" s="45">
        <v>1.7222222222222223</v>
      </c>
    </row>
    <row r="10" spans="1:20" ht="13.8" x14ac:dyDescent="0.25">
      <c r="A10" s="40" t="s">
        <v>141</v>
      </c>
      <c r="B10" s="41"/>
      <c r="C10" s="41"/>
      <c r="D10" s="41"/>
      <c r="E10" s="41"/>
      <c r="H10" s="49" t="s">
        <v>22</v>
      </c>
      <c r="I10" s="50">
        <v>6539</v>
      </c>
      <c r="J10" s="50">
        <v>1187</v>
      </c>
      <c r="K10" s="47">
        <v>5.6521739130434785</v>
      </c>
      <c r="L10" s="43">
        <v>10.833333333333334</v>
      </c>
      <c r="M10" s="47">
        <v>2.309338521400778</v>
      </c>
      <c r="P10" s="44" t="s">
        <v>15</v>
      </c>
      <c r="Q10" s="45">
        <v>0.1616337663826477</v>
      </c>
      <c r="R10" s="45">
        <v>0.16343145007456394</v>
      </c>
      <c r="S10" s="41">
        <v>1.2711864406779627E-2</v>
      </c>
      <c r="T10" s="48">
        <v>-0.25396825396825395</v>
      </c>
    </row>
    <row r="11" spans="1:20" ht="13.8" x14ac:dyDescent="0.25">
      <c r="A11" s="40" t="s">
        <v>138</v>
      </c>
      <c r="B11" s="41"/>
      <c r="C11" s="41"/>
      <c r="D11" s="41"/>
      <c r="E11" s="41"/>
      <c r="H11" s="49" t="s">
        <v>207</v>
      </c>
      <c r="I11" s="43">
        <v>17620</v>
      </c>
      <c r="J11" s="50">
        <v>1172</v>
      </c>
      <c r="K11" s="47">
        <v>5.4714991023339268</v>
      </c>
      <c r="L11" s="47">
        <v>6.03</v>
      </c>
      <c r="M11" s="43">
        <v>6.4190924018510227</v>
      </c>
      <c r="P11" s="44" t="s">
        <v>12</v>
      </c>
      <c r="Q11" s="45">
        <v>0.15856487760960736</v>
      </c>
      <c r="R11" s="45">
        <v>0.13166602522931781</v>
      </c>
      <c r="S11" s="48">
        <v>-0.30969399151217336</v>
      </c>
      <c r="T11" s="48">
        <v>-0.50840336134453779</v>
      </c>
    </row>
    <row r="12" spans="1:20" ht="13.8" x14ac:dyDescent="0.25">
      <c r="A12" s="40" t="s">
        <v>80</v>
      </c>
      <c r="B12" s="41"/>
      <c r="C12" s="41"/>
      <c r="D12" s="41"/>
      <c r="E12" s="41"/>
      <c r="H12" s="49" t="s">
        <v>208</v>
      </c>
      <c r="I12" s="43">
        <v>18336</v>
      </c>
      <c r="J12" s="50">
        <v>973</v>
      </c>
      <c r="K12" s="47">
        <v>2.4666666666666668</v>
      </c>
      <c r="L12" s="47">
        <v>5.6459330143540667</v>
      </c>
      <c r="M12" s="47">
        <v>1.1718556701030929</v>
      </c>
      <c r="P12" s="44" t="s">
        <v>11</v>
      </c>
      <c r="Q12" s="45">
        <v>0.18219782721200017</v>
      </c>
      <c r="R12" s="45">
        <v>0.10174632832343744</v>
      </c>
      <c r="S12" s="45">
        <v>0.80322209436133485</v>
      </c>
      <c r="T12" s="48">
        <v>-4.6153846153846101E-2</v>
      </c>
    </row>
    <row r="13" spans="1:20" ht="13.8" x14ac:dyDescent="0.25">
      <c r="A13" s="40" t="s">
        <v>79</v>
      </c>
      <c r="B13" s="41">
        <v>0.14175202162113298</v>
      </c>
      <c r="C13" s="41">
        <v>7.3602930139149425E-2</v>
      </c>
      <c r="D13" s="41">
        <v>-0.52142857142857135</v>
      </c>
      <c r="E13" s="41">
        <v>-1.375</v>
      </c>
      <c r="H13" s="49" t="s">
        <v>14</v>
      </c>
      <c r="I13" s="43">
        <v>20667</v>
      </c>
      <c r="J13" s="43">
        <v>4617</v>
      </c>
      <c r="K13" s="47">
        <v>1.9655172413793103</v>
      </c>
      <c r="L13" s="43">
        <v>24.405705229793977</v>
      </c>
      <c r="M13" s="43">
        <v>8.3437377563014241</v>
      </c>
      <c r="P13" s="44" t="s">
        <v>13</v>
      </c>
      <c r="Q13" s="45">
        <v>0.4518685743848323</v>
      </c>
      <c r="R13" s="46">
        <v>8.4858695798749162E-2</v>
      </c>
      <c r="S13" s="48">
        <v>-0.33083341145589196</v>
      </c>
      <c r="T13" s="45">
        <v>1.620991253644315</v>
      </c>
    </row>
    <row r="14" spans="1:20" ht="13.8" x14ac:dyDescent="0.25">
      <c r="A14" s="40" t="s">
        <v>210</v>
      </c>
      <c r="B14" s="41"/>
      <c r="C14" s="41"/>
      <c r="D14" s="41"/>
      <c r="E14" s="41"/>
      <c r="H14" s="49" t="s">
        <v>16</v>
      </c>
      <c r="I14" s="43">
        <v>35156</v>
      </c>
      <c r="J14" s="43">
        <v>2971</v>
      </c>
      <c r="K14" s="47">
        <v>1.6904761904761905</v>
      </c>
      <c r="L14" s="47">
        <v>7.6278290025146687</v>
      </c>
      <c r="M14" s="47">
        <v>2.0453586497890295</v>
      </c>
      <c r="P14" s="44" t="s">
        <v>79</v>
      </c>
      <c r="Q14" s="45">
        <v>0.14175202162113298</v>
      </c>
      <c r="R14" s="46">
        <v>7.3602930139149425E-2</v>
      </c>
      <c r="S14" s="48">
        <v>-0.52142857142857135</v>
      </c>
      <c r="T14" s="48">
        <v>-1.375</v>
      </c>
    </row>
    <row r="15" spans="1:20" ht="13.8" x14ac:dyDescent="0.25">
      <c r="A15" s="40" t="s">
        <v>211</v>
      </c>
      <c r="B15" s="41"/>
      <c r="C15" s="41"/>
      <c r="D15" s="41">
        <v>-0.16279069767441856</v>
      </c>
      <c r="E15" s="41">
        <v>-0.6</v>
      </c>
      <c r="H15" s="49" t="s">
        <v>81</v>
      </c>
      <c r="I15" s="50">
        <v>4010</v>
      </c>
      <c r="J15" s="50">
        <v>747</v>
      </c>
      <c r="K15" s="51">
        <v>0.7</v>
      </c>
      <c r="L15" s="43">
        <v>10.729166666666666</v>
      </c>
      <c r="M15" s="47">
        <v>2.1042253521126759</v>
      </c>
      <c r="P15" s="52" t="s">
        <v>25</v>
      </c>
      <c r="Q15" s="45">
        <v>0.77439351275581259</v>
      </c>
      <c r="R15" s="48" t="s">
        <v>212</v>
      </c>
      <c r="S15" s="41">
        <v>4.0718562874251463E-2</v>
      </c>
      <c r="T15" s="48">
        <v>-3.1523809523809523</v>
      </c>
    </row>
    <row r="16" spans="1:20" ht="13.8" x14ac:dyDescent="0.25">
      <c r="A16" s="40" t="s">
        <v>15</v>
      </c>
      <c r="B16" s="41">
        <v>0.1616337663826477</v>
      </c>
      <c r="C16" s="41">
        <v>0.16343145007456394</v>
      </c>
      <c r="D16" s="41">
        <v>1.2711864406779627E-2</v>
      </c>
      <c r="E16" s="41">
        <v>-0.25396825396825395</v>
      </c>
      <c r="H16" s="49" t="s">
        <v>11</v>
      </c>
      <c r="I16" s="43">
        <v>52841</v>
      </c>
      <c r="J16" s="43">
        <v>4419</v>
      </c>
      <c r="K16" s="51">
        <v>0.63070539419087135</v>
      </c>
      <c r="L16" s="47">
        <v>7.9132099553286537</v>
      </c>
      <c r="M16" s="43">
        <v>11.784000000000001</v>
      </c>
      <c r="P16" s="52" t="s">
        <v>22</v>
      </c>
      <c r="Q16" s="46">
        <v>8.2415997211102709E-2</v>
      </c>
      <c r="R16" s="46">
        <v>4.5690969229823297E-2</v>
      </c>
      <c r="S16" s="48">
        <v>-0.31818181818181823</v>
      </c>
      <c r="T16" s="48">
        <v>-0.5185185185185186</v>
      </c>
    </row>
    <row r="17" spans="1:20" ht="13.8" x14ac:dyDescent="0.25">
      <c r="A17" s="40" t="s">
        <v>213</v>
      </c>
      <c r="B17" s="41"/>
      <c r="C17" s="41"/>
      <c r="D17" s="41"/>
      <c r="E17" s="41"/>
      <c r="H17" s="49" t="s">
        <v>18</v>
      </c>
      <c r="I17" s="50">
        <v>5238</v>
      </c>
      <c r="J17" s="50">
        <v>665</v>
      </c>
      <c r="K17" s="51">
        <v>0.61538461538461542</v>
      </c>
      <c r="L17" s="47">
        <v>7.9207920792079207</v>
      </c>
      <c r="M17" s="47">
        <v>1.1271186440677967</v>
      </c>
      <c r="P17" s="52" t="s">
        <v>16</v>
      </c>
      <c r="Q17" s="46">
        <v>0.1003228291474656</v>
      </c>
      <c r="R17" s="46">
        <v>3.9603419648759353E-2</v>
      </c>
      <c r="S17" s="45">
        <v>0.95573770491803289</v>
      </c>
      <c r="T17" s="45">
        <v>0.71698113207547176</v>
      </c>
    </row>
    <row r="18" spans="1:20" ht="13.8" x14ac:dyDescent="0.25">
      <c r="A18" s="40" t="s">
        <v>208</v>
      </c>
      <c r="B18" s="41">
        <v>0.50944658286149158</v>
      </c>
      <c r="C18" s="41">
        <v>0.57624081197503707</v>
      </c>
      <c r="D18" s="41">
        <v>9.6618357487923134E-3</v>
      </c>
      <c r="E18" s="41">
        <v>3.0567685589519833E-2</v>
      </c>
      <c r="H18" s="49" t="s">
        <v>9</v>
      </c>
      <c r="I18" s="43">
        <v>90294</v>
      </c>
      <c r="J18" s="43">
        <v>13108</v>
      </c>
      <c r="K18" s="51">
        <v>-0.25559701492537312</v>
      </c>
      <c r="L18" s="43">
        <v>26.800778715120053</v>
      </c>
      <c r="M18" s="43">
        <v>12.032320457476033</v>
      </c>
      <c r="P18" s="52" t="s">
        <v>207</v>
      </c>
      <c r="Q18" s="48">
        <v>-1.0429968000118306E-2</v>
      </c>
      <c r="R18" s="46">
        <v>5.6059639711121267E-3</v>
      </c>
      <c r="S18" s="48">
        <v>-0.21568627450980393</v>
      </c>
      <c r="T18" s="46">
        <v>1.8860101171648269E-2</v>
      </c>
    </row>
    <row r="19" spans="1:20" ht="13.8" x14ac:dyDescent="0.25">
      <c r="A19" s="40" t="s">
        <v>214</v>
      </c>
      <c r="B19" s="41"/>
      <c r="C19" s="41"/>
      <c r="D19" s="41">
        <v>-6.1403508771929793E-2</v>
      </c>
      <c r="E19" s="41">
        <v>-9.9999999999999978E-2</v>
      </c>
      <c r="H19" s="49" t="s">
        <v>79</v>
      </c>
      <c r="I19" s="50">
        <v>3506</v>
      </c>
      <c r="J19" s="50">
        <v>138</v>
      </c>
      <c r="K19" s="51">
        <v>-2.3529411764705883</v>
      </c>
      <c r="L19" s="47">
        <v>8.2089552238805972</v>
      </c>
      <c r="M19" s="47">
        <v>0.67317073170731712</v>
      </c>
      <c r="P19" s="52" t="s">
        <v>215</v>
      </c>
      <c r="Q19" s="45">
        <v>0.75356839665531328</v>
      </c>
      <c r="R19" s="48">
        <v>-3.6376502253658849E-2</v>
      </c>
      <c r="S19" s="45">
        <v>0.72923076923076913</v>
      </c>
      <c r="T19" s="45">
        <v>2.2222222222222223</v>
      </c>
    </row>
    <row r="20" spans="1:20" ht="13.8" x14ac:dyDescent="0.25">
      <c r="A20" s="40" t="s">
        <v>161</v>
      </c>
      <c r="B20" s="41"/>
      <c r="C20" s="41"/>
      <c r="D20" s="41"/>
      <c r="E20" s="41"/>
      <c r="H20" s="53" t="s">
        <v>216</v>
      </c>
      <c r="I20" s="50">
        <v>5319</v>
      </c>
      <c r="J20" s="50">
        <v>158</v>
      </c>
      <c r="K20" s="47">
        <v>3.2</v>
      </c>
      <c r="L20" s="47">
        <v>4.8076923076923075</v>
      </c>
      <c r="M20" s="51">
        <v>0.46064139941690962</v>
      </c>
      <c r="P20" s="52" t="s">
        <v>75</v>
      </c>
      <c r="Q20" s="46">
        <v>0.12157369742936996</v>
      </c>
      <c r="R20" s="48">
        <v>-4.3632645566450856E-2</v>
      </c>
      <c r="S20" s="45">
        <v>0.6354430379746836</v>
      </c>
      <c r="T20" s="45">
        <v>0.62962962962962954</v>
      </c>
    </row>
    <row r="21" spans="1:20" ht="15.75" customHeight="1" x14ac:dyDescent="0.25">
      <c r="A21" s="40" t="s">
        <v>20</v>
      </c>
      <c r="B21" s="41"/>
      <c r="C21" s="41"/>
      <c r="D21" s="41"/>
      <c r="E21" s="41"/>
      <c r="H21" s="53" t="s">
        <v>217</v>
      </c>
      <c r="I21" s="50">
        <v>5604</v>
      </c>
      <c r="J21" s="51">
        <v>53</v>
      </c>
      <c r="K21" s="51">
        <v>1</v>
      </c>
      <c r="L21" s="47">
        <v>4.2553191489361701</v>
      </c>
      <c r="M21" s="51">
        <v>2.9741863075196408E-2</v>
      </c>
      <c r="P21" s="52" t="s">
        <v>86</v>
      </c>
      <c r="Q21" s="46">
        <v>4.6830281900427817E-2</v>
      </c>
      <c r="R21" s="48">
        <v>-6.6878655698783596E-2</v>
      </c>
      <c r="S21" s="45">
        <v>0.96174863387978138</v>
      </c>
      <c r="T21" s="45">
        <v>0.66666666666666674</v>
      </c>
    </row>
    <row r="22" spans="1:20" ht="15.75" customHeight="1" x14ac:dyDescent="0.25">
      <c r="A22" s="40" t="s">
        <v>9</v>
      </c>
      <c r="B22" s="41">
        <v>0.12525549969941574</v>
      </c>
      <c r="C22" s="41">
        <v>0.21689290364957681</v>
      </c>
      <c r="D22" s="41">
        <v>-7.1170084439083237E-2</v>
      </c>
      <c r="E22" s="41">
        <v>1.2324324324324323</v>
      </c>
      <c r="H22" s="53" t="s">
        <v>15</v>
      </c>
      <c r="I22" s="43">
        <v>30273</v>
      </c>
      <c r="J22" s="43">
        <v>2819</v>
      </c>
      <c r="K22" s="51">
        <v>0.91249999999999998</v>
      </c>
      <c r="L22" s="47">
        <v>6.5550906555090656</v>
      </c>
      <c r="M22" s="47">
        <v>1.3266700962739766</v>
      </c>
      <c r="P22" s="52" t="s">
        <v>99</v>
      </c>
      <c r="Q22" s="46">
        <v>3.8680401547735555E-2</v>
      </c>
      <c r="R22" s="48">
        <v>-0.12511204463348602</v>
      </c>
      <c r="S22" s="48">
        <v>-9.5238095238095233E-2</v>
      </c>
      <c r="T22" s="46">
        <v>5.0000000000000044E-2</v>
      </c>
    </row>
    <row r="23" spans="1:20" ht="15.75" customHeight="1" x14ac:dyDescent="0.25">
      <c r="A23" s="40" t="s">
        <v>215</v>
      </c>
      <c r="B23" s="41">
        <v>0.75356839665531328</v>
      </c>
      <c r="C23" s="41">
        <v>-3.6376502253658849E-2</v>
      </c>
      <c r="D23" s="41">
        <v>0.72923076923076913</v>
      </c>
      <c r="E23" s="41">
        <v>2.2222222222222223</v>
      </c>
      <c r="H23" s="53" t="s">
        <v>25</v>
      </c>
      <c r="I23" s="43">
        <v>52229</v>
      </c>
      <c r="J23" s="43">
        <v>5043</v>
      </c>
      <c r="K23" s="51">
        <v>0.76100628930817615</v>
      </c>
      <c r="L23" s="51">
        <v>-26.006904487917147</v>
      </c>
      <c r="M23" s="51">
        <v>-11.940594059405941</v>
      </c>
      <c r="P23" s="52" t="s">
        <v>18</v>
      </c>
      <c r="Q23" s="41"/>
      <c r="R23" s="41"/>
      <c r="S23" s="48">
        <v>-9.8039215686274161E-3</v>
      </c>
      <c r="T23" s="45">
        <v>1</v>
      </c>
    </row>
    <row r="24" spans="1:20" ht="15.75" customHeight="1" x14ac:dyDescent="0.25">
      <c r="A24" s="40" t="s">
        <v>24</v>
      </c>
      <c r="B24" s="41"/>
      <c r="C24" s="41"/>
      <c r="D24" s="41"/>
      <c r="E24" s="41"/>
      <c r="H24" s="53" t="s">
        <v>75</v>
      </c>
      <c r="I24" s="43">
        <v>21267</v>
      </c>
      <c r="J24" s="50">
        <v>1144</v>
      </c>
      <c r="K24" s="51">
        <v>0.7415730337078652</v>
      </c>
      <c r="L24" s="47">
        <v>6.8111455108359129</v>
      </c>
      <c r="M24" s="47">
        <v>0.77065767284991571</v>
      </c>
      <c r="P24" s="54" t="s">
        <v>218</v>
      </c>
      <c r="Q24" s="48">
        <v>-7.908224459017632E-2</v>
      </c>
      <c r="R24" s="48">
        <v>-0.12726570489099542</v>
      </c>
      <c r="S24" s="48">
        <v>-0.43604651162790697</v>
      </c>
      <c r="T24" s="48">
        <v>-0.67999999999999994</v>
      </c>
    </row>
    <row r="25" spans="1:20" ht="15.75" customHeight="1" x14ac:dyDescent="0.25">
      <c r="A25" s="40" t="s">
        <v>99</v>
      </c>
      <c r="B25" s="41">
        <v>3.8680401547735555E-2</v>
      </c>
      <c r="C25" s="41">
        <v>-0.12511204463348602</v>
      </c>
      <c r="D25" s="41">
        <v>-9.5238095238095233E-2</v>
      </c>
      <c r="E25" s="41">
        <v>5.0000000000000044E-2</v>
      </c>
      <c r="H25" s="53" t="s">
        <v>86</v>
      </c>
      <c r="I25" s="43">
        <v>12002</v>
      </c>
      <c r="J25" s="50">
        <v>487</v>
      </c>
      <c r="K25" s="51">
        <v>0.4</v>
      </c>
      <c r="L25" s="47">
        <v>4.1782729805013927</v>
      </c>
      <c r="M25" s="51">
        <v>0.26626571897211593</v>
      </c>
      <c r="P25" s="54" t="s">
        <v>217</v>
      </c>
      <c r="Q25" s="41"/>
      <c r="R25" s="41"/>
      <c r="S25" s="48">
        <v>-1.3986013986013957E-2</v>
      </c>
      <c r="T25" s="45">
        <v>4</v>
      </c>
    </row>
    <row r="26" spans="1:20" ht="15.75" customHeight="1" x14ac:dyDescent="0.25">
      <c r="A26" s="40" t="s">
        <v>13</v>
      </c>
      <c r="B26" s="41">
        <v>0.4518685743848323</v>
      </c>
      <c r="C26" s="41">
        <v>8.4858695798749162E-2</v>
      </c>
      <c r="D26" s="41">
        <v>-0.33083341145589196</v>
      </c>
      <c r="E26" s="41">
        <v>1.620991253644315</v>
      </c>
      <c r="H26" s="53" t="s">
        <v>218</v>
      </c>
      <c r="I26" s="50">
        <v>7358</v>
      </c>
      <c r="J26" s="50">
        <v>1063</v>
      </c>
      <c r="K26" s="51">
        <v>0.16923076923076924</v>
      </c>
      <c r="L26" s="47">
        <v>8.2474226804123703</v>
      </c>
      <c r="M26" s="51">
        <v>0.22426160337552742</v>
      </c>
      <c r="P26" s="54" t="s">
        <v>216</v>
      </c>
      <c r="Q26" s="41"/>
      <c r="R26" s="41"/>
      <c r="S26" s="45">
        <v>0.39597315436241609</v>
      </c>
      <c r="T26" s="45">
        <v>0.4285714285714286</v>
      </c>
    </row>
    <row r="27" spans="1:20" ht="15.75" customHeight="1" x14ac:dyDescent="0.25">
      <c r="A27" s="40" t="s">
        <v>218</v>
      </c>
      <c r="B27" s="41">
        <v>-7.908224459017632E-2</v>
      </c>
      <c r="C27" s="41">
        <v>-0.12726570489099542</v>
      </c>
      <c r="D27" s="41">
        <v>-0.43604651162790697</v>
      </c>
      <c r="E27" s="41">
        <v>-0.67999999999999994</v>
      </c>
      <c r="H27" s="53" t="s">
        <v>215</v>
      </c>
      <c r="I27" s="50">
        <v>1967</v>
      </c>
      <c r="J27" s="51">
        <v>4.8</v>
      </c>
      <c r="K27" s="51">
        <v>2.4390243902439025E-2</v>
      </c>
      <c r="L27" s="51">
        <v>0.2440264361972547</v>
      </c>
      <c r="M27" s="51">
        <v>8.5867620751341675E-2</v>
      </c>
      <c r="P27" s="54" t="s">
        <v>127</v>
      </c>
      <c r="Q27" s="41"/>
      <c r="R27" s="41"/>
      <c r="S27" s="45">
        <v>0.19</v>
      </c>
      <c r="T27" s="45">
        <v>0.14000000000000001</v>
      </c>
    </row>
    <row r="28" spans="1:20" ht="15.75" customHeight="1" x14ac:dyDescent="0.25">
      <c r="A28" s="40" t="s">
        <v>95</v>
      </c>
      <c r="B28" s="41"/>
      <c r="C28" s="41"/>
      <c r="D28" s="41"/>
      <c r="E28" s="41"/>
      <c r="H28" s="53" t="s">
        <v>211</v>
      </c>
      <c r="I28" s="50">
        <v>7779</v>
      </c>
      <c r="J28" s="51">
        <v>-63</v>
      </c>
      <c r="K28" s="51">
        <v>-4.8192771084337352E-2</v>
      </c>
      <c r="L28" s="51">
        <v>-13.333333333333334</v>
      </c>
      <c r="M28" s="51">
        <v>-0.28000000000000003</v>
      </c>
      <c r="P28" s="54" t="s">
        <v>209</v>
      </c>
      <c r="Q28" s="41"/>
      <c r="R28" s="41"/>
      <c r="S28" s="45">
        <v>1.0940170940170941</v>
      </c>
      <c r="T28" s="48">
        <v>-6.0606060606060552E-2</v>
      </c>
    </row>
    <row r="29" spans="1:20" ht="15.75" customHeight="1" x14ac:dyDescent="0.25">
      <c r="A29" s="40" t="s">
        <v>25</v>
      </c>
      <c r="B29" s="41">
        <v>0.77439351275581259</v>
      </c>
      <c r="C29" s="41">
        <v>0.6773952920632087</v>
      </c>
      <c r="D29" s="41">
        <v>4.0718562874251463E-2</v>
      </c>
      <c r="E29" s="41">
        <v>-3.1523809523809523</v>
      </c>
      <c r="H29" s="53" t="s">
        <v>82</v>
      </c>
      <c r="I29" s="43">
        <v>13710</v>
      </c>
      <c r="J29" s="51">
        <v>-7929</v>
      </c>
      <c r="K29" s="51">
        <v>-8.8141025641025647E-2</v>
      </c>
      <c r="L29" s="51">
        <v>-35.331230283911673</v>
      </c>
      <c r="M29" s="51">
        <v>-1.5151920504490732</v>
      </c>
      <c r="P29" s="54" t="s">
        <v>214</v>
      </c>
      <c r="Q29" s="41"/>
      <c r="R29" s="41"/>
      <c r="S29" s="48">
        <v>-6.1403508771929793E-2</v>
      </c>
      <c r="T29" s="48">
        <v>-9.9999999999999978E-2</v>
      </c>
    </row>
    <row r="30" spans="1:20" ht="15.75" customHeight="1" x14ac:dyDescent="0.25">
      <c r="A30" s="40" t="s">
        <v>219</v>
      </c>
      <c r="B30" s="41"/>
      <c r="C30" s="41"/>
      <c r="D30" s="41"/>
      <c r="E30" s="41"/>
      <c r="H30" s="53" t="s">
        <v>214</v>
      </c>
      <c r="I30" s="50">
        <v>4973</v>
      </c>
      <c r="J30" s="51">
        <v>-756</v>
      </c>
      <c r="K30" s="51">
        <v>-0.65384615384615385</v>
      </c>
      <c r="L30" s="51">
        <v>-16.822429906542055</v>
      </c>
      <c r="M30" s="51">
        <v>-0.94855708908406522</v>
      </c>
      <c r="P30" s="54" t="s">
        <v>81</v>
      </c>
      <c r="Q30" s="41"/>
      <c r="R30" s="41"/>
      <c r="S30" s="45">
        <v>1.4</v>
      </c>
      <c r="T30" s="48">
        <v>-0.16666666666666663</v>
      </c>
    </row>
    <row r="31" spans="1:20" ht="15.75" customHeight="1" x14ac:dyDescent="0.25">
      <c r="A31" s="40" t="s">
        <v>78</v>
      </c>
      <c r="B31" s="41">
        <v>0.36399735622416629</v>
      </c>
      <c r="C31" s="41">
        <v>0.21009210047616711</v>
      </c>
      <c r="D31" s="41">
        <v>0.56957186544342497</v>
      </c>
      <c r="E31" s="41">
        <v>0.71428571428571419</v>
      </c>
      <c r="H31" s="53" t="s">
        <v>209</v>
      </c>
      <c r="I31" s="50">
        <v>8544</v>
      </c>
      <c r="J31" s="51">
        <v>-1402</v>
      </c>
      <c r="K31" s="51">
        <v>-0.73170731707317072</v>
      </c>
      <c r="L31" s="51">
        <v>-12.653061224489797</v>
      </c>
      <c r="M31" s="51">
        <v>-1.7814485387547649</v>
      </c>
      <c r="P31" s="54" t="s">
        <v>82</v>
      </c>
      <c r="Q31" s="41"/>
      <c r="R31" s="41"/>
      <c r="S31" s="45">
        <v>0.427927927927928</v>
      </c>
      <c r="T31" s="48">
        <v>-0.21</v>
      </c>
    </row>
    <row r="32" spans="1:20" ht="15.75" customHeight="1" x14ac:dyDescent="0.25">
      <c r="A32" s="40" t="s">
        <v>130</v>
      </c>
      <c r="B32" s="41"/>
      <c r="C32" s="41"/>
      <c r="D32" s="41"/>
      <c r="E32" s="41"/>
      <c r="H32" s="55"/>
      <c r="I32" s="50"/>
      <c r="J32" s="50"/>
      <c r="K32" s="50"/>
      <c r="L32" s="50"/>
      <c r="M32" s="50"/>
      <c r="P32" s="54" t="s">
        <v>211</v>
      </c>
      <c r="Q32" s="41"/>
      <c r="R32" s="41"/>
      <c r="S32" s="48">
        <v>-0.16279069767441856</v>
      </c>
      <c r="T32" s="48">
        <v>-0.6</v>
      </c>
    </row>
    <row r="33" spans="1:20" ht="15.75" customHeight="1" x14ac:dyDescent="0.25">
      <c r="A33" s="40" t="s">
        <v>22</v>
      </c>
      <c r="B33" s="41">
        <v>8.2415997211102709E-2</v>
      </c>
      <c r="C33" s="41">
        <v>4.5690969229823297E-2</v>
      </c>
      <c r="D33" s="41">
        <v>-0.31818181818181823</v>
      </c>
      <c r="E33" s="41">
        <v>-0.5185185185185186</v>
      </c>
      <c r="H33" s="38" t="s">
        <v>4</v>
      </c>
      <c r="I33" s="56">
        <v>503344</v>
      </c>
      <c r="J33" s="56">
        <v>45085.8</v>
      </c>
      <c r="K33" s="56">
        <v>11.082777559447276</v>
      </c>
      <c r="L33" s="56">
        <v>5.8764835274111968</v>
      </c>
      <c r="M33" s="56">
        <v>2.5905061382960772</v>
      </c>
      <c r="P33" s="40"/>
      <c r="Q33" s="41"/>
      <c r="R33" s="41"/>
      <c r="S33" s="41"/>
      <c r="T33" s="41"/>
    </row>
    <row r="34" spans="1:20" ht="15.75" customHeight="1" x14ac:dyDescent="0.25">
      <c r="A34" s="40" t="s">
        <v>83</v>
      </c>
      <c r="B34" s="41"/>
      <c r="C34" s="41"/>
      <c r="D34" s="41"/>
      <c r="E34" s="41"/>
      <c r="H34" s="40"/>
      <c r="I34" s="57"/>
      <c r="J34" s="57"/>
      <c r="K34" s="57"/>
      <c r="L34" s="57"/>
      <c r="M34" s="57"/>
      <c r="P34" s="58" t="s">
        <v>220</v>
      </c>
      <c r="Q34" s="59">
        <v>0.26760856385098297</v>
      </c>
      <c r="R34" s="59">
        <v>0.13572484745435814</v>
      </c>
      <c r="S34" s="59">
        <v>0.21239798232914534</v>
      </c>
      <c r="T34" s="59">
        <v>0.25029354697710432</v>
      </c>
    </row>
    <row r="35" spans="1:20" ht="15.75" customHeight="1" x14ac:dyDescent="0.25">
      <c r="A35" s="40" t="s">
        <v>221</v>
      </c>
      <c r="B35" s="41"/>
      <c r="C35" s="41"/>
      <c r="D35" s="41"/>
      <c r="E35" s="41"/>
      <c r="H35" s="40"/>
      <c r="I35" s="57"/>
      <c r="J35" s="57"/>
      <c r="K35" s="57"/>
      <c r="L35" s="57"/>
      <c r="M35" s="57"/>
      <c r="P35" s="40"/>
      <c r="Q35" s="41"/>
      <c r="R35" s="41"/>
      <c r="S35" s="41"/>
      <c r="T35" s="41"/>
    </row>
    <row r="36" spans="1:20" ht="15.75" customHeight="1" x14ac:dyDescent="0.25">
      <c r="A36" s="40" t="s">
        <v>222</v>
      </c>
      <c r="B36" s="41"/>
      <c r="C36" s="41"/>
      <c r="D36" s="41"/>
      <c r="E36" s="41"/>
      <c r="H36" s="40"/>
      <c r="I36" s="57"/>
      <c r="J36" s="57"/>
      <c r="K36" s="57"/>
      <c r="L36" s="57"/>
      <c r="M36" s="57"/>
      <c r="P36" s="40"/>
      <c r="Q36" s="41"/>
      <c r="R36" s="41"/>
      <c r="S36" s="41"/>
      <c r="T36" s="41"/>
    </row>
    <row r="37" spans="1:20" ht="15.75" customHeight="1" x14ac:dyDescent="0.25">
      <c r="A37" s="40" t="s">
        <v>12</v>
      </c>
      <c r="B37" s="41">
        <v>0.15856487760960736</v>
      </c>
      <c r="C37" s="41">
        <v>0.13166602522931781</v>
      </c>
      <c r="D37" s="41">
        <v>-0.30969399151217336</v>
      </c>
      <c r="E37" s="41">
        <v>-0.50840336134453779</v>
      </c>
      <c r="H37" s="40"/>
      <c r="I37" s="57"/>
      <c r="J37" s="57"/>
      <c r="K37" s="57"/>
      <c r="L37" s="57"/>
      <c r="M37" s="57"/>
      <c r="P37" s="40"/>
      <c r="Q37" s="41"/>
      <c r="R37" s="41"/>
      <c r="S37" s="41"/>
      <c r="T37" s="41"/>
    </row>
    <row r="38" spans="1:20" ht="15.75" customHeight="1" x14ac:dyDescent="0.25">
      <c r="A38" s="40" t="s">
        <v>86</v>
      </c>
      <c r="B38" s="41">
        <v>4.6830281900427817E-2</v>
      </c>
      <c r="C38" s="41">
        <v>-6.6878655698783596E-2</v>
      </c>
      <c r="D38" s="41">
        <v>0.96174863387978138</v>
      </c>
      <c r="E38" s="41">
        <v>0.66666666666666674</v>
      </c>
      <c r="H38" s="40"/>
      <c r="I38" s="57"/>
      <c r="J38" s="57"/>
      <c r="K38" s="57"/>
      <c r="L38" s="57"/>
      <c r="M38" s="57"/>
      <c r="P38" s="40"/>
      <c r="Q38" s="41"/>
      <c r="R38" s="41"/>
      <c r="S38" s="41"/>
      <c r="T38" s="41"/>
    </row>
    <row r="39" spans="1:20" ht="15.75" customHeight="1" x14ac:dyDescent="0.25">
      <c r="A39" s="40" t="s">
        <v>100</v>
      </c>
      <c r="B39" s="41"/>
      <c r="C39" s="41"/>
      <c r="D39" s="41"/>
      <c r="E39" s="41"/>
      <c r="H39" s="40"/>
      <c r="I39" s="57"/>
      <c r="J39" s="57"/>
      <c r="K39" s="57"/>
      <c r="L39" s="57"/>
      <c r="M39" s="57"/>
      <c r="P39" s="40"/>
      <c r="Q39" s="41"/>
      <c r="R39" s="41"/>
      <c r="S39" s="41"/>
      <c r="T39" s="41"/>
    </row>
    <row r="40" spans="1:20" ht="15.75" customHeight="1" x14ac:dyDescent="0.25">
      <c r="A40" s="40" t="s">
        <v>87</v>
      </c>
      <c r="B40" s="41"/>
      <c r="C40" s="41"/>
      <c r="D40" s="41"/>
      <c r="E40" s="41"/>
      <c r="H40" s="40"/>
      <c r="I40" s="57"/>
      <c r="J40" s="57"/>
      <c r="K40" s="57"/>
      <c r="L40" s="57"/>
      <c r="M40" s="57"/>
      <c r="P40" s="40"/>
      <c r="Q40" s="41"/>
      <c r="R40" s="41"/>
      <c r="S40" s="41"/>
      <c r="T40" s="41"/>
    </row>
    <row r="41" spans="1:20" ht="15.75" customHeight="1" x14ac:dyDescent="0.25">
      <c r="A41" s="40" t="s">
        <v>216</v>
      </c>
      <c r="B41" s="41"/>
      <c r="C41" s="41"/>
      <c r="D41" s="41">
        <v>0.39597315436241609</v>
      </c>
      <c r="E41" s="41">
        <v>0.4285714285714286</v>
      </c>
      <c r="H41" s="40"/>
      <c r="I41" s="57"/>
      <c r="J41" s="57"/>
      <c r="K41" s="57"/>
      <c r="L41" s="57"/>
      <c r="M41" s="57"/>
      <c r="P41" s="40"/>
      <c r="Q41" s="41"/>
      <c r="R41" s="41"/>
      <c r="S41" s="41"/>
      <c r="T41" s="41"/>
    </row>
    <row r="42" spans="1:20" ht="15.75" customHeight="1" x14ac:dyDescent="0.25">
      <c r="A42" s="40" t="s">
        <v>14</v>
      </c>
      <c r="B42" s="41">
        <v>0.60261659160089098</v>
      </c>
      <c r="C42" s="41">
        <v>0.17493076096123406</v>
      </c>
      <c r="D42" s="41">
        <v>0.46744186046511627</v>
      </c>
      <c r="E42" s="41">
        <v>1.7222222222222223</v>
      </c>
      <c r="H42" s="40"/>
      <c r="I42" s="57"/>
      <c r="J42" s="57"/>
      <c r="K42" s="57"/>
      <c r="L42" s="57"/>
      <c r="M42" s="57"/>
      <c r="P42" s="40"/>
      <c r="Q42" s="41"/>
      <c r="R42" s="41"/>
      <c r="S42" s="41"/>
      <c r="T42" s="41"/>
    </row>
    <row r="43" spans="1:20" ht="15.75" customHeight="1" x14ac:dyDescent="0.25">
      <c r="A43" s="40" t="s">
        <v>120</v>
      </c>
      <c r="B43" s="41"/>
      <c r="C43" s="41"/>
      <c r="D43" s="41"/>
      <c r="E43" s="41"/>
      <c r="H43" s="40"/>
      <c r="I43" s="57"/>
      <c r="J43" s="57"/>
      <c r="K43" s="57"/>
      <c r="L43" s="57"/>
      <c r="M43" s="57"/>
      <c r="P43" s="40"/>
      <c r="Q43" s="41"/>
      <c r="R43" s="41"/>
      <c r="S43" s="41"/>
      <c r="T43" s="41"/>
    </row>
    <row r="44" spans="1:20" ht="15.75" customHeight="1" x14ac:dyDescent="0.25">
      <c r="A44" s="40" t="s">
        <v>11</v>
      </c>
      <c r="B44" s="41">
        <v>0.18219782721200017</v>
      </c>
      <c r="C44" s="41">
        <v>0.10174632832343744</v>
      </c>
      <c r="D44" s="41">
        <v>0.80322209436133485</v>
      </c>
      <c r="E44" s="41">
        <v>-4.6153846153846101E-2</v>
      </c>
      <c r="H44" s="40"/>
      <c r="I44" s="57"/>
      <c r="J44" s="57"/>
      <c r="K44" s="57"/>
      <c r="L44" s="57"/>
      <c r="M44" s="57"/>
      <c r="P44" s="40"/>
      <c r="Q44" s="41"/>
      <c r="R44" s="41"/>
      <c r="S44" s="41"/>
      <c r="T44" s="41"/>
    </row>
    <row r="45" spans="1:20" ht="15.75" customHeight="1" x14ac:dyDescent="0.25">
      <c r="A45" s="40" t="s">
        <v>223</v>
      </c>
      <c r="B45" s="41"/>
      <c r="C45" s="41"/>
      <c r="D45" s="41"/>
      <c r="E45" s="41"/>
      <c r="H45" s="40"/>
      <c r="I45" s="57"/>
      <c r="J45" s="57"/>
      <c r="K45" s="57"/>
      <c r="L45" s="57"/>
      <c r="M45" s="57"/>
      <c r="P45" s="40"/>
      <c r="Q45" s="41"/>
      <c r="R45" s="41"/>
      <c r="S45" s="41"/>
      <c r="T45" s="41"/>
    </row>
    <row r="46" spans="1:20" ht="15.75" customHeight="1" x14ac:dyDescent="0.25">
      <c r="A46" s="40" t="s">
        <v>75</v>
      </c>
      <c r="B46" s="41">
        <v>0.12157369742936996</v>
      </c>
      <c r="C46" s="41">
        <v>-4.3632645566450856E-2</v>
      </c>
      <c r="D46" s="41">
        <v>0.6354430379746836</v>
      </c>
      <c r="E46" s="41">
        <v>0.62962962962962954</v>
      </c>
      <c r="H46" s="40"/>
      <c r="I46" s="57"/>
      <c r="J46" s="57"/>
      <c r="K46" s="57"/>
      <c r="L46" s="57"/>
      <c r="M46" s="57"/>
      <c r="P46" s="40"/>
      <c r="Q46" s="41"/>
      <c r="R46" s="41"/>
      <c r="S46" s="41"/>
      <c r="T46" s="41"/>
    </row>
    <row r="47" spans="1:20" ht="15.75" customHeight="1" x14ac:dyDescent="0.25">
      <c r="A47" s="40" t="s">
        <v>94</v>
      </c>
      <c r="B47" s="41"/>
      <c r="C47" s="41"/>
      <c r="D47" s="41"/>
      <c r="E47" s="41"/>
      <c r="H47" s="40"/>
      <c r="I47" s="57"/>
      <c r="J47" s="57"/>
      <c r="K47" s="57"/>
      <c r="L47" s="57"/>
      <c r="M47" s="57"/>
      <c r="P47" s="40"/>
      <c r="Q47" s="41"/>
      <c r="R47" s="41"/>
      <c r="S47" s="41"/>
      <c r="T47" s="41"/>
    </row>
    <row r="48" spans="1:20" ht="15.75" customHeight="1" x14ac:dyDescent="0.25">
      <c r="A48" s="40" t="s">
        <v>16</v>
      </c>
      <c r="B48" s="41">
        <v>0.1003228291474656</v>
      </c>
      <c r="C48" s="41">
        <v>3.9603419648759353E-2</v>
      </c>
      <c r="D48" s="41">
        <v>0.95573770491803289</v>
      </c>
      <c r="E48" s="41">
        <v>0.71698113207547176</v>
      </c>
      <c r="H48" s="40"/>
      <c r="I48" s="57"/>
      <c r="J48" s="57"/>
      <c r="K48" s="57"/>
      <c r="L48" s="57"/>
      <c r="M48" s="57"/>
      <c r="P48" s="40"/>
      <c r="Q48" s="41"/>
      <c r="R48" s="41"/>
      <c r="S48" s="41"/>
      <c r="T48" s="41"/>
    </row>
    <row r="49" spans="1:20" ht="15.75" customHeight="1" x14ac:dyDescent="0.25">
      <c r="A49" s="40" t="s">
        <v>26</v>
      </c>
      <c r="B49" s="41">
        <v>0.5589567115155587</v>
      </c>
      <c r="C49" s="41">
        <v>0.47628000313604346</v>
      </c>
      <c r="D49" s="41">
        <v>-0.19999999999999996</v>
      </c>
      <c r="E49" s="41">
        <v>-0.51351351351351349</v>
      </c>
      <c r="H49" s="40"/>
      <c r="I49" s="57"/>
      <c r="J49" s="57"/>
      <c r="K49" s="57"/>
      <c r="L49" s="57"/>
      <c r="M49" s="57"/>
      <c r="P49" s="40"/>
      <c r="Q49" s="41"/>
      <c r="R49" s="41"/>
      <c r="S49" s="41"/>
      <c r="T49" s="41"/>
    </row>
    <row r="50" spans="1:20" ht="15.75" customHeight="1" x14ac:dyDescent="0.25">
      <c r="A50" s="40" t="s">
        <v>224</v>
      </c>
      <c r="B50" s="41"/>
      <c r="C50" s="41"/>
      <c r="D50" s="41"/>
      <c r="E50" s="41"/>
      <c r="H50" s="40"/>
      <c r="I50" s="57"/>
      <c r="J50" s="57"/>
      <c r="K50" s="57"/>
      <c r="L50" s="57"/>
      <c r="M50" s="57"/>
      <c r="P50" s="40"/>
      <c r="Q50" s="41"/>
      <c r="R50" s="41"/>
      <c r="S50" s="41"/>
      <c r="T50" s="41"/>
    </row>
    <row r="51" spans="1:20" ht="15.75" customHeight="1" x14ac:dyDescent="0.25">
      <c r="A51" s="40" t="s">
        <v>225</v>
      </c>
      <c r="B51" s="41"/>
      <c r="C51" s="41"/>
      <c r="D51" s="41"/>
      <c r="E51" s="41"/>
      <c r="H51" s="40"/>
      <c r="I51" s="57"/>
      <c r="J51" s="57"/>
      <c r="K51" s="57"/>
      <c r="L51" s="57"/>
      <c r="M51" s="57"/>
      <c r="P51" s="40"/>
      <c r="Q51" s="41"/>
      <c r="R51" s="41"/>
      <c r="S51" s="41"/>
      <c r="T51" s="41"/>
    </row>
    <row r="52" spans="1:20" ht="15.75" customHeight="1" x14ac:dyDescent="0.25">
      <c r="A52" s="40" t="s">
        <v>226</v>
      </c>
      <c r="B52" s="41"/>
      <c r="C52" s="41"/>
      <c r="D52" s="41"/>
      <c r="E52" s="41"/>
      <c r="H52" s="40"/>
      <c r="I52" s="57"/>
      <c r="J52" s="57"/>
      <c r="K52" s="57"/>
      <c r="L52" s="57"/>
      <c r="M52" s="57"/>
      <c r="P52" s="40"/>
      <c r="Q52" s="41"/>
      <c r="R52" s="41"/>
      <c r="S52" s="41"/>
      <c r="T52" s="41"/>
    </row>
    <row r="53" spans="1:20" ht="15.75" customHeight="1" x14ac:dyDescent="0.25">
      <c r="A53" s="40" t="s">
        <v>82</v>
      </c>
      <c r="B53" s="41"/>
      <c r="C53" s="41"/>
      <c r="D53" s="41">
        <v>0.427927927927928</v>
      </c>
      <c r="E53" s="41">
        <v>-0.21</v>
      </c>
      <c r="H53" s="40"/>
      <c r="I53" s="57"/>
      <c r="J53" s="57"/>
      <c r="K53" s="57"/>
      <c r="L53" s="57"/>
      <c r="M53" s="57"/>
      <c r="P53" s="40"/>
      <c r="Q53" s="41"/>
      <c r="R53" s="41"/>
      <c r="S53" s="41"/>
      <c r="T53" s="41"/>
    </row>
    <row r="54" spans="1:20" ht="15.75" customHeight="1" x14ac:dyDescent="0.25">
      <c r="A54" s="40" t="s">
        <v>217</v>
      </c>
      <c r="B54" s="41"/>
      <c r="C54" s="41"/>
      <c r="D54" s="41">
        <v>-1.3986013986013957E-2</v>
      </c>
      <c r="E54" s="41">
        <v>4</v>
      </c>
      <c r="H54" s="40"/>
      <c r="I54" s="57"/>
      <c r="J54" s="57"/>
      <c r="K54" s="57"/>
      <c r="L54" s="57"/>
      <c r="M54" s="57"/>
      <c r="P54" s="40"/>
      <c r="Q54" s="41"/>
      <c r="R54" s="41"/>
      <c r="S54" s="41"/>
      <c r="T54" s="41"/>
    </row>
    <row r="55" spans="1:20" ht="15.75" customHeight="1" x14ac:dyDescent="0.25">
      <c r="A55" s="40" t="s">
        <v>187</v>
      </c>
      <c r="B55" s="41"/>
      <c r="C55" s="41"/>
      <c r="D55" s="41"/>
      <c r="E55" s="41"/>
      <c r="H55" s="40"/>
      <c r="I55" s="57"/>
      <c r="J55" s="57"/>
      <c r="K55" s="57"/>
      <c r="L55" s="57"/>
      <c r="M55" s="57"/>
      <c r="P55" s="40"/>
      <c r="Q55" s="41"/>
      <c r="R55" s="41"/>
      <c r="S55" s="41"/>
      <c r="T55" s="41"/>
    </row>
    <row r="56" spans="1:20" ht="15.75" customHeight="1" x14ac:dyDescent="0.25">
      <c r="A56" s="40" t="s">
        <v>227</v>
      </c>
      <c r="B56" s="41"/>
      <c r="C56" s="41"/>
      <c r="D56" s="41"/>
      <c r="E56" s="41"/>
      <c r="H56" s="40"/>
      <c r="I56" s="57"/>
      <c r="J56" s="57"/>
      <c r="K56" s="57"/>
      <c r="L56" s="57"/>
      <c r="M56" s="57"/>
      <c r="P56" s="40"/>
      <c r="Q56" s="41"/>
      <c r="R56" s="41"/>
      <c r="S56" s="41"/>
      <c r="T56" s="41"/>
    </row>
    <row r="57" spans="1:20" ht="15.75" customHeight="1" x14ac:dyDescent="0.25">
      <c r="A57" s="40" t="s">
        <v>105</v>
      </c>
      <c r="B57" s="41"/>
      <c r="C57" s="41"/>
      <c r="D57" s="41"/>
      <c r="E57" s="41"/>
      <c r="H57" s="40"/>
      <c r="I57" s="57"/>
      <c r="J57" s="57"/>
      <c r="K57" s="57"/>
      <c r="L57" s="57"/>
      <c r="M57" s="57"/>
      <c r="P57" s="40"/>
      <c r="Q57" s="41"/>
      <c r="R57" s="41"/>
      <c r="S57" s="41"/>
      <c r="T57" s="41"/>
    </row>
    <row r="58" spans="1:20" ht="15.75" customHeight="1" x14ac:dyDescent="0.25">
      <c r="A58" s="40" t="s">
        <v>228</v>
      </c>
      <c r="B58" s="41"/>
      <c r="C58" s="41"/>
      <c r="D58" s="41"/>
      <c r="E58" s="41"/>
      <c r="H58" s="40"/>
      <c r="I58" s="57"/>
      <c r="J58" s="57"/>
      <c r="K58" s="57"/>
      <c r="L58" s="57"/>
      <c r="M58" s="57"/>
      <c r="P58" s="40"/>
      <c r="Q58" s="41"/>
      <c r="R58" s="41"/>
      <c r="S58" s="41"/>
      <c r="T58" s="41"/>
    </row>
    <row r="59" spans="1:20" ht="15.75" customHeight="1" x14ac:dyDescent="0.25">
      <c r="A59" s="40" t="s">
        <v>229</v>
      </c>
      <c r="B59" s="41"/>
      <c r="C59" s="41"/>
      <c r="D59" s="41"/>
      <c r="E59" s="41"/>
      <c r="H59" s="40"/>
      <c r="I59" s="57"/>
      <c r="J59" s="57"/>
      <c r="K59" s="57"/>
      <c r="L59" s="57"/>
      <c r="M59" s="57"/>
      <c r="P59" s="40"/>
      <c r="Q59" s="41"/>
      <c r="R59" s="41"/>
      <c r="S59" s="41"/>
      <c r="T59" s="41"/>
    </row>
    <row r="60" spans="1:20" ht="15.75" customHeight="1" x14ac:dyDescent="0.25">
      <c r="A60" s="40" t="s">
        <v>220</v>
      </c>
      <c r="B60" s="41">
        <v>0.26760856385098297</v>
      </c>
      <c r="C60" s="41">
        <v>0.13572484745435814</v>
      </c>
      <c r="D60" s="41">
        <v>0.21239798232914534</v>
      </c>
      <c r="E60" s="41">
        <v>0.25029354697710432</v>
      </c>
      <c r="I60" s="57"/>
      <c r="J60" s="57"/>
      <c r="K60" s="57"/>
      <c r="L60" s="57"/>
      <c r="M60" s="57"/>
    </row>
    <row r="61" spans="1:20" ht="15.75" customHeight="1" x14ac:dyDescent="0.25"/>
    <row r="62" spans="1:20" ht="15.75" customHeight="1" x14ac:dyDescent="0.25"/>
    <row r="63" spans="1:20" ht="15.75" customHeight="1" x14ac:dyDescent="0.25"/>
    <row r="64" spans="1:20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BC1000"/>
  <sheetViews>
    <sheetView workbookViewId="0"/>
  </sheetViews>
  <sheetFormatPr defaultColWidth="12.59765625" defaultRowHeight="15" customHeight="1" x14ac:dyDescent="0.25"/>
  <cols>
    <col min="1" max="1" width="7.59765625" customWidth="1"/>
    <col min="2" max="2" width="57.59765625" customWidth="1"/>
    <col min="3" max="3" width="17.09765625" customWidth="1"/>
    <col min="4" max="4" width="61.5" customWidth="1"/>
    <col min="5" max="5" width="17.09765625" customWidth="1"/>
    <col min="6" max="6" width="83" customWidth="1"/>
    <col min="7" max="7" width="17.09765625" customWidth="1"/>
    <col min="8" max="8" width="37.8984375" customWidth="1"/>
    <col min="9" max="9" width="17.09765625" customWidth="1"/>
    <col min="10" max="12" width="11.69921875" customWidth="1"/>
    <col min="13" max="13" width="37.8984375" customWidth="1"/>
    <col min="14" max="14" width="17.09765625" customWidth="1"/>
    <col min="15" max="16" width="10.19921875" customWidth="1"/>
    <col min="17" max="17" width="8.59765625" customWidth="1"/>
    <col min="18" max="18" width="37.3984375" customWidth="1"/>
    <col min="19" max="19" width="17.09765625" customWidth="1"/>
    <col min="20" max="22" width="8.59765625" customWidth="1"/>
    <col min="23" max="55" width="7.59765625" customWidth="1"/>
  </cols>
  <sheetData>
    <row r="2" spans="2:55" ht="36" x14ac:dyDescent="0.25">
      <c r="B2" s="37" t="s">
        <v>629</v>
      </c>
      <c r="C2" s="37">
        <v>2018</v>
      </c>
      <c r="D2" s="37">
        <v>2017</v>
      </c>
      <c r="E2" s="37">
        <v>2016</v>
      </c>
      <c r="F2" s="37">
        <v>2015</v>
      </c>
      <c r="G2" s="37">
        <v>2014</v>
      </c>
      <c r="H2" s="37" t="s">
        <v>288</v>
      </c>
      <c r="I2" s="164">
        <v>41364</v>
      </c>
      <c r="J2" s="164">
        <v>40999</v>
      </c>
      <c r="K2" s="164">
        <v>40633</v>
      </c>
      <c r="L2" s="164">
        <v>40268</v>
      </c>
      <c r="M2" s="37" t="s">
        <v>288</v>
      </c>
      <c r="N2" s="164">
        <v>39538</v>
      </c>
      <c r="O2" s="164">
        <v>39172</v>
      </c>
      <c r="P2" s="164">
        <v>38807</v>
      </c>
      <c r="Q2" s="164">
        <v>38442</v>
      </c>
      <c r="R2" s="37" t="s">
        <v>287</v>
      </c>
      <c r="S2" s="164">
        <v>37712</v>
      </c>
      <c r="T2" s="164">
        <v>37347</v>
      </c>
      <c r="U2" s="164">
        <v>36982</v>
      </c>
      <c r="V2" s="164">
        <v>36617</v>
      </c>
      <c r="Z2" s="37" t="s">
        <v>266</v>
      </c>
      <c r="AA2" s="37" t="s">
        <v>267</v>
      </c>
      <c r="AB2" s="37" t="s">
        <v>268</v>
      </c>
      <c r="AC2" s="37" t="s">
        <v>269</v>
      </c>
      <c r="AD2" s="37" t="s">
        <v>270</v>
      </c>
      <c r="AE2" s="37" t="s">
        <v>271</v>
      </c>
      <c r="AF2" s="37" t="s">
        <v>272</v>
      </c>
      <c r="AG2" s="37" t="s">
        <v>273</v>
      </c>
      <c r="AH2" s="37" t="s">
        <v>274</v>
      </c>
      <c r="AI2" s="37" t="s">
        <v>275</v>
      </c>
      <c r="AJ2" s="37" t="s">
        <v>276</v>
      </c>
      <c r="AK2" s="37" t="s">
        <v>277</v>
      </c>
      <c r="AL2" s="37" t="s">
        <v>278</v>
      </c>
      <c r="AO2" s="140" t="s">
        <v>393</v>
      </c>
      <c r="AP2" s="140" t="s">
        <v>5</v>
      </c>
      <c r="AQ2" s="140" t="s">
        <v>279</v>
      </c>
      <c r="AR2" s="140" t="s">
        <v>280</v>
      </c>
      <c r="AS2" s="140" t="s">
        <v>281</v>
      </c>
      <c r="AT2" s="140" t="s">
        <v>282</v>
      </c>
      <c r="AU2" s="140" t="s">
        <v>283</v>
      </c>
      <c r="AV2" s="140" t="s">
        <v>284</v>
      </c>
      <c r="AW2" s="140" t="s">
        <v>285</v>
      </c>
      <c r="AX2" s="141" t="s">
        <v>286</v>
      </c>
    </row>
    <row r="3" spans="2:55" ht="35.4" x14ac:dyDescent="0.3">
      <c r="B3" s="37" t="s">
        <v>429</v>
      </c>
      <c r="H3" s="37" t="s">
        <v>292</v>
      </c>
      <c r="I3" s="37">
        <v>12</v>
      </c>
      <c r="J3" s="37">
        <v>12</v>
      </c>
      <c r="K3" s="37">
        <v>12</v>
      </c>
      <c r="L3" s="37">
        <v>12</v>
      </c>
      <c r="M3" s="37" t="s">
        <v>292</v>
      </c>
      <c r="N3" s="37">
        <v>12</v>
      </c>
      <c r="O3" s="37">
        <v>12</v>
      </c>
      <c r="P3" s="37">
        <v>12</v>
      </c>
      <c r="Q3" s="37">
        <v>12</v>
      </c>
      <c r="R3" s="37" t="s">
        <v>291</v>
      </c>
      <c r="S3" s="164">
        <v>38077</v>
      </c>
      <c r="T3" s="164">
        <v>37711</v>
      </c>
      <c r="U3" s="164">
        <v>37346</v>
      </c>
      <c r="V3" s="164">
        <v>36981</v>
      </c>
      <c r="Z3" s="37">
        <v>1995</v>
      </c>
      <c r="AA3" s="37">
        <v>237</v>
      </c>
      <c r="AB3" s="37">
        <v>823</v>
      </c>
      <c r="AC3" s="37">
        <v>237</v>
      </c>
      <c r="AD3" s="37">
        <v>380</v>
      </c>
      <c r="AE3" s="37">
        <v>2320</v>
      </c>
      <c r="AF3" s="37">
        <v>257</v>
      </c>
      <c r="AG3" s="37">
        <v>1385428</v>
      </c>
      <c r="AJ3" s="37">
        <v>586</v>
      </c>
      <c r="AK3" s="37">
        <v>143</v>
      </c>
      <c r="AL3" s="37" t="s">
        <v>453</v>
      </c>
      <c r="AO3" s="144">
        <v>503100</v>
      </c>
      <c r="AP3" s="145" t="s">
        <v>14</v>
      </c>
      <c r="AQ3" s="147"/>
      <c r="AR3" s="145" t="s">
        <v>630</v>
      </c>
      <c r="AS3" s="147" t="s">
        <v>289</v>
      </c>
      <c r="AT3" s="146">
        <v>38619</v>
      </c>
      <c r="AU3" s="146">
        <v>38622</v>
      </c>
      <c r="AV3" s="146">
        <v>38614</v>
      </c>
      <c r="AW3" s="146">
        <v>38617</v>
      </c>
      <c r="AX3" s="147" t="s">
        <v>289</v>
      </c>
      <c r="AY3" s="145" t="s">
        <v>454</v>
      </c>
      <c r="AZ3" s="37" t="s">
        <v>289</v>
      </c>
      <c r="BA3" s="37">
        <v>100</v>
      </c>
      <c r="BB3" s="37">
        <v>1</v>
      </c>
      <c r="BC3" s="37">
        <f t="shared" ref="BC3:BC16" si="0">BB3*BA3</f>
        <v>100</v>
      </c>
    </row>
    <row r="4" spans="2:55" ht="35.4" x14ac:dyDescent="0.3">
      <c r="B4" s="37" t="s">
        <v>243</v>
      </c>
      <c r="C4" s="165">
        <v>3972.11</v>
      </c>
      <c r="D4" s="165">
        <v>3759.05</v>
      </c>
      <c r="E4" s="165">
        <v>3557.9</v>
      </c>
      <c r="F4" s="165">
        <v>3154.54</v>
      </c>
      <c r="G4" s="165">
        <v>2948.02</v>
      </c>
      <c r="H4" s="37" t="s">
        <v>293</v>
      </c>
      <c r="I4" s="37" t="s">
        <v>295</v>
      </c>
      <c r="M4" s="37" t="s">
        <v>293</v>
      </c>
      <c r="N4" s="37" t="s">
        <v>295</v>
      </c>
      <c r="R4" s="37" t="s">
        <v>293</v>
      </c>
      <c r="S4" s="37" t="s">
        <v>295</v>
      </c>
      <c r="Z4" s="37">
        <v>1996</v>
      </c>
      <c r="AA4" s="37">
        <v>310</v>
      </c>
      <c r="AB4" s="37">
        <v>440</v>
      </c>
      <c r="AC4" s="37">
        <v>135</v>
      </c>
      <c r="AD4" s="37">
        <v>150</v>
      </c>
      <c r="AE4" s="37">
        <v>1612</v>
      </c>
      <c r="AF4" s="37">
        <v>182</v>
      </c>
      <c r="AG4" s="37">
        <v>513342</v>
      </c>
      <c r="AJ4" s="37">
        <v>305</v>
      </c>
      <c r="AK4" s="37">
        <v>-160</v>
      </c>
      <c r="AL4" s="37" t="s">
        <v>453</v>
      </c>
      <c r="AO4" s="144">
        <v>503100</v>
      </c>
      <c r="AP4" s="145" t="s">
        <v>14</v>
      </c>
      <c r="AQ4" s="147"/>
      <c r="AR4" s="145" t="s">
        <v>631</v>
      </c>
      <c r="AS4" s="147" t="s">
        <v>289</v>
      </c>
      <c r="AT4" s="146">
        <v>38969</v>
      </c>
      <c r="AU4" s="146">
        <v>38976</v>
      </c>
      <c r="AV4" s="146">
        <v>38964</v>
      </c>
      <c r="AW4" s="146">
        <v>38967</v>
      </c>
      <c r="AX4" s="147" t="s">
        <v>289</v>
      </c>
      <c r="AY4" s="145" t="s">
        <v>454</v>
      </c>
      <c r="AZ4" s="37" t="s">
        <v>289</v>
      </c>
      <c r="BA4" s="37">
        <v>2</v>
      </c>
      <c r="BB4" s="37">
        <v>50</v>
      </c>
      <c r="BC4" s="37">
        <f t="shared" si="0"/>
        <v>100</v>
      </c>
    </row>
    <row r="5" spans="2:55" ht="35.4" x14ac:dyDescent="0.3">
      <c r="B5" s="37" t="s">
        <v>299</v>
      </c>
      <c r="C5" s="37">
        <v>526.79999999999995</v>
      </c>
      <c r="D5" s="37">
        <v>550.74</v>
      </c>
      <c r="E5" s="37">
        <v>990.26</v>
      </c>
      <c r="F5" s="37">
        <v>967.37</v>
      </c>
      <c r="G5" s="37">
        <v>799.97</v>
      </c>
      <c r="H5" s="37" t="s">
        <v>298</v>
      </c>
      <c r="I5" s="165">
        <v>2706.01</v>
      </c>
      <c r="J5" s="165">
        <v>1980.75</v>
      </c>
      <c r="K5" s="165">
        <v>1765.19</v>
      </c>
      <c r="L5" s="165">
        <v>1157.72</v>
      </c>
      <c r="M5" s="37" t="s">
        <v>298</v>
      </c>
      <c r="N5" s="165">
        <v>1987.79</v>
      </c>
      <c r="O5" s="37">
        <v>617.36</v>
      </c>
      <c r="P5" s="37">
        <v>551.14</v>
      </c>
      <c r="Q5" s="37">
        <v>17.48</v>
      </c>
      <c r="R5" s="37" t="s">
        <v>297</v>
      </c>
      <c r="S5" s="37">
        <v>76.290000000000006</v>
      </c>
      <c r="T5" s="37">
        <v>63.11</v>
      </c>
      <c r="U5" s="37">
        <v>69.52</v>
      </c>
      <c r="V5" s="37">
        <v>74.25</v>
      </c>
      <c r="Z5" s="37">
        <v>1997</v>
      </c>
      <c r="AA5" s="37">
        <v>160.5</v>
      </c>
      <c r="AB5" s="37">
        <v>295</v>
      </c>
      <c r="AC5" s="37">
        <v>160.5</v>
      </c>
      <c r="AD5" s="37">
        <v>260</v>
      </c>
      <c r="AE5" s="37">
        <v>409</v>
      </c>
      <c r="AF5" s="37">
        <v>54</v>
      </c>
      <c r="AG5" s="37">
        <v>88129</v>
      </c>
      <c r="AJ5" s="37">
        <v>134.5</v>
      </c>
      <c r="AK5" s="37">
        <v>99.5</v>
      </c>
      <c r="AL5" s="37" t="s">
        <v>453</v>
      </c>
      <c r="AO5" s="144">
        <v>503100</v>
      </c>
      <c r="AP5" s="145" t="s">
        <v>14</v>
      </c>
      <c r="AQ5" s="146">
        <v>39380</v>
      </c>
      <c r="AR5" s="145" t="s">
        <v>632</v>
      </c>
      <c r="AS5" s="147" t="s">
        <v>289</v>
      </c>
      <c r="AT5" s="146">
        <v>39384</v>
      </c>
      <c r="AU5" s="146">
        <v>39391</v>
      </c>
      <c r="AV5" s="146">
        <v>39377</v>
      </c>
      <c r="AW5" s="146">
        <v>39381</v>
      </c>
      <c r="AX5" s="147" t="s">
        <v>289</v>
      </c>
      <c r="AY5" s="145" t="s">
        <v>454</v>
      </c>
      <c r="AZ5" s="37" t="s">
        <v>289</v>
      </c>
      <c r="BA5" s="37">
        <v>3</v>
      </c>
      <c r="BB5" s="37">
        <v>50</v>
      </c>
      <c r="BC5" s="37">
        <f t="shared" si="0"/>
        <v>150</v>
      </c>
    </row>
    <row r="6" spans="2:55" ht="46.8" x14ac:dyDescent="0.3">
      <c r="B6" s="37" t="s">
        <v>301</v>
      </c>
      <c r="C6" s="165">
        <v>4498.91</v>
      </c>
      <c r="D6" s="165">
        <v>4309.79</v>
      </c>
      <c r="E6" s="165">
        <v>4548.16</v>
      </c>
      <c r="F6" s="165">
        <v>4121.91</v>
      </c>
      <c r="G6" s="165">
        <v>3747.99</v>
      </c>
      <c r="H6" s="37" t="s">
        <v>299</v>
      </c>
      <c r="I6" s="37">
        <v>565.28</v>
      </c>
      <c r="J6" s="37">
        <v>457.02</v>
      </c>
      <c r="K6" s="37">
        <v>323.26</v>
      </c>
      <c r="L6" s="37">
        <v>240.24</v>
      </c>
      <c r="M6" s="37" t="s">
        <v>299</v>
      </c>
      <c r="N6" s="37">
        <v>286.60000000000002</v>
      </c>
      <c r="O6" s="37">
        <v>20.13</v>
      </c>
      <c r="P6" s="37">
        <v>20.100000000000001</v>
      </c>
      <c r="Q6" s="37">
        <v>414.83</v>
      </c>
      <c r="R6" s="37" t="s">
        <v>299</v>
      </c>
      <c r="S6" s="37">
        <v>343.36</v>
      </c>
      <c r="T6" s="37">
        <v>265.36</v>
      </c>
      <c r="U6" s="37">
        <v>172.5</v>
      </c>
      <c r="V6" s="37">
        <v>167.3</v>
      </c>
      <c r="Z6" s="37">
        <v>1998</v>
      </c>
      <c r="AA6" s="37">
        <v>270</v>
      </c>
      <c r="AB6" s="37">
        <v>270</v>
      </c>
      <c r="AC6" s="37">
        <v>128.1</v>
      </c>
      <c r="AD6" s="37">
        <v>160</v>
      </c>
      <c r="AE6" s="37">
        <v>145</v>
      </c>
      <c r="AF6" s="37">
        <v>26</v>
      </c>
      <c r="AG6" s="37">
        <v>27339</v>
      </c>
      <c r="AJ6" s="37">
        <v>141.9</v>
      </c>
      <c r="AK6" s="37">
        <v>-110</v>
      </c>
      <c r="AL6" s="37" t="s">
        <v>453</v>
      </c>
      <c r="AO6" s="144">
        <v>503100</v>
      </c>
      <c r="AP6" s="145" t="s">
        <v>14</v>
      </c>
      <c r="AQ6" s="146">
        <v>39703</v>
      </c>
      <c r="AR6" s="145" t="s">
        <v>633</v>
      </c>
      <c r="AS6" s="147" t="s">
        <v>289</v>
      </c>
      <c r="AT6" s="146">
        <v>39707</v>
      </c>
      <c r="AU6" s="146">
        <v>39714</v>
      </c>
      <c r="AV6" s="146">
        <v>39700</v>
      </c>
      <c r="AW6" s="146">
        <v>39706</v>
      </c>
      <c r="AX6" s="147" t="s">
        <v>289</v>
      </c>
      <c r="AY6" s="145" t="s">
        <v>475</v>
      </c>
      <c r="AZ6" s="37" t="s">
        <v>289</v>
      </c>
      <c r="BA6" s="37">
        <v>1</v>
      </c>
      <c r="BB6" s="37">
        <v>50</v>
      </c>
      <c r="BC6" s="37">
        <f t="shared" si="0"/>
        <v>50</v>
      </c>
    </row>
    <row r="7" spans="2:55" ht="46.8" x14ac:dyDescent="0.3">
      <c r="B7" s="37" t="s">
        <v>303</v>
      </c>
      <c r="C7" s="165">
        <v>-2194.84</v>
      </c>
      <c r="D7" s="165">
        <v>-2383.7800000000002</v>
      </c>
      <c r="E7" s="165">
        <v>-1439.55</v>
      </c>
      <c r="F7" s="165">
        <v>-1966.04</v>
      </c>
      <c r="G7" s="165">
        <v>-1017.27</v>
      </c>
      <c r="H7" s="37" t="s">
        <v>303</v>
      </c>
      <c r="I7" s="37">
        <v>-920.52</v>
      </c>
      <c r="J7" s="37">
        <v>-580.14</v>
      </c>
      <c r="K7" s="37">
        <v>-511.79</v>
      </c>
      <c r="L7" s="37">
        <v>-411.5</v>
      </c>
      <c r="M7" s="37" t="s">
        <v>301</v>
      </c>
      <c r="N7" s="165">
        <v>2274.38</v>
      </c>
      <c r="O7" s="37">
        <v>637.49</v>
      </c>
      <c r="P7" s="37">
        <v>571.24</v>
      </c>
      <c r="Q7" s="37">
        <v>432.31</v>
      </c>
      <c r="R7" s="37" t="s">
        <v>301</v>
      </c>
      <c r="S7" s="37">
        <v>419.66</v>
      </c>
      <c r="T7" s="37">
        <v>328.47</v>
      </c>
      <c r="U7" s="37">
        <v>242.03</v>
      </c>
      <c r="V7" s="37">
        <v>241.55</v>
      </c>
      <c r="Z7" s="37">
        <v>1999</v>
      </c>
      <c r="AA7" s="37">
        <v>158</v>
      </c>
      <c r="AB7" s="37">
        <v>475.75</v>
      </c>
      <c r="AC7" s="37">
        <v>155</v>
      </c>
      <c r="AD7" s="37">
        <v>475.75</v>
      </c>
      <c r="AE7" s="37">
        <v>1260</v>
      </c>
      <c r="AF7" s="37">
        <v>113</v>
      </c>
      <c r="AG7" s="37">
        <v>375320</v>
      </c>
      <c r="AJ7" s="37">
        <v>320.75</v>
      </c>
      <c r="AK7" s="37">
        <v>317.75</v>
      </c>
      <c r="AL7" s="37" t="s">
        <v>453</v>
      </c>
      <c r="AO7" s="144">
        <v>503100</v>
      </c>
      <c r="AP7" s="145" t="s">
        <v>14</v>
      </c>
      <c r="AQ7" s="146">
        <v>40067</v>
      </c>
      <c r="AR7" s="145" t="s">
        <v>633</v>
      </c>
      <c r="AS7" s="147" t="s">
        <v>289</v>
      </c>
      <c r="AT7" s="146">
        <v>40071</v>
      </c>
      <c r="AU7" s="146">
        <v>40078</v>
      </c>
      <c r="AV7" s="146">
        <v>40064</v>
      </c>
      <c r="AW7" s="146">
        <v>40070</v>
      </c>
      <c r="AX7" s="147" t="s">
        <v>289</v>
      </c>
      <c r="AY7" s="145" t="s">
        <v>475</v>
      </c>
      <c r="AZ7" s="37" t="s">
        <v>289</v>
      </c>
      <c r="BA7" s="37">
        <v>1</v>
      </c>
      <c r="BB7" s="37">
        <v>50</v>
      </c>
      <c r="BC7" s="37">
        <f t="shared" si="0"/>
        <v>50</v>
      </c>
    </row>
    <row r="8" spans="2:55" ht="46.8" x14ac:dyDescent="0.3">
      <c r="B8" s="37" t="s">
        <v>304</v>
      </c>
      <c r="C8" s="37">
        <v>-744.95</v>
      </c>
      <c r="D8" s="37">
        <v>-812.72</v>
      </c>
      <c r="E8" s="37">
        <v>-687.85</v>
      </c>
      <c r="F8" s="37">
        <v>-706.66</v>
      </c>
      <c r="G8" s="37">
        <v>-444.09</v>
      </c>
      <c r="H8" s="37" t="s">
        <v>304</v>
      </c>
      <c r="I8" s="37">
        <v>-264.95999999999998</v>
      </c>
      <c r="J8" s="37">
        <v>-165.45</v>
      </c>
      <c r="K8" s="37">
        <v>-85.52</v>
      </c>
      <c r="L8" s="37">
        <v>-85.53</v>
      </c>
      <c r="M8" s="37" t="s">
        <v>303</v>
      </c>
      <c r="N8" s="37">
        <v>-333.99</v>
      </c>
      <c r="O8" s="37">
        <v>-281.86</v>
      </c>
      <c r="P8" s="37">
        <v>-254.36</v>
      </c>
      <c r="Q8" s="37">
        <v>-217.49</v>
      </c>
      <c r="R8" s="37" t="s">
        <v>303</v>
      </c>
      <c r="S8" s="37">
        <v>-230.16</v>
      </c>
      <c r="T8" s="37">
        <v>-205.23</v>
      </c>
      <c r="U8" s="37">
        <v>-190.81</v>
      </c>
      <c r="V8" s="37">
        <v>-210.53</v>
      </c>
      <c r="Z8" s="37">
        <v>2000</v>
      </c>
      <c r="AA8" s="37">
        <v>485.25</v>
      </c>
      <c r="AB8" s="37">
        <v>1417.75</v>
      </c>
      <c r="AC8" s="37">
        <v>485.25</v>
      </c>
      <c r="AD8" s="37">
        <v>1070</v>
      </c>
      <c r="AE8" s="37">
        <v>3452</v>
      </c>
      <c r="AF8" s="37">
        <v>435</v>
      </c>
      <c r="AG8" s="37">
        <v>3123955</v>
      </c>
      <c r="AJ8" s="37">
        <v>932.5</v>
      </c>
      <c r="AK8" s="37">
        <v>584.75</v>
      </c>
      <c r="AL8" s="37" t="s">
        <v>453</v>
      </c>
      <c r="AO8" s="144">
        <v>503100</v>
      </c>
      <c r="AP8" s="145" t="s">
        <v>14</v>
      </c>
      <c r="AQ8" s="146">
        <v>40438</v>
      </c>
      <c r="AR8" s="145" t="s">
        <v>634</v>
      </c>
      <c r="AS8" s="147" t="s">
        <v>289</v>
      </c>
      <c r="AT8" s="146">
        <v>40442</v>
      </c>
      <c r="AU8" s="146">
        <v>40449</v>
      </c>
      <c r="AV8" s="146">
        <v>40435</v>
      </c>
      <c r="AW8" s="146">
        <v>40441</v>
      </c>
      <c r="AX8" s="147" t="s">
        <v>289</v>
      </c>
      <c r="AY8" s="145" t="s">
        <v>475</v>
      </c>
      <c r="AZ8" s="37" t="s">
        <v>289</v>
      </c>
      <c r="BA8" s="37">
        <v>1.2</v>
      </c>
      <c r="BB8" s="37">
        <v>50</v>
      </c>
      <c r="BC8" s="37">
        <f t="shared" si="0"/>
        <v>60</v>
      </c>
    </row>
    <row r="9" spans="2:55" ht="46.8" x14ac:dyDescent="0.3">
      <c r="B9" s="37" t="s">
        <v>431</v>
      </c>
      <c r="C9" s="165">
        <v>2304.0700000000002</v>
      </c>
      <c r="D9" s="165">
        <v>1926.01</v>
      </c>
      <c r="E9" s="165">
        <v>2420.7600000000002</v>
      </c>
      <c r="F9" s="165">
        <v>1449.21</v>
      </c>
      <c r="G9" s="165">
        <v>2286.64</v>
      </c>
      <c r="H9" s="37" t="s">
        <v>308</v>
      </c>
      <c r="I9" s="165">
        <v>2085.81</v>
      </c>
      <c r="J9" s="165">
        <v>1692.18</v>
      </c>
      <c r="K9" s="165">
        <v>1491.14</v>
      </c>
      <c r="L9" s="37">
        <v>900.93</v>
      </c>
      <c r="M9" s="37" t="s">
        <v>309</v>
      </c>
      <c r="N9" s="165">
        <v>1940.39</v>
      </c>
      <c r="O9" s="37">
        <v>355.63</v>
      </c>
      <c r="P9" s="37">
        <v>316.88</v>
      </c>
      <c r="Q9" s="37">
        <v>214.82</v>
      </c>
      <c r="R9" s="37" t="s">
        <v>309</v>
      </c>
      <c r="S9" s="37">
        <v>189.49</v>
      </c>
      <c r="T9" s="37">
        <v>123.23</v>
      </c>
      <c r="U9" s="37">
        <v>51.22</v>
      </c>
      <c r="V9" s="37">
        <v>31.02</v>
      </c>
      <c r="Z9" s="37">
        <v>2000</v>
      </c>
      <c r="AA9" s="37">
        <v>984.45</v>
      </c>
      <c r="AB9" s="37">
        <v>984.45</v>
      </c>
      <c r="AC9" s="37">
        <v>386.7</v>
      </c>
      <c r="AD9" s="37">
        <v>525</v>
      </c>
      <c r="AE9" s="37">
        <v>309</v>
      </c>
      <c r="AF9" s="37">
        <v>75</v>
      </c>
      <c r="AG9" s="37">
        <v>152937</v>
      </c>
      <c r="AJ9" s="37">
        <v>597.75</v>
      </c>
      <c r="AK9" s="37">
        <v>-459.45</v>
      </c>
      <c r="AO9" s="144">
        <v>503100</v>
      </c>
      <c r="AP9" s="145" t="s">
        <v>14</v>
      </c>
      <c r="AQ9" s="146">
        <v>40795</v>
      </c>
      <c r="AR9" s="145" t="s">
        <v>635</v>
      </c>
      <c r="AS9" s="147" t="s">
        <v>289</v>
      </c>
      <c r="AT9" s="146">
        <v>40799</v>
      </c>
      <c r="AU9" s="146">
        <v>40806</v>
      </c>
      <c r="AV9" s="146">
        <v>40792</v>
      </c>
      <c r="AW9" s="146">
        <v>40798</v>
      </c>
      <c r="AX9" s="147" t="s">
        <v>289</v>
      </c>
      <c r="AY9" s="145" t="s">
        <v>475</v>
      </c>
      <c r="AZ9" s="37" t="s">
        <v>289</v>
      </c>
      <c r="BA9" s="37">
        <v>1.8</v>
      </c>
      <c r="BB9" s="37">
        <v>50</v>
      </c>
      <c r="BC9" s="37">
        <f t="shared" si="0"/>
        <v>90</v>
      </c>
    </row>
    <row r="10" spans="2:55" ht="35.4" x14ac:dyDescent="0.3">
      <c r="B10" s="37" t="s">
        <v>312</v>
      </c>
      <c r="C10" s="37">
        <v>-402.94</v>
      </c>
      <c r="D10" s="37">
        <v>-300.66000000000003</v>
      </c>
      <c r="E10" s="37">
        <v>-293.14999999999998</v>
      </c>
      <c r="F10" s="37">
        <v>-310.49</v>
      </c>
      <c r="G10" s="37">
        <v>-254.38</v>
      </c>
      <c r="H10" s="37" t="s">
        <v>312</v>
      </c>
      <c r="I10" s="37">
        <v>-275.39999999999998</v>
      </c>
      <c r="J10" s="37">
        <v>-282.94</v>
      </c>
      <c r="K10" s="37">
        <v>-277.26</v>
      </c>
      <c r="L10" s="37">
        <v>-160.47</v>
      </c>
      <c r="M10" s="37" t="s">
        <v>304</v>
      </c>
      <c r="N10" s="37">
        <v>-41.72</v>
      </c>
      <c r="O10" s="37">
        <v>-37.76</v>
      </c>
      <c r="P10" s="37">
        <v>-43.34</v>
      </c>
      <c r="Q10" s="37">
        <v>-29.2</v>
      </c>
      <c r="R10" s="37" t="s">
        <v>304</v>
      </c>
      <c r="S10" s="37">
        <v>-24.45</v>
      </c>
      <c r="T10" s="37">
        <v>-53.21</v>
      </c>
      <c r="U10" s="37">
        <v>-36.409999999999997</v>
      </c>
      <c r="V10" s="37">
        <v>-39.85</v>
      </c>
      <c r="Z10" s="37">
        <v>2001</v>
      </c>
      <c r="AA10" s="37">
        <v>564</v>
      </c>
      <c r="AB10" s="37">
        <v>649.9</v>
      </c>
      <c r="AC10" s="37">
        <v>241</v>
      </c>
      <c r="AD10" s="37">
        <v>241</v>
      </c>
      <c r="AE10" s="37">
        <v>781</v>
      </c>
      <c r="AF10" s="37">
        <v>101</v>
      </c>
      <c r="AG10" s="37">
        <v>403336</v>
      </c>
      <c r="AJ10" s="37">
        <v>408.9</v>
      </c>
      <c r="AK10" s="37">
        <v>-323</v>
      </c>
      <c r="AO10" s="144">
        <v>503100</v>
      </c>
      <c r="AP10" s="145" t="s">
        <v>14</v>
      </c>
      <c r="AQ10" s="146">
        <v>41131</v>
      </c>
      <c r="AR10" s="145" t="s">
        <v>631</v>
      </c>
      <c r="AS10" s="147" t="s">
        <v>289</v>
      </c>
      <c r="AT10" s="146">
        <v>41135</v>
      </c>
      <c r="AU10" s="146">
        <v>41142</v>
      </c>
      <c r="AV10" s="146">
        <v>41128</v>
      </c>
      <c r="AW10" s="146">
        <v>41134</v>
      </c>
      <c r="AX10" s="147" t="s">
        <v>289</v>
      </c>
      <c r="AY10" s="145" t="s">
        <v>454</v>
      </c>
      <c r="AZ10" s="37" t="s">
        <v>289</v>
      </c>
      <c r="BA10" s="37">
        <v>2</v>
      </c>
      <c r="BB10" s="37">
        <v>50</v>
      </c>
      <c r="BC10" s="37">
        <f t="shared" si="0"/>
        <v>100</v>
      </c>
    </row>
    <row r="11" spans="2:55" ht="35.4" x14ac:dyDescent="0.3">
      <c r="B11" s="37" t="s">
        <v>432</v>
      </c>
      <c r="C11" s="165">
        <v>1901.13</v>
      </c>
      <c r="D11" s="165">
        <v>1625.35</v>
      </c>
      <c r="E11" s="165">
        <v>2127.61</v>
      </c>
      <c r="F11" s="165">
        <v>1138.72</v>
      </c>
      <c r="G11" s="165">
        <v>2032.26</v>
      </c>
      <c r="H11" s="37" t="s">
        <v>315</v>
      </c>
      <c r="I11" s="165">
        <v>1810.41</v>
      </c>
      <c r="J11" s="165">
        <v>1409.24</v>
      </c>
      <c r="K11" s="165">
        <v>1213.8900000000001</v>
      </c>
      <c r="L11" s="37">
        <v>740.46</v>
      </c>
      <c r="M11" s="37" t="s">
        <v>308</v>
      </c>
      <c r="N11" s="165">
        <v>1898.67</v>
      </c>
      <c r="O11" s="37">
        <v>317.87</v>
      </c>
      <c r="P11" s="37">
        <v>273.54000000000002</v>
      </c>
      <c r="Q11" s="37">
        <v>185.63</v>
      </c>
      <c r="R11" s="37" t="s">
        <v>316</v>
      </c>
      <c r="S11" s="37">
        <v>165.04</v>
      </c>
      <c r="T11" s="37">
        <v>70.02</v>
      </c>
      <c r="U11" s="37">
        <v>14.8</v>
      </c>
      <c r="V11" s="37">
        <v>-8.83</v>
      </c>
      <c r="Z11" s="37">
        <v>2002</v>
      </c>
      <c r="AA11" s="37">
        <v>235</v>
      </c>
      <c r="AB11" s="37">
        <v>691.8</v>
      </c>
      <c r="AC11" s="37">
        <v>194</v>
      </c>
      <c r="AD11" s="37">
        <v>473.55</v>
      </c>
      <c r="AE11" s="37">
        <v>3402</v>
      </c>
      <c r="AF11" s="37">
        <v>444</v>
      </c>
      <c r="AG11" s="37">
        <v>1391311</v>
      </c>
      <c r="AJ11" s="37">
        <v>497.8</v>
      </c>
      <c r="AK11" s="37">
        <v>238.55</v>
      </c>
      <c r="AO11" s="144">
        <v>503100</v>
      </c>
      <c r="AP11" s="145" t="s">
        <v>14</v>
      </c>
      <c r="AQ11" s="146">
        <v>41498</v>
      </c>
      <c r="AR11" s="145" t="s">
        <v>636</v>
      </c>
      <c r="AS11" s="147" t="s">
        <v>289</v>
      </c>
      <c r="AT11" s="146">
        <v>41500</v>
      </c>
      <c r="AU11" s="146">
        <v>41507</v>
      </c>
      <c r="AV11" s="146">
        <v>41492</v>
      </c>
      <c r="AW11" s="146">
        <v>41499</v>
      </c>
      <c r="AX11" s="147" t="s">
        <v>289</v>
      </c>
      <c r="AY11" s="145" t="s">
        <v>454</v>
      </c>
      <c r="AZ11" s="37" t="s">
        <v>289</v>
      </c>
      <c r="BA11" s="37">
        <v>2.2000000000000002</v>
      </c>
      <c r="BB11" s="37">
        <v>50</v>
      </c>
      <c r="BC11" s="37">
        <f t="shared" si="0"/>
        <v>110.00000000000001</v>
      </c>
    </row>
    <row r="12" spans="2:55" ht="35.4" x14ac:dyDescent="0.3">
      <c r="B12" s="37" t="s">
        <v>318</v>
      </c>
      <c r="C12" s="37">
        <v>-352.81</v>
      </c>
      <c r="D12" s="37">
        <v>-289.88</v>
      </c>
      <c r="E12" s="37">
        <v>-618.69000000000005</v>
      </c>
      <c r="F12" s="37">
        <v>-520.20000000000005</v>
      </c>
      <c r="G12" s="37">
        <v>-506.71</v>
      </c>
      <c r="H12" s="37" t="s">
        <v>318</v>
      </c>
      <c r="I12" s="37">
        <v>-471.61</v>
      </c>
      <c r="J12" s="37">
        <v>-355.82</v>
      </c>
      <c r="K12" s="37">
        <v>-297.38</v>
      </c>
      <c r="L12" s="37">
        <v>-141.54</v>
      </c>
      <c r="M12" s="37" t="s">
        <v>312</v>
      </c>
      <c r="N12" s="37">
        <v>-72.67</v>
      </c>
      <c r="O12" s="37">
        <v>-68.5</v>
      </c>
      <c r="P12" s="37">
        <v>-46.83</v>
      </c>
      <c r="Q12" s="37">
        <v>-21.5</v>
      </c>
      <c r="R12" s="37" t="s">
        <v>312</v>
      </c>
      <c r="S12" s="37">
        <v>-27.98</v>
      </c>
      <c r="T12" s="37">
        <v>-17.600000000000001</v>
      </c>
      <c r="U12" s="37">
        <v>-8.8000000000000007</v>
      </c>
      <c r="V12" s="37">
        <v>-8.11</v>
      </c>
      <c r="Z12" s="37">
        <v>2003</v>
      </c>
      <c r="AA12" s="37">
        <v>497</v>
      </c>
      <c r="AB12" s="37">
        <v>4209.8999999999996</v>
      </c>
      <c r="AC12" s="37">
        <v>371</v>
      </c>
      <c r="AD12" s="37">
        <v>2699.75</v>
      </c>
      <c r="AE12" s="37">
        <v>22076</v>
      </c>
      <c r="AF12" s="37">
        <v>987</v>
      </c>
      <c r="AG12" s="37">
        <v>26812854</v>
      </c>
      <c r="AJ12" s="37">
        <v>3838.9</v>
      </c>
      <c r="AK12" s="37">
        <v>2202.75</v>
      </c>
      <c r="AO12" s="144">
        <v>503100</v>
      </c>
      <c r="AP12" s="145" t="s">
        <v>14</v>
      </c>
      <c r="AQ12" s="146">
        <v>41864</v>
      </c>
      <c r="AR12" s="145" t="s">
        <v>636</v>
      </c>
      <c r="AS12" s="147" t="s">
        <v>289</v>
      </c>
      <c r="AT12" s="146">
        <v>41870</v>
      </c>
      <c r="AU12" s="146">
        <v>41877</v>
      </c>
      <c r="AV12" s="146">
        <v>41862</v>
      </c>
      <c r="AW12" s="146">
        <v>41869</v>
      </c>
      <c r="AX12" s="147" t="s">
        <v>289</v>
      </c>
      <c r="AY12" s="145" t="s">
        <v>454</v>
      </c>
      <c r="AZ12" s="37" t="s">
        <v>289</v>
      </c>
      <c r="BA12" s="37">
        <v>2.2000000000000002</v>
      </c>
      <c r="BB12" s="37">
        <v>50</v>
      </c>
      <c r="BC12" s="37">
        <f t="shared" si="0"/>
        <v>110.00000000000001</v>
      </c>
    </row>
    <row r="13" spans="2:55" ht="35.4" x14ac:dyDescent="0.3">
      <c r="B13" s="37" t="s">
        <v>320</v>
      </c>
      <c r="C13" s="165">
        <v>1548.32</v>
      </c>
      <c r="D13" s="165">
        <v>1335.48</v>
      </c>
      <c r="E13" s="165">
        <v>1508.93</v>
      </c>
      <c r="F13" s="37">
        <v>618.52</v>
      </c>
      <c r="G13" s="165">
        <v>1525.55</v>
      </c>
      <c r="H13" s="37" t="s">
        <v>320</v>
      </c>
      <c r="I13" s="165">
        <v>1338.79</v>
      </c>
      <c r="J13" s="165">
        <v>1053.42</v>
      </c>
      <c r="K13" s="37">
        <v>916.52</v>
      </c>
      <c r="L13" s="37">
        <v>598.91999999999996</v>
      </c>
      <c r="M13" s="37" t="s">
        <v>315</v>
      </c>
      <c r="N13" s="165">
        <v>1826.01</v>
      </c>
      <c r="O13" s="37">
        <v>249.37</v>
      </c>
      <c r="P13" s="37">
        <v>226.71</v>
      </c>
      <c r="Q13" s="37">
        <v>164.13</v>
      </c>
      <c r="R13" s="37" t="s">
        <v>315</v>
      </c>
      <c r="S13" s="37">
        <v>137.06</v>
      </c>
      <c r="T13" s="37">
        <v>52.42</v>
      </c>
      <c r="U13" s="37">
        <v>6</v>
      </c>
      <c r="V13" s="37">
        <v>-16.940000000000001</v>
      </c>
      <c r="Y13" s="195"/>
      <c r="Z13" s="37">
        <v>2004</v>
      </c>
      <c r="AA13" s="37">
        <v>2753.7</v>
      </c>
      <c r="AB13" s="37">
        <v>4499.8999999999996</v>
      </c>
      <c r="AC13" s="37">
        <v>955</v>
      </c>
      <c r="AD13" s="37">
        <v>4130.8500000000004</v>
      </c>
      <c r="AE13" s="37">
        <v>11354</v>
      </c>
      <c r="AF13" s="37">
        <v>2822</v>
      </c>
      <c r="AG13" s="37">
        <v>30615560</v>
      </c>
      <c r="AH13" s="37">
        <v>3821</v>
      </c>
      <c r="AI13" s="37">
        <v>33.65</v>
      </c>
      <c r="AJ13" s="37">
        <v>3544.9</v>
      </c>
      <c r="AK13" s="37">
        <v>1377.15</v>
      </c>
      <c r="AO13" s="144">
        <v>503100</v>
      </c>
      <c r="AP13" s="145" t="s">
        <v>14</v>
      </c>
      <c r="AQ13" s="146">
        <v>42249</v>
      </c>
      <c r="AR13" s="145" t="s">
        <v>636</v>
      </c>
      <c r="AS13" s="147" t="s">
        <v>289</v>
      </c>
      <c r="AT13" s="146">
        <v>42251</v>
      </c>
      <c r="AU13" s="146">
        <v>42256</v>
      </c>
      <c r="AV13" s="146">
        <v>42244</v>
      </c>
      <c r="AW13" s="146">
        <v>42250</v>
      </c>
      <c r="AX13" s="147" t="s">
        <v>289</v>
      </c>
      <c r="AY13" s="145" t="s">
        <v>454</v>
      </c>
      <c r="AZ13" s="37" t="s">
        <v>289</v>
      </c>
      <c r="BA13" s="37">
        <v>2.2000000000000002</v>
      </c>
      <c r="BB13" s="37">
        <v>50</v>
      </c>
      <c r="BC13" s="37">
        <f t="shared" si="0"/>
        <v>110.00000000000001</v>
      </c>
    </row>
    <row r="14" spans="2:55" ht="46.8" x14ac:dyDescent="0.3">
      <c r="B14" s="37" t="s">
        <v>244</v>
      </c>
      <c r="C14" s="37">
        <v>306.27999999999997</v>
      </c>
      <c r="D14" s="37">
        <v>306.13</v>
      </c>
      <c r="E14" s="37">
        <v>305.98</v>
      </c>
      <c r="F14" s="37">
        <v>289.91000000000003</v>
      </c>
      <c r="G14" s="37">
        <v>289.69</v>
      </c>
      <c r="H14" s="37" t="s">
        <v>323</v>
      </c>
      <c r="I14" s="37">
        <v>289.69</v>
      </c>
      <c r="J14" s="37">
        <v>289.69</v>
      </c>
      <c r="K14" s="37">
        <v>289.69</v>
      </c>
      <c r="L14" s="37">
        <v>289.69</v>
      </c>
      <c r="M14" s="37" t="s">
        <v>318</v>
      </c>
      <c r="N14" s="37">
        <v>-160.08000000000001</v>
      </c>
      <c r="O14" s="37">
        <v>-212.5</v>
      </c>
      <c r="P14" s="37">
        <v>-59.96</v>
      </c>
      <c r="Q14" s="37">
        <v>-30</v>
      </c>
      <c r="R14" s="37" t="s">
        <v>318</v>
      </c>
      <c r="S14" s="37">
        <v>-40.75</v>
      </c>
      <c r="T14" s="37">
        <v>0</v>
      </c>
      <c r="U14" s="37">
        <v>0</v>
      </c>
      <c r="V14" s="37">
        <v>0</v>
      </c>
      <c r="Y14" s="37">
        <v>50</v>
      </c>
      <c r="Z14" s="37">
        <v>2005</v>
      </c>
      <c r="AA14" s="37">
        <v>4001.2</v>
      </c>
      <c r="AB14" s="37">
        <v>37536.25</v>
      </c>
      <c r="AC14" s="37">
        <v>701.7</v>
      </c>
      <c r="AD14" s="37">
        <v>907.45</v>
      </c>
      <c r="AE14" s="37">
        <v>100612</v>
      </c>
      <c r="AF14" s="37">
        <v>8750</v>
      </c>
      <c r="AG14" s="37">
        <v>771588613</v>
      </c>
      <c r="AH14" s="37">
        <v>84321</v>
      </c>
      <c r="AI14" s="37">
        <v>83.81</v>
      </c>
      <c r="AJ14" s="37">
        <v>36834.550000000003</v>
      </c>
      <c r="AK14" s="37">
        <v>-3093.75</v>
      </c>
      <c r="AO14" s="144">
        <v>503100</v>
      </c>
      <c r="AP14" s="145" t="s">
        <v>14</v>
      </c>
      <c r="AQ14" s="146">
        <v>42446</v>
      </c>
      <c r="AR14" s="145" t="s">
        <v>637</v>
      </c>
      <c r="AS14" s="146">
        <v>42448</v>
      </c>
      <c r="AT14" s="147"/>
      <c r="AU14" s="147"/>
      <c r="AV14" s="146">
        <v>42443</v>
      </c>
      <c r="AW14" s="146">
        <v>42446</v>
      </c>
      <c r="AX14" s="147" t="s">
        <v>289</v>
      </c>
      <c r="AY14" s="145" t="s">
        <v>459</v>
      </c>
      <c r="BA14" s="37">
        <v>1.75</v>
      </c>
      <c r="BB14" s="37">
        <v>50</v>
      </c>
      <c r="BC14" s="37">
        <f t="shared" si="0"/>
        <v>87.5</v>
      </c>
    </row>
    <row r="15" spans="2:55" ht="46.8" x14ac:dyDescent="0.3">
      <c r="B15" s="37" t="s">
        <v>249</v>
      </c>
      <c r="C15" s="37">
        <v>10.11</v>
      </c>
      <c r="D15" s="37">
        <v>8.73</v>
      </c>
      <c r="E15" s="37">
        <v>10.02</v>
      </c>
      <c r="F15" s="37">
        <v>4.2699999999999996</v>
      </c>
      <c r="G15" s="37">
        <v>10.53</v>
      </c>
      <c r="H15" s="37" t="s">
        <v>325</v>
      </c>
      <c r="I15" s="165">
        <v>17664.11</v>
      </c>
      <c r="J15" s="165">
        <v>16325.32</v>
      </c>
      <c r="K15" s="165">
        <v>15608.59</v>
      </c>
      <c r="L15" s="165">
        <v>14995.09</v>
      </c>
      <c r="M15" s="37" t="s">
        <v>326</v>
      </c>
      <c r="N15" s="165">
        <v>1665.93</v>
      </c>
      <c r="O15" s="37">
        <v>36.869999999999997</v>
      </c>
      <c r="P15" s="37">
        <v>166.75</v>
      </c>
      <c r="Q15" s="37">
        <v>134.13</v>
      </c>
      <c r="R15" s="37" t="s">
        <v>326</v>
      </c>
      <c r="S15" s="37">
        <v>96.3</v>
      </c>
      <c r="T15" s="37">
        <v>52.42</v>
      </c>
      <c r="U15" s="37">
        <v>6</v>
      </c>
      <c r="V15" s="37">
        <v>-16.940000000000001</v>
      </c>
      <c r="Z15" s="37">
        <v>2006</v>
      </c>
      <c r="AA15" s="37">
        <v>889.35</v>
      </c>
      <c r="AB15" s="37">
        <v>1243.5</v>
      </c>
      <c r="AC15" s="37">
        <v>470</v>
      </c>
      <c r="AD15" s="37">
        <v>1229.55</v>
      </c>
      <c r="AE15" s="37">
        <v>2553696</v>
      </c>
      <c r="AF15" s="37">
        <v>54391</v>
      </c>
      <c r="AG15" s="37">
        <v>2367968832</v>
      </c>
      <c r="AH15" s="37">
        <v>1903359</v>
      </c>
      <c r="AI15" s="37">
        <v>74.53</v>
      </c>
      <c r="AJ15" s="37">
        <v>773.5</v>
      </c>
      <c r="AK15" s="37">
        <v>340.2</v>
      </c>
      <c r="AO15" s="144">
        <v>503100</v>
      </c>
      <c r="AP15" s="145" t="s">
        <v>14</v>
      </c>
      <c r="AQ15" s="146">
        <v>42613</v>
      </c>
      <c r="AR15" s="145" t="s">
        <v>638</v>
      </c>
      <c r="AS15" s="147" t="s">
        <v>289</v>
      </c>
      <c r="AT15" s="146">
        <v>42615</v>
      </c>
      <c r="AU15" s="146">
        <v>42621</v>
      </c>
      <c r="AV15" s="146">
        <v>42608</v>
      </c>
      <c r="AW15" s="146">
        <v>42614</v>
      </c>
      <c r="AX15" s="147" t="s">
        <v>289</v>
      </c>
      <c r="AY15" s="145" t="s">
        <v>475</v>
      </c>
      <c r="AZ15" s="37" t="s">
        <v>289</v>
      </c>
      <c r="BA15" s="37">
        <v>0.45</v>
      </c>
      <c r="BB15" s="37">
        <v>50</v>
      </c>
      <c r="BC15" s="37">
        <f t="shared" si="0"/>
        <v>22.5</v>
      </c>
    </row>
    <row r="16" spans="2:55" ht="46.8" x14ac:dyDescent="0.3">
      <c r="B16" s="37" t="s">
        <v>433</v>
      </c>
      <c r="C16" s="37">
        <v>12.74</v>
      </c>
      <c r="D16" s="37">
        <v>10.69</v>
      </c>
      <c r="E16" s="37">
        <v>11.78</v>
      </c>
      <c r="F16" s="37">
        <v>6.41</v>
      </c>
      <c r="G16" s="37">
        <v>12.29</v>
      </c>
      <c r="H16" s="37" t="s">
        <v>329</v>
      </c>
      <c r="I16" s="37">
        <v>9.24</v>
      </c>
      <c r="J16" s="37">
        <v>7.27</v>
      </c>
      <c r="K16" s="37">
        <v>6.33</v>
      </c>
      <c r="L16" s="37">
        <v>4.13</v>
      </c>
      <c r="M16" s="37" t="s">
        <v>344</v>
      </c>
      <c r="N16" s="37">
        <v>0</v>
      </c>
      <c r="O16" s="165">
        <v>1632.64</v>
      </c>
      <c r="P16" s="37">
        <v>0</v>
      </c>
      <c r="Q16" s="37">
        <v>0</v>
      </c>
      <c r="R16" s="37" t="s">
        <v>320</v>
      </c>
      <c r="S16" s="37">
        <v>96.3</v>
      </c>
      <c r="T16" s="37">
        <v>52.42</v>
      </c>
      <c r="U16" s="37">
        <v>6</v>
      </c>
      <c r="V16" s="37">
        <v>-16.940000000000001</v>
      </c>
      <c r="Z16" s="37">
        <v>2007</v>
      </c>
      <c r="AA16" s="37">
        <v>1220</v>
      </c>
      <c r="AB16" s="37">
        <v>2800</v>
      </c>
      <c r="AC16" s="37">
        <v>1160</v>
      </c>
      <c r="AD16" s="37">
        <v>2367.1999999999998</v>
      </c>
      <c r="AE16" s="37">
        <v>4833756</v>
      </c>
      <c r="AF16" s="37">
        <v>64758</v>
      </c>
      <c r="AG16" s="37">
        <v>8138248533</v>
      </c>
      <c r="AH16" s="37">
        <v>4246519</v>
      </c>
      <c r="AI16" s="37">
        <v>87.85</v>
      </c>
      <c r="AJ16" s="37">
        <v>1640</v>
      </c>
      <c r="AK16" s="37">
        <v>1147.2</v>
      </c>
      <c r="AO16" s="144">
        <v>503100</v>
      </c>
      <c r="AP16" s="145" t="s">
        <v>14</v>
      </c>
      <c r="AQ16" s="146">
        <v>42996</v>
      </c>
      <c r="AR16" s="145" t="s">
        <v>639</v>
      </c>
      <c r="AS16" s="147" t="s">
        <v>289</v>
      </c>
      <c r="AT16" s="146">
        <v>42998</v>
      </c>
      <c r="AU16" s="146">
        <v>43003</v>
      </c>
      <c r="AV16" s="146">
        <v>42991</v>
      </c>
      <c r="AW16" s="146">
        <v>42997</v>
      </c>
      <c r="AX16" s="147" t="s">
        <v>289</v>
      </c>
      <c r="AY16" s="145" t="s">
        <v>475</v>
      </c>
      <c r="AZ16" s="37" t="s">
        <v>289</v>
      </c>
      <c r="BA16" s="37">
        <v>2.4</v>
      </c>
      <c r="BB16" s="37">
        <v>50</v>
      </c>
      <c r="BC16" s="37">
        <f t="shared" si="0"/>
        <v>120</v>
      </c>
    </row>
    <row r="17" spans="2:55" ht="13.8" x14ac:dyDescent="0.25">
      <c r="B17" s="37" t="s">
        <v>434</v>
      </c>
      <c r="C17" s="37">
        <v>58.01</v>
      </c>
      <c r="D17" s="37">
        <v>51.24</v>
      </c>
      <c r="E17" s="37">
        <v>87.37</v>
      </c>
      <c r="F17" s="37">
        <v>68.34</v>
      </c>
      <c r="G17" s="37">
        <v>92.63</v>
      </c>
      <c r="H17" s="37" t="s">
        <v>334</v>
      </c>
      <c r="I17" s="37" t="s">
        <v>640</v>
      </c>
      <c r="J17" s="37" t="s">
        <v>641</v>
      </c>
      <c r="K17" s="37" t="s">
        <v>641</v>
      </c>
      <c r="L17" s="37" t="s">
        <v>641</v>
      </c>
      <c r="M17" s="37" t="s">
        <v>320</v>
      </c>
      <c r="N17" s="165">
        <v>1665.93</v>
      </c>
      <c r="O17" s="165">
        <v>1669.51</v>
      </c>
      <c r="P17" s="37">
        <v>166.75</v>
      </c>
      <c r="Q17" s="37">
        <v>134.13</v>
      </c>
      <c r="R17" s="37" t="s">
        <v>323</v>
      </c>
      <c r="S17" s="37">
        <v>24.5</v>
      </c>
      <c r="T17" s="37">
        <v>24.5</v>
      </c>
      <c r="U17" s="37">
        <v>24.5</v>
      </c>
      <c r="V17" s="37">
        <v>24.5</v>
      </c>
      <c r="Z17" s="37">
        <v>2008</v>
      </c>
      <c r="AA17" s="37">
        <v>2445</v>
      </c>
      <c r="AB17" s="37">
        <v>2534</v>
      </c>
      <c r="AC17" s="37">
        <v>47.6</v>
      </c>
      <c r="AD17" s="37">
        <v>75.900000000000006</v>
      </c>
      <c r="AE17" s="37">
        <v>16470530</v>
      </c>
      <c r="AF17" s="37">
        <v>123282</v>
      </c>
      <c r="AG17" s="37">
        <v>3046914584</v>
      </c>
      <c r="AH17" s="37">
        <v>12270475</v>
      </c>
      <c r="AI17" s="37">
        <v>74.5</v>
      </c>
      <c r="AJ17" s="37">
        <v>2486.4</v>
      </c>
      <c r="AK17" s="37">
        <v>-2369.1</v>
      </c>
      <c r="AO17" s="278"/>
      <c r="AP17" s="279"/>
      <c r="AQ17" s="279"/>
      <c r="AR17" s="279"/>
      <c r="AS17" s="279"/>
      <c r="AT17" s="279"/>
      <c r="AU17" s="279"/>
      <c r="AV17" s="279"/>
      <c r="AW17" s="279"/>
      <c r="AX17" s="280"/>
    </row>
    <row r="18" spans="2:55" ht="13.8" x14ac:dyDescent="0.25">
      <c r="B18" s="37" t="s">
        <v>435</v>
      </c>
      <c r="C18" s="37">
        <v>38.979999999999997</v>
      </c>
      <c r="D18" s="37">
        <v>35.53</v>
      </c>
      <c r="E18" s="37">
        <v>42.41</v>
      </c>
      <c r="F18" s="37">
        <v>19.61</v>
      </c>
      <c r="G18" s="37">
        <v>51.75</v>
      </c>
      <c r="H18" s="37" t="s">
        <v>345</v>
      </c>
      <c r="I18" s="37">
        <v>34.07</v>
      </c>
      <c r="J18" s="37">
        <v>34.08</v>
      </c>
      <c r="K18" s="37">
        <v>34.08</v>
      </c>
      <c r="L18" s="37">
        <v>34.08</v>
      </c>
      <c r="M18" s="37" t="s">
        <v>323</v>
      </c>
      <c r="N18" s="37">
        <v>271.36</v>
      </c>
      <c r="O18" s="37">
        <v>122.5</v>
      </c>
      <c r="P18" s="37">
        <v>122.5</v>
      </c>
      <c r="Q18" s="37">
        <v>24.5</v>
      </c>
      <c r="R18" s="37" t="s">
        <v>642</v>
      </c>
      <c r="S18" s="37">
        <v>143.75</v>
      </c>
      <c r="T18" s="37">
        <v>0</v>
      </c>
      <c r="U18" s="37">
        <v>0</v>
      </c>
      <c r="V18" s="37">
        <v>0</v>
      </c>
      <c r="Z18" s="37">
        <v>2009</v>
      </c>
      <c r="AA18" s="37">
        <v>75</v>
      </c>
      <c r="AB18" s="37">
        <v>214.4</v>
      </c>
      <c r="AC18" s="37">
        <v>44.5</v>
      </c>
      <c r="AD18" s="37">
        <v>197.8</v>
      </c>
      <c r="AE18" s="37">
        <v>26765628</v>
      </c>
      <c r="AF18" s="37">
        <v>218033</v>
      </c>
      <c r="AG18" s="37">
        <v>3675763999</v>
      </c>
      <c r="AH18" s="37">
        <v>18694426</v>
      </c>
      <c r="AI18" s="37">
        <v>69.84</v>
      </c>
      <c r="AJ18" s="37">
        <v>169.9</v>
      </c>
      <c r="AK18" s="37">
        <v>122.8</v>
      </c>
      <c r="BC18" s="37">
        <f>SUM(BC3:BC16)</f>
        <v>1260</v>
      </c>
    </row>
    <row r="19" spans="2:55" ht="13.8" x14ac:dyDescent="0.25">
      <c r="B19" s="37" t="s">
        <v>430</v>
      </c>
      <c r="C19" s="37" t="s">
        <v>437</v>
      </c>
      <c r="D19" s="37" t="s">
        <v>437</v>
      </c>
      <c r="E19" s="37" t="s">
        <v>437</v>
      </c>
      <c r="F19" s="37" t="s">
        <v>437</v>
      </c>
      <c r="G19" s="37" t="s">
        <v>437</v>
      </c>
      <c r="H19" s="37" t="s">
        <v>351</v>
      </c>
      <c r="I19" s="37">
        <v>86.87</v>
      </c>
      <c r="J19" s="37">
        <v>93.78</v>
      </c>
      <c r="K19" s="37">
        <v>89.32</v>
      </c>
      <c r="L19" s="37">
        <v>85.21</v>
      </c>
      <c r="M19" s="37" t="s">
        <v>325</v>
      </c>
      <c r="N19" s="37">
        <v>0</v>
      </c>
      <c r="O19" s="37">
        <v>0</v>
      </c>
      <c r="P19" s="37">
        <v>263.8</v>
      </c>
      <c r="Q19" s="37">
        <v>46.19</v>
      </c>
      <c r="R19" s="37" t="s">
        <v>329</v>
      </c>
      <c r="S19" s="37">
        <v>393.09</v>
      </c>
      <c r="T19" s="37">
        <v>213.99</v>
      </c>
      <c r="U19" s="37">
        <v>24.52</v>
      </c>
      <c r="V19" s="37">
        <v>0</v>
      </c>
      <c r="Z19" s="37">
        <v>2010</v>
      </c>
      <c r="AA19" s="37">
        <v>198.7</v>
      </c>
      <c r="AB19" s="37">
        <v>269.25</v>
      </c>
      <c r="AC19" s="37">
        <v>176</v>
      </c>
      <c r="AD19" s="37">
        <v>222.6</v>
      </c>
      <c r="AE19" s="37">
        <v>12932370</v>
      </c>
      <c r="AF19" s="37">
        <v>223538</v>
      </c>
      <c r="AG19" s="37">
        <v>2805075182</v>
      </c>
      <c r="AH19" s="37">
        <v>6251505</v>
      </c>
      <c r="AI19" s="37">
        <v>48.34</v>
      </c>
      <c r="AJ19" s="37">
        <v>93.25</v>
      </c>
      <c r="AK19" s="37">
        <v>23.9</v>
      </c>
    </row>
    <row r="20" spans="2:55" ht="13.8" x14ac:dyDescent="0.25">
      <c r="B20" s="37" t="s">
        <v>430</v>
      </c>
      <c r="C20" s="37" t="s">
        <v>438</v>
      </c>
      <c r="D20" s="37" t="s">
        <v>438</v>
      </c>
      <c r="E20" s="37" t="s">
        <v>438</v>
      </c>
      <c r="F20" s="37" t="s">
        <v>438</v>
      </c>
      <c r="G20" s="37" t="s">
        <v>438</v>
      </c>
      <c r="H20" s="37" t="s">
        <v>355</v>
      </c>
      <c r="I20" s="37">
        <v>49.47</v>
      </c>
      <c r="J20" s="37">
        <v>53.18</v>
      </c>
      <c r="K20" s="37">
        <v>51.92</v>
      </c>
      <c r="L20" s="37">
        <v>51.73</v>
      </c>
      <c r="M20" s="37" t="s">
        <v>329</v>
      </c>
      <c r="N20" s="37">
        <v>15.9</v>
      </c>
      <c r="O20" s="37">
        <v>136.29</v>
      </c>
      <c r="P20" s="37">
        <v>14</v>
      </c>
      <c r="Q20" s="37">
        <v>547.45000000000005</v>
      </c>
      <c r="R20" s="37" t="s">
        <v>346</v>
      </c>
      <c r="S20" s="37">
        <v>0</v>
      </c>
      <c r="T20" s="165">
        <v>61352</v>
      </c>
      <c r="U20" s="165">
        <v>65142</v>
      </c>
      <c r="V20" s="37">
        <v>0</v>
      </c>
      <c r="Z20" s="37">
        <v>2011</v>
      </c>
      <c r="AA20" s="37">
        <v>223.9</v>
      </c>
      <c r="AB20" s="37">
        <v>229</v>
      </c>
      <c r="AC20" s="37">
        <v>149.15</v>
      </c>
      <c r="AD20" s="37">
        <v>165.3</v>
      </c>
      <c r="AE20" s="37">
        <v>4224958</v>
      </c>
      <c r="AF20" s="37">
        <v>72877</v>
      </c>
      <c r="AG20" s="37">
        <v>803655987</v>
      </c>
      <c r="AH20" s="37">
        <v>2631413</v>
      </c>
      <c r="AI20" s="37">
        <v>62.28</v>
      </c>
      <c r="AJ20" s="37">
        <v>79.849999999999994</v>
      </c>
      <c r="AK20" s="37">
        <v>-58.6</v>
      </c>
    </row>
    <row r="21" spans="2:55" ht="15.75" customHeight="1" x14ac:dyDescent="0.25">
      <c r="H21" s="37" t="s">
        <v>360</v>
      </c>
      <c r="I21" s="37">
        <v>11.14</v>
      </c>
      <c r="J21" s="37">
        <v>9.23</v>
      </c>
      <c r="K21" s="37">
        <v>8.24</v>
      </c>
      <c r="L21" s="37">
        <v>5.24</v>
      </c>
      <c r="M21" s="37" t="s">
        <v>334</v>
      </c>
      <c r="N21" s="37" t="s">
        <v>643</v>
      </c>
      <c r="O21" s="37" t="s">
        <v>644</v>
      </c>
      <c r="P21" s="37" t="s">
        <v>645</v>
      </c>
      <c r="Q21" s="165">
        <v>61251</v>
      </c>
      <c r="R21" s="37" t="s">
        <v>352</v>
      </c>
      <c r="S21" s="37">
        <v>0</v>
      </c>
      <c r="T21" s="37">
        <v>25.04</v>
      </c>
      <c r="U21" s="37">
        <v>26.58</v>
      </c>
      <c r="V21" s="37">
        <v>0</v>
      </c>
      <c r="Z21" s="37">
        <v>2012</v>
      </c>
      <c r="AA21" s="37">
        <v>167</v>
      </c>
      <c r="AB21" s="37">
        <v>261.5</v>
      </c>
      <c r="AC21" s="37">
        <v>155</v>
      </c>
      <c r="AD21" s="37">
        <v>255.75</v>
      </c>
      <c r="AE21" s="37">
        <v>4179705</v>
      </c>
      <c r="AF21" s="37">
        <v>75543</v>
      </c>
      <c r="AG21" s="37">
        <v>825258073</v>
      </c>
      <c r="AH21" s="37">
        <v>3131185</v>
      </c>
      <c r="AI21" s="37">
        <v>74.91</v>
      </c>
      <c r="AJ21" s="37">
        <v>106.5</v>
      </c>
      <c r="AK21" s="37">
        <v>88.75</v>
      </c>
    </row>
    <row r="22" spans="2:55" ht="15.75" customHeight="1" x14ac:dyDescent="0.25">
      <c r="H22" s="37" t="s">
        <v>361</v>
      </c>
      <c r="I22" s="37" t="s">
        <v>361</v>
      </c>
      <c r="J22" s="37" t="s">
        <v>361</v>
      </c>
      <c r="K22" s="37" t="s">
        <v>361</v>
      </c>
      <c r="L22" s="37" t="s">
        <v>361</v>
      </c>
      <c r="M22" s="37" t="s">
        <v>345</v>
      </c>
      <c r="N22" s="37">
        <v>36.729999999999997</v>
      </c>
      <c r="O22" s="37">
        <v>23.46</v>
      </c>
      <c r="P22" s="37">
        <v>15.62</v>
      </c>
      <c r="Q22" s="37">
        <v>25</v>
      </c>
      <c r="R22" s="37" t="s">
        <v>356</v>
      </c>
      <c r="S22" s="37" t="s">
        <v>357</v>
      </c>
      <c r="T22" s="37" t="s">
        <v>357</v>
      </c>
      <c r="U22" s="37" t="s">
        <v>357</v>
      </c>
      <c r="V22" s="37" t="s">
        <v>357</v>
      </c>
      <c r="Z22" s="37">
        <v>2013</v>
      </c>
      <c r="AA22" s="37">
        <v>257.95</v>
      </c>
      <c r="AB22" s="37">
        <v>293</v>
      </c>
      <c r="AC22" s="37">
        <v>185</v>
      </c>
      <c r="AD22" s="37">
        <v>225.75</v>
      </c>
      <c r="AE22" s="37">
        <v>3510935</v>
      </c>
      <c r="AF22" s="37">
        <v>96930</v>
      </c>
      <c r="AG22" s="37">
        <v>856835310</v>
      </c>
      <c r="AH22" s="37">
        <v>3154701</v>
      </c>
      <c r="AI22" s="37">
        <v>89.85</v>
      </c>
      <c r="AJ22" s="37">
        <v>108</v>
      </c>
      <c r="AK22" s="37">
        <v>-32.200000000000003</v>
      </c>
    </row>
    <row r="23" spans="2:55" ht="15.75" customHeight="1" x14ac:dyDescent="0.25">
      <c r="M23" s="37" t="s">
        <v>351</v>
      </c>
      <c r="N23" s="37">
        <v>97.62</v>
      </c>
      <c r="O23" s="37">
        <v>57.6</v>
      </c>
      <c r="P23" s="37">
        <v>57.5</v>
      </c>
      <c r="Q23" s="165">
        <v>1228.95</v>
      </c>
      <c r="R23" s="37" t="s">
        <v>361</v>
      </c>
      <c r="S23" s="37" t="s">
        <v>361</v>
      </c>
      <c r="T23" s="37" t="s">
        <v>361</v>
      </c>
      <c r="U23" s="37" t="s">
        <v>361</v>
      </c>
      <c r="V23" s="37" t="s">
        <v>361</v>
      </c>
      <c r="Z23" s="37">
        <v>2014</v>
      </c>
      <c r="AA23" s="37">
        <v>225</v>
      </c>
      <c r="AB23" s="37">
        <v>415.8</v>
      </c>
      <c r="AC23" s="37">
        <v>196</v>
      </c>
      <c r="AD23" s="37">
        <v>371.35</v>
      </c>
      <c r="AE23" s="37">
        <v>4382392</v>
      </c>
      <c r="AF23" s="37">
        <v>99621</v>
      </c>
      <c r="AG23" s="37">
        <v>1356835619</v>
      </c>
      <c r="AH23" s="37">
        <v>2217361</v>
      </c>
      <c r="AI23" s="37">
        <v>50.6</v>
      </c>
      <c r="AJ23" s="37">
        <v>219.8</v>
      </c>
      <c r="AK23" s="37">
        <v>146.35</v>
      </c>
    </row>
    <row r="24" spans="2:55" ht="15.75" customHeight="1" x14ac:dyDescent="0.25">
      <c r="M24" s="37" t="s">
        <v>355</v>
      </c>
      <c r="N24" s="37">
        <v>83.81</v>
      </c>
      <c r="O24" s="37">
        <v>270.43</v>
      </c>
      <c r="P24" s="37">
        <v>30.26</v>
      </c>
      <c r="Q24" s="37">
        <v>767.33</v>
      </c>
      <c r="Z24" s="37">
        <v>2015</v>
      </c>
      <c r="AA24" s="37">
        <v>373.1</v>
      </c>
      <c r="AB24" s="37">
        <v>406.95</v>
      </c>
      <c r="AC24" s="37">
        <v>296.35000000000002</v>
      </c>
      <c r="AD24" s="37">
        <v>337</v>
      </c>
      <c r="AE24" s="37">
        <v>2520454</v>
      </c>
      <c r="AF24" s="37">
        <v>53808</v>
      </c>
      <c r="AG24" s="37">
        <v>878220003</v>
      </c>
      <c r="AH24" s="37">
        <v>2313246</v>
      </c>
      <c r="AI24" s="37">
        <v>91.78</v>
      </c>
      <c r="AJ24" s="37">
        <v>110.6</v>
      </c>
      <c r="AK24" s="37">
        <v>-36.1</v>
      </c>
    </row>
    <row r="25" spans="2:55" ht="15.75" customHeight="1" x14ac:dyDescent="0.25">
      <c r="M25" s="37" t="s">
        <v>471</v>
      </c>
      <c r="N25" s="37">
        <v>12.81</v>
      </c>
      <c r="O25" s="37" t="s">
        <v>289</v>
      </c>
      <c r="P25" s="37" t="s">
        <v>289</v>
      </c>
      <c r="Q25" s="37" t="s">
        <v>289</v>
      </c>
      <c r="Z25" s="37">
        <v>2016</v>
      </c>
      <c r="AA25" s="37">
        <v>339</v>
      </c>
      <c r="AB25" s="37">
        <v>445</v>
      </c>
      <c r="AC25" s="37">
        <v>238.3</v>
      </c>
      <c r="AD25" s="37">
        <v>365.8</v>
      </c>
      <c r="AE25" s="37">
        <v>380420</v>
      </c>
      <c r="AF25" s="37">
        <v>26830</v>
      </c>
      <c r="AG25" s="37">
        <v>134797300</v>
      </c>
      <c r="AH25" s="37">
        <v>233162</v>
      </c>
      <c r="AI25" s="37">
        <v>61.29</v>
      </c>
      <c r="AJ25" s="37">
        <v>206.7</v>
      </c>
      <c r="AK25" s="37">
        <v>26.8</v>
      </c>
    </row>
    <row r="26" spans="2:55" ht="15.75" customHeight="1" x14ac:dyDescent="0.25">
      <c r="M26" s="37" t="s">
        <v>361</v>
      </c>
      <c r="N26" s="37" t="s">
        <v>361</v>
      </c>
      <c r="O26" s="37" t="s">
        <v>361</v>
      </c>
      <c r="P26" s="37" t="s">
        <v>361</v>
      </c>
      <c r="Q26" s="37" t="s">
        <v>362</v>
      </c>
      <c r="Z26" s="37">
        <v>2017</v>
      </c>
      <c r="AA26" s="37">
        <v>370</v>
      </c>
      <c r="AB26" s="37">
        <v>679.6</v>
      </c>
      <c r="AC26" s="37">
        <v>337.55</v>
      </c>
      <c r="AD26" s="37">
        <v>621.54999999999995</v>
      </c>
      <c r="AE26" s="37">
        <v>4277778</v>
      </c>
      <c r="AF26" s="37">
        <v>65005</v>
      </c>
      <c r="AG26" s="37">
        <v>1838053758</v>
      </c>
      <c r="AH26" s="37">
        <v>3632847</v>
      </c>
      <c r="AI26" s="37">
        <v>84.92</v>
      </c>
      <c r="AJ26" s="37">
        <v>342.05</v>
      </c>
      <c r="AK26" s="37">
        <v>251.55</v>
      </c>
    </row>
    <row r="27" spans="2:55" ht="15.75" customHeight="1" x14ac:dyDescent="0.25">
      <c r="B27" s="37" t="s">
        <v>287</v>
      </c>
      <c r="C27" s="164">
        <v>42826</v>
      </c>
      <c r="D27" s="37" t="s">
        <v>287</v>
      </c>
      <c r="E27" s="164">
        <v>42461</v>
      </c>
      <c r="F27" s="37" t="s">
        <v>287</v>
      </c>
      <c r="G27" s="164">
        <v>42095</v>
      </c>
      <c r="Z27" s="37">
        <v>2018</v>
      </c>
      <c r="AA27" s="37">
        <v>628.5</v>
      </c>
      <c r="AB27" s="37">
        <v>722.8</v>
      </c>
      <c r="AC27" s="37">
        <v>560</v>
      </c>
      <c r="AD27" s="37">
        <v>719.25</v>
      </c>
      <c r="AE27" s="37">
        <v>1317659</v>
      </c>
      <c r="AF27" s="37">
        <v>44473</v>
      </c>
      <c r="AG27" s="37">
        <v>818922649</v>
      </c>
      <c r="AH27" s="37">
        <v>441154</v>
      </c>
      <c r="AI27" s="37">
        <v>33.479999999999997</v>
      </c>
      <c r="AJ27" s="37">
        <v>162.80000000000001</v>
      </c>
      <c r="AK27" s="37">
        <v>90.75</v>
      </c>
    </row>
    <row r="28" spans="2:55" ht="15.75" customHeight="1" x14ac:dyDescent="0.25">
      <c r="B28" s="37" t="s">
        <v>291</v>
      </c>
      <c r="C28" s="164">
        <v>43190</v>
      </c>
      <c r="D28" s="37" t="s">
        <v>291</v>
      </c>
      <c r="E28" s="164">
        <v>42825</v>
      </c>
      <c r="F28" s="37" t="s">
        <v>291</v>
      </c>
      <c r="G28" s="164">
        <v>42460</v>
      </c>
      <c r="Z28" s="37" t="s">
        <v>472</v>
      </c>
    </row>
    <row r="29" spans="2:55" ht="15.75" customHeight="1" x14ac:dyDescent="0.25">
      <c r="B29" s="37" t="s">
        <v>293</v>
      </c>
      <c r="C29" s="37" t="s">
        <v>295</v>
      </c>
      <c r="D29" s="37" t="s">
        <v>293</v>
      </c>
      <c r="E29" s="37" t="s">
        <v>295</v>
      </c>
      <c r="F29" s="37" t="s">
        <v>293</v>
      </c>
      <c r="G29" s="37" t="s">
        <v>295</v>
      </c>
    </row>
    <row r="30" spans="2:55" ht="15.75" customHeight="1" x14ac:dyDescent="0.25">
      <c r="B30" s="37" t="s">
        <v>297</v>
      </c>
      <c r="C30" s="165">
        <v>16197.51</v>
      </c>
      <c r="D30" s="37" t="s">
        <v>297</v>
      </c>
      <c r="E30" s="165">
        <v>18246.07</v>
      </c>
      <c r="F30" s="37" t="s">
        <v>297</v>
      </c>
      <c r="G30" s="165">
        <v>17785.55</v>
      </c>
    </row>
    <row r="31" spans="2:55" ht="15.75" customHeight="1" x14ac:dyDescent="0.25">
      <c r="B31" s="37" t="s">
        <v>299</v>
      </c>
      <c r="C31" s="37">
        <v>556.23</v>
      </c>
      <c r="D31" s="37" t="s">
        <v>299</v>
      </c>
      <c r="E31" s="37">
        <v>471.69</v>
      </c>
      <c r="F31" s="37" t="s">
        <v>300</v>
      </c>
      <c r="G31" s="165">
        <v>17785.55</v>
      </c>
    </row>
    <row r="32" spans="2:55" ht="15.75" customHeight="1" x14ac:dyDescent="0.25">
      <c r="B32" s="37" t="s">
        <v>301</v>
      </c>
      <c r="C32" s="165">
        <v>16753.75</v>
      </c>
      <c r="D32" s="37" t="s">
        <v>301</v>
      </c>
      <c r="E32" s="165">
        <v>18717.759999999998</v>
      </c>
      <c r="F32" s="37" t="s">
        <v>303</v>
      </c>
      <c r="G32" s="165">
        <v>-11658.02</v>
      </c>
    </row>
    <row r="33" spans="2:7" ht="15.75" customHeight="1" x14ac:dyDescent="0.25">
      <c r="B33" s="37" t="s">
        <v>303</v>
      </c>
      <c r="C33" s="165">
        <v>-13882.57</v>
      </c>
      <c r="D33" s="37" t="s">
        <v>303</v>
      </c>
      <c r="E33" s="165">
        <v>-15960.05</v>
      </c>
      <c r="F33" s="37" t="s">
        <v>603</v>
      </c>
      <c r="G33" s="165">
        <v>1483.07</v>
      </c>
    </row>
    <row r="34" spans="2:7" ht="15.75" customHeight="1" x14ac:dyDescent="0.25">
      <c r="B34" s="37" t="s">
        <v>305</v>
      </c>
      <c r="C34" s="165">
        <v>-1768.82</v>
      </c>
      <c r="D34" s="37" t="s">
        <v>305</v>
      </c>
      <c r="E34" s="165">
        <v>-2827.29</v>
      </c>
      <c r="F34" s="37" t="s">
        <v>307</v>
      </c>
      <c r="G34" s="165">
        <v>-3928.7</v>
      </c>
    </row>
    <row r="35" spans="2:7" ht="15.75" customHeight="1" x14ac:dyDescent="0.25">
      <c r="B35" s="37" t="s">
        <v>310</v>
      </c>
      <c r="C35" s="165">
        <v>-3476.07</v>
      </c>
      <c r="D35" s="37" t="s">
        <v>306</v>
      </c>
      <c r="E35" s="165">
        <v>-1402.61</v>
      </c>
      <c r="F35" s="37" t="s">
        <v>311</v>
      </c>
      <c r="G35" s="165">
        <v>-1232.73</v>
      </c>
    </row>
    <row r="36" spans="2:7" ht="15.75" customHeight="1" x14ac:dyDescent="0.25">
      <c r="B36" s="37" t="s">
        <v>313</v>
      </c>
      <c r="C36" s="165">
        <v>-1982.82</v>
      </c>
      <c r="D36" s="37" t="s">
        <v>310</v>
      </c>
      <c r="E36" s="165">
        <v>-4230.25</v>
      </c>
      <c r="F36" s="37" t="s">
        <v>317</v>
      </c>
      <c r="G36" s="165">
        <v>-1772.81</v>
      </c>
    </row>
    <row r="37" spans="2:7" ht="15.75" customHeight="1" x14ac:dyDescent="0.25">
      <c r="B37" s="37" t="s">
        <v>307</v>
      </c>
      <c r="C37" s="165">
        <v>-3857.09</v>
      </c>
      <c r="D37" s="37" t="s">
        <v>307</v>
      </c>
      <c r="E37" s="165">
        <v>-3970.44</v>
      </c>
      <c r="F37" s="37" t="s">
        <v>646</v>
      </c>
      <c r="G37" s="165">
        <v>-1876.97</v>
      </c>
    </row>
    <row r="38" spans="2:7" ht="15.75" customHeight="1" x14ac:dyDescent="0.25">
      <c r="B38" s="37" t="s">
        <v>319</v>
      </c>
      <c r="C38" s="165">
        <v>-1472.72</v>
      </c>
      <c r="D38" s="37" t="s">
        <v>406</v>
      </c>
      <c r="E38" s="165">
        <v>-1953.07</v>
      </c>
      <c r="F38" s="37" t="s">
        <v>647</v>
      </c>
      <c r="G38" s="165">
        <v>-4329.8900000000003</v>
      </c>
    </row>
    <row r="39" spans="2:7" ht="15.75" customHeight="1" x14ac:dyDescent="0.25">
      <c r="B39" s="37" t="s">
        <v>646</v>
      </c>
      <c r="C39" s="165">
        <v>-1774.83</v>
      </c>
      <c r="D39" s="37" t="s">
        <v>614</v>
      </c>
      <c r="E39" s="37">
        <v>360.87</v>
      </c>
      <c r="F39" s="37" t="s">
        <v>379</v>
      </c>
      <c r="G39" s="165">
        <v>6127.53</v>
      </c>
    </row>
    <row r="40" spans="2:7" ht="15.75" customHeight="1" x14ac:dyDescent="0.25">
      <c r="B40" s="37" t="s">
        <v>648</v>
      </c>
      <c r="C40" s="37">
        <v>449.78</v>
      </c>
      <c r="D40" s="37" t="s">
        <v>646</v>
      </c>
      <c r="E40" s="165">
        <v>-1937.26</v>
      </c>
      <c r="F40" s="37" t="s">
        <v>299</v>
      </c>
      <c r="G40" s="37">
        <v>312.02999999999997</v>
      </c>
    </row>
    <row r="41" spans="2:7" ht="15.75" customHeight="1" x14ac:dyDescent="0.25">
      <c r="B41" s="37" t="s">
        <v>322</v>
      </c>
      <c r="C41" s="165">
        <v>2871.18</v>
      </c>
      <c r="D41" s="37" t="s">
        <v>321</v>
      </c>
      <c r="E41" s="165">
        <v>2757.72</v>
      </c>
      <c r="F41" s="37" t="s">
        <v>381</v>
      </c>
      <c r="G41" s="165">
        <v>6439.56</v>
      </c>
    </row>
    <row r="42" spans="2:7" ht="15.75" customHeight="1" x14ac:dyDescent="0.25">
      <c r="B42" s="37" t="s">
        <v>324</v>
      </c>
      <c r="C42" s="37">
        <v>0</v>
      </c>
      <c r="D42" s="37" t="s">
        <v>318</v>
      </c>
      <c r="E42" s="37">
        <v>-857.58</v>
      </c>
      <c r="F42" s="37" t="s">
        <v>304</v>
      </c>
      <c r="G42" s="165">
        <v>-4305.1099999999997</v>
      </c>
    </row>
    <row r="43" spans="2:7" ht="15.75" customHeight="1" x14ac:dyDescent="0.25">
      <c r="B43" s="37" t="s">
        <v>321</v>
      </c>
      <c r="C43" s="165">
        <v>2871.18</v>
      </c>
      <c r="D43" s="37" t="s">
        <v>327</v>
      </c>
      <c r="E43" s="165">
        <v>1900.14</v>
      </c>
      <c r="F43" s="37" t="s">
        <v>649</v>
      </c>
      <c r="G43" s="165">
        <v>-4305.1099999999997</v>
      </c>
    </row>
    <row r="44" spans="2:7" ht="15.75" customHeight="1" x14ac:dyDescent="0.25">
      <c r="B44" s="37" t="s">
        <v>318</v>
      </c>
      <c r="C44" s="37">
        <v>-757.96</v>
      </c>
      <c r="D44" s="37" t="s">
        <v>320</v>
      </c>
      <c r="E44" s="165">
        <v>1909.65</v>
      </c>
      <c r="F44" s="37" t="s">
        <v>322</v>
      </c>
      <c r="G44" s="165">
        <v>2134.4499999999998</v>
      </c>
    </row>
    <row r="45" spans="2:7" ht="15.75" customHeight="1" x14ac:dyDescent="0.25">
      <c r="B45" s="37" t="s">
        <v>331</v>
      </c>
      <c r="C45" s="37">
        <v>-757.96</v>
      </c>
      <c r="D45" s="37" t="s">
        <v>331</v>
      </c>
      <c r="E45" s="37">
        <v>-792.52</v>
      </c>
      <c r="F45" s="37" t="s">
        <v>324</v>
      </c>
      <c r="G45" s="37">
        <v>-387.27</v>
      </c>
    </row>
    <row r="46" spans="2:7" ht="15.75" customHeight="1" x14ac:dyDescent="0.25">
      <c r="B46" s="37" t="s">
        <v>327</v>
      </c>
      <c r="C46" s="165">
        <v>2113.2199999999998</v>
      </c>
      <c r="D46" s="37" t="s">
        <v>650</v>
      </c>
      <c r="E46" s="37">
        <v>9.36</v>
      </c>
      <c r="F46" s="37" t="s">
        <v>350</v>
      </c>
      <c r="G46" s="37">
        <v>0</v>
      </c>
    </row>
    <row r="47" spans="2:7" ht="15.75" customHeight="1" x14ac:dyDescent="0.25">
      <c r="B47" s="37" t="s">
        <v>349</v>
      </c>
      <c r="C47" s="37">
        <v>0</v>
      </c>
      <c r="D47" s="37" t="s">
        <v>333</v>
      </c>
      <c r="E47" s="37">
        <v>-199.43</v>
      </c>
      <c r="F47" s="37" t="s">
        <v>321</v>
      </c>
      <c r="G47" s="165">
        <v>1747.17</v>
      </c>
    </row>
    <row r="48" spans="2:7" ht="15.75" customHeight="1" x14ac:dyDescent="0.25">
      <c r="B48" s="37" t="s">
        <v>354</v>
      </c>
      <c r="C48" s="165">
        <v>2113.2199999999998</v>
      </c>
      <c r="D48" s="37" t="s">
        <v>651</v>
      </c>
      <c r="E48" s="37">
        <v>125.01</v>
      </c>
      <c r="F48" s="37" t="s">
        <v>318</v>
      </c>
      <c r="G48" s="37">
        <v>-745.75</v>
      </c>
    </row>
    <row r="49" spans="2:7" ht="15.75" customHeight="1" x14ac:dyDescent="0.25">
      <c r="B49" s="37" t="s">
        <v>359</v>
      </c>
      <c r="C49" s="37">
        <v>0</v>
      </c>
      <c r="D49" s="37" t="s">
        <v>348</v>
      </c>
      <c r="E49" s="37">
        <v>0</v>
      </c>
      <c r="F49" s="37" t="s">
        <v>652</v>
      </c>
      <c r="G49" s="165">
        <v>-1069.46</v>
      </c>
    </row>
    <row r="50" spans="2:7" ht="15.75" customHeight="1" x14ac:dyDescent="0.25">
      <c r="B50" s="37" t="s">
        <v>364</v>
      </c>
      <c r="C50" s="37">
        <v>0</v>
      </c>
      <c r="D50" s="37" t="s">
        <v>353</v>
      </c>
      <c r="E50" s="37">
        <v>0</v>
      </c>
      <c r="F50" s="37" t="s">
        <v>573</v>
      </c>
      <c r="G50" s="37">
        <v>52.98</v>
      </c>
    </row>
    <row r="51" spans="2:7" ht="15.75" customHeight="1" x14ac:dyDescent="0.25">
      <c r="B51" s="37" t="s">
        <v>367</v>
      </c>
      <c r="C51" s="37">
        <v>0</v>
      </c>
      <c r="D51" s="37" t="s">
        <v>358</v>
      </c>
      <c r="E51" s="165">
        <v>1909.65</v>
      </c>
      <c r="F51" s="37" t="s">
        <v>651</v>
      </c>
      <c r="G51" s="37">
        <v>270.73</v>
      </c>
    </row>
    <row r="52" spans="2:7" ht="15.75" customHeight="1" x14ac:dyDescent="0.25">
      <c r="B52" s="37" t="s">
        <v>369</v>
      </c>
      <c r="C52" s="37">
        <v>442.3</v>
      </c>
      <c r="D52" s="37" t="s">
        <v>363</v>
      </c>
      <c r="E52" s="37">
        <v>0</v>
      </c>
      <c r="F52" s="37" t="s">
        <v>327</v>
      </c>
      <c r="G52" s="165">
        <v>1001.42</v>
      </c>
    </row>
    <row r="53" spans="2:7" ht="15.75" customHeight="1" x14ac:dyDescent="0.25">
      <c r="B53" s="37" t="s">
        <v>320</v>
      </c>
      <c r="C53" s="165">
        <v>2555.52</v>
      </c>
      <c r="D53" s="37" t="s">
        <v>366</v>
      </c>
      <c r="E53" s="165">
        <v>1909.65</v>
      </c>
      <c r="F53" s="37" t="s">
        <v>344</v>
      </c>
      <c r="G53" s="37">
        <v>0</v>
      </c>
    </row>
    <row r="54" spans="2:7" ht="15.75" customHeight="1" x14ac:dyDescent="0.25">
      <c r="B54" s="37" t="s">
        <v>348</v>
      </c>
      <c r="C54" s="37">
        <v>0</v>
      </c>
      <c r="D54" s="37" t="s">
        <v>368</v>
      </c>
      <c r="F54" s="37" t="s">
        <v>354</v>
      </c>
      <c r="G54" s="165">
        <v>1001.42</v>
      </c>
    </row>
    <row r="55" spans="2:7" ht="15.75" customHeight="1" x14ac:dyDescent="0.25">
      <c r="B55" s="37" t="s">
        <v>353</v>
      </c>
      <c r="C55" s="37">
        <v>0</v>
      </c>
      <c r="D55" s="37" t="s">
        <v>324</v>
      </c>
      <c r="E55" s="37">
        <v>0</v>
      </c>
      <c r="F55" s="37" t="s">
        <v>359</v>
      </c>
      <c r="G55" s="37">
        <v>0</v>
      </c>
    </row>
    <row r="56" spans="2:7" ht="15.75" customHeight="1" x14ac:dyDescent="0.25">
      <c r="B56" s="37" t="s">
        <v>358</v>
      </c>
      <c r="C56" s="165">
        <v>2555.52</v>
      </c>
      <c r="D56" s="37" t="s">
        <v>322</v>
      </c>
      <c r="E56" s="165">
        <v>2757.72</v>
      </c>
      <c r="F56" s="37" t="s">
        <v>364</v>
      </c>
      <c r="G56" s="37">
        <v>0</v>
      </c>
    </row>
    <row r="57" spans="2:7" ht="15.75" customHeight="1" x14ac:dyDescent="0.25">
      <c r="B57" s="37" t="s">
        <v>363</v>
      </c>
      <c r="C57" s="37">
        <v>0</v>
      </c>
      <c r="D57" s="37" t="s">
        <v>354</v>
      </c>
      <c r="E57" s="165">
        <v>1900.14</v>
      </c>
      <c r="F57" s="37" t="s">
        <v>367</v>
      </c>
      <c r="G57" s="37">
        <v>0</v>
      </c>
    </row>
    <row r="58" spans="2:7" ht="15.75" customHeight="1" x14ac:dyDescent="0.25">
      <c r="B58" s="37" t="s">
        <v>366</v>
      </c>
      <c r="C58" s="165">
        <v>2555.52</v>
      </c>
      <c r="D58" s="37" t="s">
        <v>359</v>
      </c>
      <c r="E58" s="37">
        <v>0</v>
      </c>
      <c r="F58" s="37" t="s">
        <v>320</v>
      </c>
      <c r="G58" s="165">
        <v>1001.42</v>
      </c>
    </row>
    <row r="59" spans="2:7" ht="15.75" customHeight="1" x14ac:dyDescent="0.25">
      <c r="B59" s="37" t="s">
        <v>371</v>
      </c>
      <c r="C59" s="165">
        <v>1265.3800000000001</v>
      </c>
      <c r="D59" s="37" t="s">
        <v>364</v>
      </c>
      <c r="E59" s="37">
        <v>0</v>
      </c>
      <c r="F59" s="37" t="s">
        <v>348</v>
      </c>
      <c r="G59" s="37">
        <v>-202.76</v>
      </c>
    </row>
    <row r="60" spans="2:7" ht="15.75" customHeight="1" x14ac:dyDescent="0.25">
      <c r="B60" s="37" t="s">
        <v>373</v>
      </c>
      <c r="C60" s="37">
        <v>0</v>
      </c>
      <c r="D60" s="37" t="s">
        <v>367</v>
      </c>
      <c r="E60" s="37">
        <v>0</v>
      </c>
      <c r="F60" s="37" t="s">
        <v>353</v>
      </c>
      <c r="G60" s="37">
        <v>16.8</v>
      </c>
    </row>
    <row r="61" spans="2:7" ht="15.75" customHeight="1" x14ac:dyDescent="0.25">
      <c r="B61" s="37" t="s">
        <v>376</v>
      </c>
      <c r="C61" s="37">
        <v>0</v>
      </c>
      <c r="D61" s="37" t="s">
        <v>371</v>
      </c>
      <c r="E61" s="37">
        <v>-6.15</v>
      </c>
      <c r="F61" s="37" t="s">
        <v>358</v>
      </c>
      <c r="G61" s="37">
        <v>815.46</v>
      </c>
    </row>
    <row r="62" spans="2:7" ht="15.75" customHeight="1" x14ac:dyDescent="0.25">
      <c r="B62" s="37" t="s">
        <v>378</v>
      </c>
      <c r="C62" s="37">
        <v>0</v>
      </c>
      <c r="D62" s="37" t="s">
        <v>372</v>
      </c>
      <c r="E62" s="37">
        <v>0</v>
      </c>
      <c r="F62" s="37" t="s">
        <v>363</v>
      </c>
      <c r="G62" s="37">
        <v>0</v>
      </c>
    </row>
    <row r="63" spans="2:7" ht="15.75" customHeight="1" x14ac:dyDescent="0.25">
      <c r="B63" s="37" t="s">
        <v>380</v>
      </c>
      <c r="C63" s="37">
        <v>0</v>
      </c>
      <c r="D63" s="37" t="s">
        <v>375</v>
      </c>
      <c r="E63" s="165">
        <v>1903.5</v>
      </c>
      <c r="F63" s="37" t="s">
        <v>366</v>
      </c>
      <c r="G63" s="37">
        <v>815.46</v>
      </c>
    </row>
    <row r="64" spans="2:7" ht="15.75" customHeight="1" x14ac:dyDescent="0.25">
      <c r="B64" s="37" t="s">
        <v>372</v>
      </c>
      <c r="C64" s="37">
        <v>0</v>
      </c>
      <c r="D64" s="37" t="s">
        <v>373</v>
      </c>
      <c r="E64" s="37">
        <v>0</v>
      </c>
      <c r="F64" s="37" t="s">
        <v>371</v>
      </c>
      <c r="G64" s="37" t="s">
        <v>289</v>
      </c>
    </row>
    <row r="65" spans="2:7" ht="15.75" customHeight="1" x14ac:dyDescent="0.25">
      <c r="B65" s="37" t="s">
        <v>375</v>
      </c>
      <c r="C65" s="165">
        <v>3820.9</v>
      </c>
      <c r="D65" s="37" t="s">
        <v>376</v>
      </c>
      <c r="E65" s="37">
        <v>0</v>
      </c>
      <c r="F65" s="37" t="s">
        <v>372</v>
      </c>
      <c r="G65" s="37" t="s">
        <v>289</v>
      </c>
    </row>
    <row r="66" spans="2:7" ht="15.75" customHeight="1" x14ac:dyDescent="0.25">
      <c r="B66" s="37" t="s">
        <v>368</v>
      </c>
      <c r="D66" s="37" t="s">
        <v>378</v>
      </c>
      <c r="E66" s="37">
        <v>0</v>
      </c>
      <c r="F66" s="37" t="s">
        <v>375</v>
      </c>
      <c r="G66" s="37" t="s">
        <v>289</v>
      </c>
    </row>
    <row r="67" spans="2:7" ht="15.75" customHeight="1" x14ac:dyDescent="0.25">
      <c r="B67" s="37" t="s">
        <v>382</v>
      </c>
      <c r="C67" s="37">
        <v>15.82</v>
      </c>
      <c r="D67" s="37" t="s">
        <v>380</v>
      </c>
      <c r="E67" s="37">
        <v>0</v>
      </c>
      <c r="F67" s="37" t="s">
        <v>386</v>
      </c>
      <c r="G67" s="37" t="s">
        <v>289</v>
      </c>
    </row>
    <row r="68" spans="2:7" ht="15.75" customHeight="1" x14ac:dyDescent="0.25">
      <c r="B68" s="37" t="s">
        <v>383</v>
      </c>
      <c r="C68" s="37">
        <v>15.77</v>
      </c>
      <c r="D68" s="37" t="s">
        <v>349</v>
      </c>
      <c r="E68" s="37">
        <v>0</v>
      </c>
      <c r="F68" s="37" t="s">
        <v>387</v>
      </c>
      <c r="G68" s="37" t="s">
        <v>289</v>
      </c>
    </row>
    <row r="69" spans="2:7" ht="15.75" customHeight="1" x14ac:dyDescent="0.25">
      <c r="B69" s="37" t="s">
        <v>361</v>
      </c>
      <c r="D69" s="37" t="s">
        <v>369</v>
      </c>
      <c r="E69" s="37">
        <v>9.51</v>
      </c>
      <c r="F69" s="37" t="s">
        <v>388</v>
      </c>
      <c r="G69" s="37" t="s">
        <v>289</v>
      </c>
    </row>
    <row r="70" spans="2:7" ht="15.75" customHeight="1" x14ac:dyDescent="0.25">
      <c r="D70" s="37" t="s">
        <v>382</v>
      </c>
      <c r="E70" s="37">
        <v>10.97</v>
      </c>
      <c r="F70" s="37" t="s">
        <v>391</v>
      </c>
      <c r="G70" s="37" t="s">
        <v>289</v>
      </c>
    </row>
    <row r="71" spans="2:7" ht="15.75" customHeight="1" x14ac:dyDescent="0.25">
      <c r="D71" s="37" t="s">
        <v>383</v>
      </c>
      <c r="E71" s="37">
        <v>10.97</v>
      </c>
      <c r="F71" s="37" t="s">
        <v>370</v>
      </c>
      <c r="G71" s="37">
        <v>0</v>
      </c>
    </row>
    <row r="72" spans="2:7" ht="15.75" customHeight="1" x14ac:dyDescent="0.25">
      <c r="D72" s="37" t="s">
        <v>362</v>
      </c>
      <c r="F72" s="37" t="s">
        <v>323</v>
      </c>
      <c r="G72" s="37">
        <v>305.98</v>
      </c>
    </row>
    <row r="73" spans="2:7" ht="15.75" customHeight="1" x14ac:dyDescent="0.25">
      <c r="F73" s="37" t="s">
        <v>374</v>
      </c>
      <c r="G73" s="37">
        <v>2</v>
      </c>
    </row>
    <row r="74" spans="2:7" ht="15.75" customHeight="1" x14ac:dyDescent="0.25">
      <c r="F74" s="37" t="s">
        <v>325</v>
      </c>
      <c r="G74" s="165">
        <v>18277.41</v>
      </c>
    </row>
    <row r="75" spans="2:7" ht="15.75" customHeight="1" x14ac:dyDescent="0.25">
      <c r="F75" s="37" t="s">
        <v>377</v>
      </c>
    </row>
    <row r="76" spans="2:7" ht="15.75" customHeight="1" x14ac:dyDescent="0.25">
      <c r="F76" s="37" t="s">
        <v>368</v>
      </c>
    </row>
    <row r="77" spans="2:7" ht="15.75" customHeight="1" x14ac:dyDescent="0.25">
      <c r="F77" s="37" t="s">
        <v>330</v>
      </c>
      <c r="G77" s="37">
        <v>5.42</v>
      </c>
    </row>
    <row r="78" spans="2:7" ht="15.75" customHeight="1" x14ac:dyDescent="0.25">
      <c r="F78" s="37" t="s">
        <v>332</v>
      </c>
      <c r="G78" s="37">
        <v>5.42</v>
      </c>
    </row>
    <row r="79" spans="2:7" ht="15.75" customHeight="1" x14ac:dyDescent="0.25">
      <c r="F79" s="37" t="s">
        <v>361</v>
      </c>
    </row>
    <row r="80" spans="2:7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O17:AX17"/>
  </mergeCells>
  <hyperlinks>
    <hyperlink ref="AO3" r:id="rId1" display="https://www.bseindia.com/corporates/ScripWiseCorpAction.aspx?scrip_cd=503100" xr:uid="{00000000-0004-0000-1300-000000000000}"/>
    <hyperlink ref="AO4" r:id="rId2" display="https://www.bseindia.com/corporates/ScripWiseCorpAction.aspx?scrip_cd=503100" xr:uid="{00000000-0004-0000-1300-000001000000}"/>
    <hyperlink ref="AO5" r:id="rId3" display="https://www.bseindia.com/corporates/ScripWiseCorpAction.aspx?scrip_cd=503100" xr:uid="{00000000-0004-0000-1300-000002000000}"/>
    <hyperlink ref="AO6" r:id="rId4" display="https://www.bseindia.com/corporates/ScripWiseCorpAction.aspx?scrip_cd=503100" xr:uid="{00000000-0004-0000-1300-000003000000}"/>
    <hyperlink ref="AO7" r:id="rId5" display="https://www.bseindia.com/corporates/ScripWiseCorpAction.aspx?scrip_cd=503100" xr:uid="{00000000-0004-0000-1300-000004000000}"/>
    <hyperlink ref="AO8" r:id="rId6" display="https://www.bseindia.com/corporates/ScripWiseCorpAction.aspx?scrip_cd=503100" xr:uid="{00000000-0004-0000-1300-000005000000}"/>
    <hyperlink ref="AO9" r:id="rId7" display="https://www.bseindia.com/corporates/ScripWiseCorpAction.aspx?scrip_cd=503100" xr:uid="{00000000-0004-0000-1300-000006000000}"/>
    <hyperlink ref="AO10" r:id="rId8" display="https://www.bseindia.com/corporates/ScripWiseCorpAction.aspx?scrip_cd=503100" xr:uid="{00000000-0004-0000-1300-000007000000}"/>
    <hyperlink ref="AO11" r:id="rId9" display="https://www.bseindia.com/corporates/ScripWiseCorpAction.aspx?scrip_cd=503100" xr:uid="{00000000-0004-0000-1300-000008000000}"/>
    <hyperlink ref="AO12" r:id="rId10" display="https://www.bseindia.com/corporates/ScripWiseCorpAction.aspx?scrip_cd=503100" xr:uid="{00000000-0004-0000-1300-000009000000}"/>
    <hyperlink ref="AO13" r:id="rId11" display="https://www.bseindia.com/corporates/ScripWiseCorpAction.aspx?scrip_cd=503100" xr:uid="{00000000-0004-0000-1300-00000A000000}"/>
    <hyperlink ref="AO14" r:id="rId12" display="https://www.bseindia.com/corporates/ScripWiseCorpAction.aspx?scrip_cd=503100" xr:uid="{00000000-0004-0000-1300-00000B000000}"/>
    <hyperlink ref="AO15" r:id="rId13" display="https://www.bseindia.com/corporates/ScripWiseCorpAction.aspx?scrip_cd=503100" xr:uid="{00000000-0004-0000-1300-00000C000000}"/>
    <hyperlink ref="AO16" r:id="rId14" display="https://www.bseindia.com/corporates/ScripWiseCorpAction.aspx?scrip_cd=503100" xr:uid="{00000000-0004-0000-1300-00000D000000}"/>
  </hyperlinks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AU1000"/>
  <sheetViews>
    <sheetView workbookViewId="0"/>
  </sheetViews>
  <sheetFormatPr defaultColWidth="12.59765625" defaultRowHeight="15" customHeight="1" x14ac:dyDescent="0.25"/>
  <cols>
    <col min="1" max="47" width="7.59765625" customWidth="1"/>
  </cols>
  <sheetData>
    <row r="2" spans="2:47" ht="36" x14ac:dyDescent="0.25">
      <c r="B2" s="149" t="s">
        <v>427</v>
      </c>
      <c r="C2" s="149">
        <v>2018</v>
      </c>
      <c r="D2" s="149">
        <v>2017</v>
      </c>
      <c r="E2" s="149">
        <v>2016</v>
      </c>
      <c r="F2" s="149">
        <v>2015</v>
      </c>
      <c r="G2" s="149">
        <v>2014</v>
      </c>
      <c r="I2" s="142" t="s">
        <v>428</v>
      </c>
      <c r="J2" s="143">
        <v>41364</v>
      </c>
      <c r="K2" s="143">
        <v>40999</v>
      </c>
      <c r="L2" s="143">
        <v>40633</v>
      </c>
      <c r="M2" s="143">
        <v>40268</v>
      </c>
      <c r="N2" s="157" t="s">
        <v>288</v>
      </c>
      <c r="O2" s="158">
        <v>39903</v>
      </c>
      <c r="P2" s="158">
        <v>39538</v>
      </c>
      <c r="Q2" s="158">
        <v>39172</v>
      </c>
      <c r="T2" s="37" t="s">
        <v>266</v>
      </c>
      <c r="U2" s="37" t="s">
        <v>267</v>
      </c>
      <c r="V2" s="37" t="s">
        <v>268</v>
      </c>
      <c r="W2" s="37" t="s">
        <v>269</v>
      </c>
      <c r="X2" s="37" t="s">
        <v>270</v>
      </c>
      <c r="Y2" s="37" t="s">
        <v>271</v>
      </c>
      <c r="Z2" s="37" t="s">
        <v>272</v>
      </c>
      <c r="AA2" s="37" t="s">
        <v>273</v>
      </c>
      <c r="AB2" s="37" t="s">
        <v>274</v>
      </c>
      <c r="AC2" s="37" t="s">
        <v>275</v>
      </c>
      <c r="AD2" s="37" t="s">
        <v>276</v>
      </c>
      <c r="AE2" s="37" t="s">
        <v>277</v>
      </c>
      <c r="AF2" s="37" t="s">
        <v>278</v>
      </c>
      <c r="AI2" s="140" t="s">
        <v>41</v>
      </c>
      <c r="AJ2" s="140" t="s">
        <v>5</v>
      </c>
      <c r="AK2" s="140" t="s">
        <v>279</v>
      </c>
      <c r="AL2" s="140" t="s">
        <v>280</v>
      </c>
      <c r="AM2" s="140" t="s">
        <v>281</v>
      </c>
      <c r="AN2" s="140" t="s">
        <v>282</v>
      </c>
      <c r="AO2" s="140" t="s">
        <v>283</v>
      </c>
      <c r="AP2" s="140" t="s">
        <v>284</v>
      </c>
      <c r="AQ2" s="140" t="s">
        <v>285</v>
      </c>
      <c r="AR2" s="141" t="s">
        <v>286</v>
      </c>
    </row>
    <row r="3" spans="2:47" ht="24.6" x14ac:dyDescent="0.3">
      <c r="B3" s="285" t="s">
        <v>429</v>
      </c>
      <c r="C3" s="270"/>
      <c r="D3" s="270"/>
      <c r="E3" s="270"/>
      <c r="F3" s="270"/>
      <c r="G3" s="270"/>
      <c r="H3" s="270"/>
      <c r="I3" s="142" t="s">
        <v>292</v>
      </c>
      <c r="J3" s="148">
        <v>12</v>
      </c>
      <c r="K3" s="148">
        <v>12</v>
      </c>
      <c r="L3" s="148">
        <v>12</v>
      </c>
      <c r="M3" s="148">
        <v>12</v>
      </c>
      <c r="N3" s="157" t="s">
        <v>292</v>
      </c>
      <c r="O3" s="159">
        <v>12</v>
      </c>
      <c r="P3" s="159">
        <v>12</v>
      </c>
      <c r="Q3" s="159">
        <v>12</v>
      </c>
      <c r="T3" s="37">
        <v>2006</v>
      </c>
      <c r="U3" s="37">
        <v>1111.25</v>
      </c>
      <c r="V3" s="37">
        <v>1179</v>
      </c>
      <c r="W3" s="37">
        <v>898.65</v>
      </c>
      <c r="X3" s="37">
        <v>995.7</v>
      </c>
      <c r="Y3" s="37">
        <v>15098805</v>
      </c>
      <c r="Z3" s="37">
        <v>359078</v>
      </c>
      <c r="AA3" s="37">
        <v>14667842493</v>
      </c>
      <c r="AB3" s="37">
        <v>1722281</v>
      </c>
      <c r="AC3" s="37">
        <v>11.41</v>
      </c>
      <c r="AD3" s="37">
        <v>280.35000000000002</v>
      </c>
      <c r="AE3" s="37">
        <v>-115.55</v>
      </c>
      <c r="AI3" s="144">
        <v>532784</v>
      </c>
      <c r="AJ3" s="145" t="s">
        <v>16</v>
      </c>
      <c r="AK3" s="146">
        <v>39296</v>
      </c>
      <c r="AL3" s="37">
        <v>5.5</v>
      </c>
      <c r="AM3" s="147" t="s">
        <v>289</v>
      </c>
      <c r="AN3" s="146">
        <v>39298</v>
      </c>
      <c r="AO3" s="146">
        <v>39307</v>
      </c>
      <c r="AP3" s="146">
        <v>39293</v>
      </c>
      <c r="AQ3" s="146">
        <v>39296</v>
      </c>
      <c r="AR3" s="145" t="s">
        <v>396</v>
      </c>
      <c r="AS3" s="37" t="s">
        <v>289</v>
      </c>
      <c r="AT3" s="37" t="s">
        <v>397</v>
      </c>
      <c r="AU3" s="37" t="s">
        <v>289</v>
      </c>
    </row>
    <row r="4" spans="2:47" ht="24.6" x14ac:dyDescent="0.3">
      <c r="B4" s="150" t="s">
        <v>243</v>
      </c>
      <c r="C4" s="151">
        <v>26337</v>
      </c>
      <c r="D4" s="151">
        <v>22245</v>
      </c>
      <c r="E4" s="151">
        <v>18033</v>
      </c>
      <c r="F4" s="151">
        <v>23824</v>
      </c>
      <c r="G4" s="151">
        <v>21129</v>
      </c>
      <c r="I4" s="149" t="s">
        <v>293</v>
      </c>
      <c r="J4" s="275" t="s">
        <v>295</v>
      </c>
      <c r="K4" s="276"/>
      <c r="L4" s="276"/>
      <c r="M4" s="277"/>
      <c r="N4" s="149" t="s">
        <v>293</v>
      </c>
      <c r="O4" s="275" t="s">
        <v>295</v>
      </c>
      <c r="P4" s="276"/>
      <c r="Q4" s="277"/>
      <c r="T4" s="37">
        <v>2007</v>
      </c>
      <c r="U4" s="37">
        <v>999.9</v>
      </c>
      <c r="V4" s="37">
        <v>1128</v>
      </c>
      <c r="W4" s="37">
        <v>620</v>
      </c>
      <c r="X4" s="37">
        <v>912.4</v>
      </c>
      <c r="Y4" s="37">
        <v>25896152</v>
      </c>
      <c r="Z4" s="37">
        <v>848102</v>
      </c>
      <c r="AA4" s="37">
        <v>23707059121</v>
      </c>
      <c r="AB4" s="37">
        <v>5801337</v>
      </c>
      <c r="AC4" s="37">
        <v>22.4</v>
      </c>
      <c r="AD4" s="37">
        <v>508</v>
      </c>
      <c r="AE4" s="37">
        <v>-87.5</v>
      </c>
      <c r="AI4" s="144">
        <v>532784</v>
      </c>
      <c r="AJ4" s="145" t="s">
        <v>16</v>
      </c>
      <c r="AK4" s="146">
        <v>39645</v>
      </c>
      <c r="AL4" s="37">
        <v>6.5</v>
      </c>
      <c r="AM4" s="147" t="s">
        <v>289</v>
      </c>
      <c r="AN4" s="146">
        <v>39647</v>
      </c>
      <c r="AO4" s="146">
        <v>39653</v>
      </c>
      <c r="AP4" s="146">
        <v>39640</v>
      </c>
      <c r="AQ4" s="146">
        <v>39646</v>
      </c>
      <c r="AR4" s="145" t="s">
        <v>396</v>
      </c>
      <c r="AS4" s="37" t="s">
        <v>289</v>
      </c>
      <c r="AT4" s="37" t="s">
        <v>397</v>
      </c>
      <c r="AU4" s="37" t="s">
        <v>289</v>
      </c>
    </row>
    <row r="5" spans="2:47" ht="58.2" x14ac:dyDescent="0.3">
      <c r="B5" s="150" t="s">
        <v>299</v>
      </c>
      <c r="C5" s="152">
        <v>159</v>
      </c>
      <c r="D5" s="152">
        <v>28</v>
      </c>
      <c r="E5" s="152">
        <v>152</v>
      </c>
      <c r="F5" s="152">
        <v>193</v>
      </c>
      <c r="G5" s="152">
        <v>159</v>
      </c>
      <c r="I5" s="150" t="s">
        <v>298</v>
      </c>
      <c r="J5" s="151">
        <v>18030</v>
      </c>
      <c r="K5" s="151">
        <v>13965</v>
      </c>
      <c r="L5" s="151">
        <v>14561</v>
      </c>
      <c r="M5" s="151">
        <v>11140</v>
      </c>
      <c r="N5" s="150" t="s">
        <v>298</v>
      </c>
      <c r="O5" s="151">
        <v>9747</v>
      </c>
      <c r="P5" s="151">
        <v>14226</v>
      </c>
      <c r="Q5" s="151">
        <v>11865</v>
      </c>
      <c r="T5" s="37">
        <v>2008</v>
      </c>
      <c r="U5" s="37">
        <v>924.95</v>
      </c>
      <c r="V5" s="37">
        <v>1041.0999999999999</v>
      </c>
      <c r="W5" s="37">
        <v>81.25</v>
      </c>
      <c r="X5" s="37">
        <v>105.1</v>
      </c>
      <c r="Y5" s="37">
        <v>11100126</v>
      </c>
      <c r="Z5" s="37">
        <v>328127</v>
      </c>
      <c r="AA5" s="37">
        <v>3396846234</v>
      </c>
      <c r="AB5" s="37">
        <v>3827334</v>
      </c>
      <c r="AC5" s="37">
        <v>34.479999999999997</v>
      </c>
      <c r="AD5" s="37">
        <v>959.85</v>
      </c>
      <c r="AE5" s="37">
        <v>-819.85</v>
      </c>
      <c r="AI5" s="144">
        <v>532784</v>
      </c>
      <c r="AJ5" s="145" t="s">
        <v>16</v>
      </c>
      <c r="AK5" s="146">
        <v>39975</v>
      </c>
      <c r="AL5" s="37">
        <v>1</v>
      </c>
      <c r="AM5" s="147" t="s">
        <v>289</v>
      </c>
      <c r="AN5" s="146">
        <v>39979</v>
      </c>
      <c r="AO5" s="146">
        <v>39983</v>
      </c>
      <c r="AP5" s="146">
        <v>39972</v>
      </c>
      <c r="AQ5" s="146">
        <v>39976</v>
      </c>
      <c r="AR5" s="145" t="s">
        <v>396</v>
      </c>
      <c r="AS5" s="37" t="s">
        <v>289</v>
      </c>
      <c r="AT5" s="37" t="s">
        <v>397</v>
      </c>
      <c r="AU5" s="37" t="s">
        <v>289</v>
      </c>
    </row>
    <row r="6" spans="2:47" ht="24" x14ac:dyDescent="0.3">
      <c r="B6" s="150" t="s">
        <v>301</v>
      </c>
      <c r="C6" s="151">
        <v>26496</v>
      </c>
      <c r="D6" s="151">
        <v>22273</v>
      </c>
      <c r="E6" s="151">
        <v>18185</v>
      </c>
      <c r="F6" s="151">
        <v>24017</v>
      </c>
      <c r="G6" s="151">
        <v>21288</v>
      </c>
      <c r="I6" s="150" t="s">
        <v>299</v>
      </c>
      <c r="J6" s="152">
        <v>77</v>
      </c>
      <c r="K6" s="152">
        <v>63</v>
      </c>
      <c r="L6" s="152">
        <v>66</v>
      </c>
      <c r="M6" s="152">
        <v>45</v>
      </c>
      <c r="N6" s="150" t="s">
        <v>299</v>
      </c>
      <c r="O6" s="152">
        <v>157</v>
      </c>
      <c r="P6" s="152">
        <v>119</v>
      </c>
      <c r="Q6" s="152">
        <v>29</v>
      </c>
      <c r="T6" s="37">
        <v>2009</v>
      </c>
      <c r="U6" s="37">
        <v>107</v>
      </c>
      <c r="V6" s="37">
        <v>302</v>
      </c>
      <c r="W6" s="37">
        <v>67.45</v>
      </c>
      <c r="X6" s="37">
        <v>246.55</v>
      </c>
      <c r="Y6" s="37">
        <v>32115574</v>
      </c>
      <c r="Z6" s="37">
        <v>447751</v>
      </c>
      <c r="AA6" s="37">
        <v>6526606279</v>
      </c>
      <c r="AB6" s="37">
        <v>11405778</v>
      </c>
      <c r="AC6" s="37">
        <v>35.51</v>
      </c>
      <c r="AD6" s="37">
        <v>234.55</v>
      </c>
      <c r="AE6" s="37">
        <v>139.55000000000001</v>
      </c>
      <c r="AI6" s="144">
        <v>532784</v>
      </c>
      <c r="AJ6" s="145" t="s">
        <v>16</v>
      </c>
      <c r="AK6" s="146">
        <v>40332</v>
      </c>
      <c r="AL6" s="37">
        <v>2.5</v>
      </c>
      <c r="AM6" s="147" t="s">
        <v>289</v>
      </c>
      <c r="AN6" s="146">
        <v>40334</v>
      </c>
      <c r="AO6" s="146">
        <v>40334</v>
      </c>
      <c r="AP6" s="146">
        <v>40329</v>
      </c>
      <c r="AQ6" s="146">
        <v>40332</v>
      </c>
      <c r="AR6" s="145" t="s">
        <v>396</v>
      </c>
      <c r="AS6" s="37" t="s">
        <v>289</v>
      </c>
      <c r="AT6" s="37" t="s">
        <v>397</v>
      </c>
      <c r="AU6" s="37" t="s">
        <v>289</v>
      </c>
    </row>
    <row r="7" spans="2:47" ht="24" x14ac:dyDescent="0.3">
      <c r="B7" s="150" t="s">
        <v>303</v>
      </c>
      <c r="C7" s="151">
        <v>-23168</v>
      </c>
      <c r="D7" s="151">
        <v>-19424</v>
      </c>
      <c r="E7" s="151">
        <v>-13555</v>
      </c>
      <c r="F7" s="151">
        <v>-18811</v>
      </c>
      <c r="G7" s="151">
        <v>-16127</v>
      </c>
      <c r="I7" s="150" t="s">
        <v>303</v>
      </c>
      <c r="J7" s="151">
        <v>-13239</v>
      </c>
      <c r="K7" s="151">
        <v>-9626</v>
      </c>
      <c r="L7" s="151">
        <v>-11500</v>
      </c>
      <c r="M7" s="151">
        <v>-8595</v>
      </c>
      <c r="N7" s="150" t="s">
        <v>301</v>
      </c>
      <c r="O7" s="151">
        <v>9904</v>
      </c>
      <c r="P7" s="151">
        <v>14345</v>
      </c>
      <c r="Q7" s="151">
        <v>11894</v>
      </c>
      <c r="T7" s="37">
        <v>2010</v>
      </c>
      <c r="U7" s="37">
        <v>247.5</v>
      </c>
      <c r="V7" s="37">
        <v>403.9</v>
      </c>
      <c r="W7" s="37">
        <v>245</v>
      </c>
      <c r="X7" s="37">
        <v>324.60000000000002</v>
      </c>
      <c r="Y7" s="37">
        <v>17309907</v>
      </c>
      <c r="Z7" s="37">
        <v>380148</v>
      </c>
      <c r="AA7" s="37">
        <v>5472774701</v>
      </c>
      <c r="AB7" s="37">
        <v>5321277</v>
      </c>
      <c r="AC7" s="37">
        <v>30.74</v>
      </c>
      <c r="AD7" s="37">
        <v>158.9</v>
      </c>
      <c r="AE7" s="37">
        <v>77.099999999999994</v>
      </c>
      <c r="AI7" s="144">
        <v>532784</v>
      </c>
      <c r="AJ7" s="145" t="s">
        <v>16</v>
      </c>
      <c r="AK7" s="146">
        <v>40717</v>
      </c>
      <c r="AL7" s="37">
        <v>3</v>
      </c>
      <c r="AM7" s="147" t="s">
        <v>289</v>
      </c>
      <c r="AN7" s="146">
        <v>40719</v>
      </c>
      <c r="AO7" s="146">
        <v>40719</v>
      </c>
      <c r="AP7" s="146">
        <v>40714</v>
      </c>
      <c r="AQ7" s="146">
        <v>40717</v>
      </c>
      <c r="AR7" s="145" t="s">
        <v>396</v>
      </c>
      <c r="AS7" s="37" t="s">
        <v>289</v>
      </c>
      <c r="AT7" s="37" t="s">
        <v>397</v>
      </c>
      <c r="AU7" s="37" t="s">
        <v>289</v>
      </c>
    </row>
    <row r="8" spans="2:47" ht="24" x14ac:dyDescent="0.3">
      <c r="B8" s="150" t="s">
        <v>304</v>
      </c>
      <c r="C8" s="151">
        <v>-1948</v>
      </c>
      <c r="D8" s="151">
        <v>-1479</v>
      </c>
      <c r="E8" s="151">
        <v>-1529</v>
      </c>
      <c r="F8" s="151">
        <v>-1523</v>
      </c>
      <c r="G8" s="151">
        <v>-1369</v>
      </c>
      <c r="I8" s="150" t="s">
        <v>304</v>
      </c>
      <c r="J8" s="151">
        <v>-1429</v>
      </c>
      <c r="K8" s="151">
        <v>-1062</v>
      </c>
      <c r="L8" s="152">
        <v>-413</v>
      </c>
      <c r="M8" s="152">
        <v>-664</v>
      </c>
      <c r="N8" s="150" t="s">
        <v>303</v>
      </c>
      <c r="O8" s="151">
        <v>-7050</v>
      </c>
      <c r="P8" s="151">
        <v>-10689</v>
      </c>
      <c r="Q8" s="151">
        <v>-9303</v>
      </c>
      <c r="T8" s="37">
        <v>2011</v>
      </c>
      <c r="U8" s="37">
        <v>327.85</v>
      </c>
      <c r="V8" s="37">
        <v>329.7</v>
      </c>
      <c r="W8" s="37">
        <v>185</v>
      </c>
      <c r="X8" s="37">
        <v>191.7</v>
      </c>
      <c r="Y8" s="37">
        <v>7806534</v>
      </c>
      <c r="Z8" s="37">
        <v>171711</v>
      </c>
      <c r="AA8" s="37">
        <v>1979049292</v>
      </c>
      <c r="AB8" s="37">
        <v>4511420</v>
      </c>
      <c r="AC8" s="37">
        <v>57.79</v>
      </c>
      <c r="AD8" s="37">
        <v>144.69999999999999</v>
      </c>
      <c r="AE8" s="37">
        <v>-136.15</v>
      </c>
      <c r="AI8" s="144">
        <v>532784</v>
      </c>
      <c r="AJ8" s="145" t="s">
        <v>16</v>
      </c>
      <c r="AK8" s="146">
        <v>41081</v>
      </c>
      <c r="AL8" s="37">
        <v>5</v>
      </c>
      <c r="AM8" s="147" t="s">
        <v>289</v>
      </c>
      <c r="AN8" s="146">
        <v>41083</v>
      </c>
      <c r="AO8" s="146">
        <v>41083</v>
      </c>
      <c r="AP8" s="146">
        <v>41078</v>
      </c>
      <c r="AQ8" s="146">
        <v>41081</v>
      </c>
      <c r="AR8" s="145" t="s">
        <v>396</v>
      </c>
      <c r="AS8" s="37" t="s">
        <v>289</v>
      </c>
      <c r="AT8" s="37" t="s">
        <v>397</v>
      </c>
      <c r="AU8" s="37" t="s">
        <v>289</v>
      </c>
    </row>
    <row r="9" spans="2:47" ht="58.2" x14ac:dyDescent="0.3">
      <c r="B9" s="150" t="s">
        <v>431</v>
      </c>
      <c r="C9" s="151">
        <v>3328</v>
      </c>
      <c r="D9" s="151">
        <v>2849</v>
      </c>
      <c r="E9" s="151">
        <v>3101</v>
      </c>
      <c r="F9" s="151">
        <v>3683</v>
      </c>
      <c r="G9" s="151">
        <v>3792</v>
      </c>
      <c r="I9" s="150" t="s">
        <v>308</v>
      </c>
      <c r="J9" s="151">
        <v>3439</v>
      </c>
      <c r="K9" s="151">
        <v>3340</v>
      </c>
      <c r="L9" s="151">
        <v>2714</v>
      </c>
      <c r="M9" s="151">
        <v>1926</v>
      </c>
      <c r="N9" s="150" t="s">
        <v>309</v>
      </c>
      <c r="O9" s="151">
        <v>2854</v>
      </c>
      <c r="P9" s="151">
        <v>3656</v>
      </c>
      <c r="Q9" s="151">
        <v>2591</v>
      </c>
      <c r="T9" s="37">
        <v>2012</v>
      </c>
      <c r="U9" s="37">
        <v>192</v>
      </c>
      <c r="V9" s="37">
        <v>398</v>
      </c>
      <c r="W9" s="37">
        <v>189</v>
      </c>
      <c r="X9" s="37">
        <v>380.15</v>
      </c>
      <c r="Y9" s="37">
        <v>5748713</v>
      </c>
      <c r="Z9" s="37">
        <v>134332</v>
      </c>
      <c r="AA9" s="37">
        <v>1866704738</v>
      </c>
      <c r="AB9" s="37">
        <v>3443406</v>
      </c>
      <c r="AC9" s="37">
        <v>59.9</v>
      </c>
      <c r="AD9" s="37">
        <v>209</v>
      </c>
      <c r="AE9" s="37">
        <v>188.15</v>
      </c>
      <c r="AI9" s="144">
        <v>532784</v>
      </c>
      <c r="AJ9" s="145" t="s">
        <v>16</v>
      </c>
      <c r="AK9" s="146">
        <v>41452</v>
      </c>
      <c r="AL9" s="37">
        <v>7</v>
      </c>
      <c r="AM9" s="147" t="s">
        <v>289</v>
      </c>
      <c r="AN9" s="146">
        <v>41454</v>
      </c>
      <c r="AO9" s="146">
        <v>41454</v>
      </c>
      <c r="AP9" s="146">
        <v>41449</v>
      </c>
      <c r="AQ9" s="146">
        <v>41451</v>
      </c>
      <c r="AR9" s="145" t="s">
        <v>396</v>
      </c>
      <c r="AS9" s="37" t="s">
        <v>289</v>
      </c>
      <c r="AT9" s="37" t="s">
        <v>397</v>
      </c>
      <c r="AU9" s="37" t="s">
        <v>289</v>
      </c>
    </row>
    <row r="10" spans="2:47" ht="24" x14ac:dyDescent="0.3">
      <c r="B10" s="150" t="s">
        <v>312</v>
      </c>
      <c r="C10" s="152">
        <v>-504</v>
      </c>
      <c r="D10" s="152">
        <v>-600</v>
      </c>
      <c r="E10" s="152">
        <v>-586</v>
      </c>
      <c r="F10" s="152">
        <v>-689</v>
      </c>
      <c r="G10" s="152">
        <v>-656</v>
      </c>
      <c r="I10" s="150" t="s">
        <v>312</v>
      </c>
      <c r="J10" s="152">
        <v>-560</v>
      </c>
      <c r="K10" s="152">
        <v>-388</v>
      </c>
      <c r="L10" s="152">
        <v>-278</v>
      </c>
      <c r="M10" s="152">
        <v>-323</v>
      </c>
      <c r="N10" s="150" t="s">
        <v>304</v>
      </c>
      <c r="O10" s="151">
        <v>-1039</v>
      </c>
      <c r="P10" s="152">
        <v>-597</v>
      </c>
      <c r="Q10" s="152">
        <v>-481</v>
      </c>
      <c r="T10" s="37">
        <v>2013</v>
      </c>
      <c r="U10" s="37">
        <v>386</v>
      </c>
      <c r="V10" s="37">
        <v>472.4</v>
      </c>
      <c r="W10" s="37">
        <v>214.1</v>
      </c>
      <c r="X10" s="37">
        <v>311.14999999999998</v>
      </c>
      <c r="Y10" s="37">
        <v>6214616</v>
      </c>
      <c r="Z10" s="37">
        <v>195889</v>
      </c>
      <c r="AA10" s="37">
        <v>2162049005</v>
      </c>
      <c r="AB10" s="37">
        <v>3792534</v>
      </c>
      <c r="AC10" s="37">
        <v>61.03</v>
      </c>
      <c r="AD10" s="37">
        <v>258.3</v>
      </c>
      <c r="AE10" s="37">
        <v>-74.849999999999994</v>
      </c>
      <c r="AI10" s="144">
        <v>532784</v>
      </c>
      <c r="AJ10" s="145" t="s">
        <v>16</v>
      </c>
      <c r="AK10" s="146">
        <v>41823</v>
      </c>
      <c r="AL10" s="37">
        <v>7</v>
      </c>
      <c r="AM10" s="147" t="s">
        <v>289</v>
      </c>
      <c r="AN10" s="146">
        <v>41825</v>
      </c>
      <c r="AO10" s="146">
        <v>41825</v>
      </c>
      <c r="AP10" s="146">
        <v>41817</v>
      </c>
      <c r="AQ10" s="146">
        <v>41823</v>
      </c>
      <c r="AR10" s="145" t="s">
        <v>396</v>
      </c>
      <c r="AS10" s="37" t="s">
        <v>289</v>
      </c>
      <c r="AT10" s="37" t="s">
        <v>397</v>
      </c>
      <c r="AU10" s="37" t="s">
        <v>289</v>
      </c>
    </row>
    <row r="11" spans="2:47" ht="58.2" x14ac:dyDescent="0.3">
      <c r="B11" s="150" t="s">
        <v>432</v>
      </c>
      <c r="C11" s="151">
        <v>2824</v>
      </c>
      <c r="D11" s="151">
        <v>2249</v>
      </c>
      <c r="E11" s="151">
        <v>2515</v>
      </c>
      <c r="F11" s="151">
        <v>2994</v>
      </c>
      <c r="G11" s="151">
        <v>3136</v>
      </c>
      <c r="I11" s="150" t="s">
        <v>315</v>
      </c>
      <c r="J11" s="151">
        <v>2879</v>
      </c>
      <c r="K11" s="151">
        <v>2952</v>
      </c>
      <c r="L11" s="151">
        <v>2436</v>
      </c>
      <c r="M11" s="151">
        <v>1603</v>
      </c>
      <c r="N11" s="150" t="s">
        <v>308</v>
      </c>
      <c r="O11" s="151">
        <v>1815</v>
      </c>
      <c r="P11" s="151">
        <v>3059</v>
      </c>
      <c r="Q11" s="151">
        <v>2110</v>
      </c>
      <c r="T11" s="37">
        <v>2014</v>
      </c>
      <c r="U11" s="37">
        <v>315</v>
      </c>
      <c r="V11" s="37">
        <v>581</v>
      </c>
      <c r="W11" s="37">
        <v>260.2</v>
      </c>
      <c r="X11" s="37">
        <v>482.4</v>
      </c>
      <c r="Y11" s="37">
        <v>5685767</v>
      </c>
      <c r="Z11" s="37">
        <v>359160</v>
      </c>
      <c r="AA11" s="37">
        <v>2449378131</v>
      </c>
      <c r="AB11" s="37">
        <v>2934403</v>
      </c>
      <c r="AC11" s="37">
        <v>51.61</v>
      </c>
      <c r="AD11" s="37">
        <v>320.8</v>
      </c>
      <c r="AE11" s="37">
        <v>167.4</v>
      </c>
      <c r="AI11" s="144">
        <v>532784</v>
      </c>
      <c r="AJ11" s="145" t="s">
        <v>16</v>
      </c>
      <c r="AK11" s="146">
        <v>42187</v>
      </c>
      <c r="AL11" s="37">
        <v>7</v>
      </c>
      <c r="AM11" s="147" t="s">
        <v>289</v>
      </c>
      <c r="AN11" s="146">
        <v>42189</v>
      </c>
      <c r="AO11" s="146">
        <v>42189</v>
      </c>
      <c r="AP11" s="146">
        <v>42184</v>
      </c>
      <c r="AQ11" s="146">
        <v>42187</v>
      </c>
      <c r="AR11" s="145" t="s">
        <v>396</v>
      </c>
      <c r="AS11" s="37" t="s">
        <v>289</v>
      </c>
      <c r="AT11" s="37" t="s">
        <v>397</v>
      </c>
      <c r="AU11" s="37" t="s">
        <v>289</v>
      </c>
    </row>
    <row r="12" spans="2:47" ht="24" x14ac:dyDescent="0.3">
      <c r="B12" s="150" t="s">
        <v>318</v>
      </c>
      <c r="C12" s="152">
        <v>-885</v>
      </c>
      <c r="D12" s="152">
        <v>-847</v>
      </c>
      <c r="E12" s="151">
        <v>-1146</v>
      </c>
      <c r="F12" s="151">
        <v>-1003</v>
      </c>
      <c r="G12" s="151">
        <v>-1071</v>
      </c>
      <c r="I12" s="150" t="s">
        <v>318</v>
      </c>
      <c r="J12" s="152">
        <v>-912</v>
      </c>
      <c r="K12" s="152">
        <v>-944</v>
      </c>
      <c r="L12" s="152">
        <v>-612</v>
      </c>
      <c r="M12" s="152">
        <v>-236</v>
      </c>
      <c r="N12" s="150" t="s">
        <v>312</v>
      </c>
      <c r="O12" s="152">
        <v>-360</v>
      </c>
      <c r="P12" s="152">
        <v>-350</v>
      </c>
      <c r="Q12" s="152">
        <v>-244</v>
      </c>
      <c r="T12" s="37">
        <v>2015</v>
      </c>
      <c r="U12" s="37">
        <v>485</v>
      </c>
      <c r="V12" s="37">
        <v>514.9</v>
      </c>
      <c r="W12" s="37">
        <v>244.2</v>
      </c>
      <c r="X12" s="37">
        <v>314.75</v>
      </c>
      <c r="Y12" s="37">
        <v>6722091</v>
      </c>
      <c r="Z12" s="37">
        <v>234628</v>
      </c>
      <c r="AA12" s="37">
        <v>2570145403</v>
      </c>
      <c r="AB12" s="37">
        <v>4490276</v>
      </c>
      <c r="AC12" s="37">
        <v>66.8</v>
      </c>
      <c r="AD12" s="37">
        <v>270.7</v>
      </c>
      <c r="AE12" s="37">
        <v>-170.25</v>
      </c>
      <c r="AI12" s="144">
        <v>532784</v>
      </c>
      <c r="AJ12" s="145" t="s">
        <v>16</v>
      </c>
      <c r="AK12" s="146">
        <v>42572</v>
      </c>
      <c r="AL12" s="37">
        <v>2</v>
      </c>
      <c r="AM12" s="147" t="s">
        <v>289</v>
      </c>
      <c r="AN12" s="146">
        <v>42574</v>
      </c>
      <c r="AO12" s="146">
        <v>42574</v>
      </c>
      <c r="AP12" s="146">
        <v>42569</v>
      </c>
      <c r="AQ12" s="146">
        <v>42572</v>
      </c>
      <c r="AR12" s="145" t="s">
        <v>396</v>
      </c>
      <c r="AS12" s="37" t="s">
        <v>289</v>
      </c>
      <c r="AT12" s="37" t="s">
        <v>397</v>
      </c>
      <c r="AU12" s="37" t="s">
        <v>289</v>
      </c>
    </row>
    <row r="13" spans="2:47" ht="24" x14ac:dyDescent="0.3">
      <c r="B13" s="150" t="s">
        <v>320</v>
      </c>
      <c r="C13" s="151">
        <v>1939</v>
      </c>
      <c r="D13" s="151">
        <v>1402</v>
      </c>
      <c r="E13" s="151">
        <v>1369</v>
      </c>
      <c r="F13" s="151">
        <v>1991</v>
      </c>
      <c r="G13" s="151">
        <v>2065</v>
      </c>
      <c r="I13" s="150" t="s">
        <v>320</v>
      </c>
      <c r="J13" s="151">
        <v>1967</v>
      </c>
      <c r="K13" s="151">
        <v>2008</v>
      </c>
      <c r="L13" s="151">
        <v>1824</v>
      </c>
      <c r="M13" s="151">
        <v>1367</v>
      </c>
      <c r="N13" s="150" t="s">
        <v>315</v>
      </c>
      <c r="O13" s="151">
        <v>1455</v>
      </c>
      <c r="P13" s="151">
        <v>2709</v>
      </c>
      <c r="Q13" s="151">
        <v>1866</v>
      </c>
      <c r="T13" s="37">
        <v>2016</v>
      </c>
      <c r="U13" s="37">
        <v>310.5</v>
      </c>
      <c r="V13" s="37">
        <v>346</v>
      </c>
      <c r="W13" s="37">
        <v>224.05</v>
      </c>
      <c r="X13" s="37">
        <v>246.35</v>
      </c>
      <c r="Y13" s="37">
        <v>2846764</v>
      </c>
      <c r="Z13" s="37">
        <v>107950</v>
      </c>
      <c r="AA13" s="37">
        <v>826303119</v>
      </c>
      <c r="AB13" s="37">
        <v>1580340</v>
      </c>
      <c r="AC13" s="37">
        <v>55.51</v>
      </c>
      <c r="AD13" s="37">
        <v>121.95</v>
      </c>
      <c r="AE13" s="37">
        <v>-64.150000000000006</v>
      </c>
      <c r="AI13" s="144">
        <v>532784</v>
      </c>
      <c r="AJ13" s="145" t="s">
        <v>16</v>
      </c>
      <c r="AK13" s="146">
        <v>42936</v>
      </c>
      <c r="AL13" s="37">
        <v>2.5</v>
      </c>
      <c r="AM13" s="147" t="s">
        <v>289</v>
      </c>
      <c r="AN13" s="146">
        <v>42940</v>
      </c>
      <c r="AO13" s="146">
        <v>42940</v>
      </c>
      <c r="AP13" s="146">
        <v>42933</v>
      </c>
      <c r="AQ13" s="146">
        <v>42937</v>
      </c>
      <c r="AR13" s="145" t="s">
        <v>396</v>
      </c>
      <c r="AS13" s="37" t="s">
        <v>289</v>
      </c>
      <c r="AT13" s="37" t="s">
        <v>397</v>
      </c>
      <c r="AU13" s="37" t="s">
        <v>289</v>
      </c>
    </row>
    <row r="14" spans="2:47" ht="23.4" x14ac:dyDescent="0.25">
      <c r="B14" s="150" t="s">
        <v>244</v>
      </c>
      <c r="C14" s="152">
        <v>948</v>
      </c>
      <c r="D14" s="152">
        <v>963</v>
      </c>
      <c r="E14" s="152">
        <v>981</v>
      </c>
      <c r="F14" s="152">
        <v>981</v>
      </c>
      <c r="G14" s="152">
        <v>981</v>
      </c>
      <c r="I14" s="150" t="s">
        <v>323</v>
      </c>
      <c r="J14" s="152">
        <v>981</v>
      </c>
      <c r="K14" s="152">
        <v>981</v>
      </c>
      <c r="L14" s="152">
        <v>981</v>
      </c>
      <c r="M14" s="152">
        <v>981</v>
      </c>
      <c r="N14" s="150" t="s">
        <v>318</v>
      </c>
      <c r="O14" s="152">
        <v>-358</v>
      </c>
      <c r="P14" s="152">
        <v>-426</v>
      </c>
      <c r="Q14" s="152">
        <v>-251</v>
      </c>
      <c r="T14" s="37">
        <v>2017</v>
      </c>
      <c r="U14" s="37">
        <v>248</v>
      </c>
      <c r="V14" s="37">
        <v>647.15</v>
      </c>
      <c r="W14" s="37">
        <v>247.1</v>
      </c>
      <c r="X14" s="37">
        <v>618.29999999999995</v>
      </c>
      <c r="Y14" s="37">
        <v>16216607</v>
      </c>
      <c r="Z14" s="37">
        <v>398108</v>
      </c>
      <c r="AA14" s="37">
        <v>6981664548</v>
      </c>
      <c r="AB14" s="37">
        <v>7888488</v>
      </c>
      <c r="AC14" s="37">
        <v>48.64</v>
      </c>
      <c r="AD14" s="37">
        <v>400.05</v>
      </c>
      <c r="AE14" s="37">
        <v>370.3</v>
      </c>
      <c r="AL14" s="37">
        <f>SUM(AL3:AL13)</f>
        <v>49</v>
      </c>
    </row>
    <row r="15" spans="2:47" ht="13.8" x14ac:dyDescent="0.25">
      <c r="B15" s="150" t="s">
        <v>249</v>
      </c>
      <c r="C15" s="152">
        <v>20.28</v>
      </c>
      <c r="D15" s="152">
        <v>14.47</v>
      </c>
      <c r="E15" s="152">
        <v>13.96</v>
      </c>
      <c r="F15" s="152">
        <v>20.3</v>
      </c>
      <c r="G15" s="152">
        <v>21.06</v>
      </c>
      <c r="I15" s="150" t="s">
        <v>325</v>
      </c>
      <c r="J15" s="151">
        <v>20187</v>
      </c>
      <c r="K15" s="151">
        <v>19024</v>
      </c>
      <c r="L15" s="151">
        <v>17585</v>
      </c>
      <c r="M15" s="151">
        <v>16104</v>
      </c>
      <c r="N15" s="150" t="s">
        <v>320</v>
      </c>
      <c r="O15" s="151">
        <v>1097</v>
      </c>
      <c r="P15" s="151">
        <v>2283</v>
      </c>
      <c r="Q15" s="151">
        <v>1615</v>
      </c>
      <c r="T15" s="37">
        <v>2018</v>
      </c>
      <c r="U15" s="37">
        <v>614.35</v>
      </c>
      <c r="V15" s="37">
        <v>687</v>
      </c>
      <c r="W15" s="37">
        <v>458.1</v>
      </c>
      <c r="X15" s="37">
        <v>507.2</v>
      </c>
      <c r="Y15" s="37">
        <v>6242222</v>
      </c>
      <c r="Z15" s="37">
        <v>135147</v>
      </c>
      <c r="AA15" s="37">
        <v>3520158816</v>
      </c>
      <c r="AB15" s="37">
        <v>3431174</v>
      </c>
      <c r="AC15" s="37">
        <v>54.97</v>
      </c>
      <c r="AD15" s="37">
        <v>228.9</v>
      </c>
      <c r="AE15" s="37">
        <v>-107.15</v>
      </c>
    </row>
    <row r="16" spans="2:47" ht="57.6" x14ac:dyDescent="0.25">
      <c r="B16" s="150" t="s">
        <v>433</v>
      </c>
      <c r="C16" s="152">
        <v>25.77</v>
      </c>
      <c r="D16" s="152">
        <v>20.79</v>
      </c>
      <c r="E16" s="152">
        <v>19.93</v>
      </c>
      <c r="F16" s="152">
        <v>27.32</v>
      </c>
      <c r="G16" s="152">
        <v>27.74</v>
      </c>
      <c r="I16" s="150" t="s">
        <v>329</v>
      </c>
      <c r="J16" s="152">
        <v>20.059999999999999</v>
      </c>
      <c r="K16" s="152">
        <v>20.48</v>
      </c>
      <c r="L16" s="152">
        <v>18.61</v>
      </c>
      <c r="M16" s="152">
        <v>14.92</v>
      </c>
      <c r="N16" s="150" t="s">
        <v>323</v>
      </c>
      <c r="O16" s="152">
        <v>729</v>
      </c>
      <c r="P16" s="152">
        <v>729</v>
      </c>
      <c r="Q16" s="152">
        <v>729</v>
      </c>
      <c r="U16" s="37">
        <f>(100*AL14)/U3</f>
        <v>4.409448818897638</v>
      </c>
    </row>
    <row r="17" spans="2:17" ht="34.799999999999997" x14ac:dyDescent="0.25">
      <c r="B17" s="150" t="s">
        <v>434</v>
      </c>
      <c r="C17" s="152">
        <v>12.64</v>
      </c>
      <c r="D17" s="152">
        <v>12.81</v>
      </c>
      <c r="E17" s="152">
        <v>25.68</v>
      </c>
      <c r="F17" s="152">
        <v>21.85</v>
      </c>
      <c r="G17" s="152">
        <v>24.43</v>
      </c>
      <c r="I17" s="150" t="s">
        <v>334</v>
      </c>
      <c r="J17" s="152" t="s">
        <v>653</v>
      </c>
      <c r="K17" s="152" t="s">
        <v>654</v>
      </c>
      <c r="L17" s="152" t="s">
        <v>655</v>
      </c>
      <c r="M17" s="152" t="s">
        <v>656</v>
      </c>
      <c r="N17" s="150" t="s">
        <v>325</v>
      </c>
      <c r="O17" s="151">
        <v>10166</v>
      </c>
      <c r="P17" s="151">
        <v>9155</v>
      </c>
      <c r="Q17" s="151">
        <v>7896</v>
      </c>
    </row>
    <row r="18" spans="2:17" ht="57.6" x14ac:dyDescent="0.25">
      <c r="B18" s="150" t="s">
        <v>435</v>
      </c>
      <c r="C18" s="152">
        <v>7.36</v>
      </c>
      <c r="D18" s="152">
        <v>6.3</v>
      </c>
      <c r="E18" s="152">
        <v>7.59</v>
      </c>
      <c r="F18" s="152">
        <v>8.36</v>
      </c>
      <c r="G18" s="152">
        <v>9.77</v>
      </c>
      <c r="I18" s="150" t="s">
        <v>345</v>
      </c>
      <c r="J18" s="152">
        <v>39.42</v>
      </c>
      <c r="K18" s="152">
        <v>39.450000000000003</v>
      </c>
      <c r="L18" s="152">
        <v>39.450000000000003</v>
      </c>
      <c r="M18" s="152">
        <v>39</v>
      </c>
      <c r="N18" s="150" t="s">
        <v>329</v>
      </c>
      <c r="O18" s="152">
        <v>15.04</v>
      </c>
      <c r="P18" s="152">
        <v>31.32</v>
      </c>
      <c r="Q18" s="152">
        <v>24.26</v>
      </c>
    </row>
    <row r="19" spans="2:17" ht="35.4" x14ac:dyDescent="0.3">
      <c r="B19" s="150"/>
      <c r="C19" s="178" t="s">
        <v>437</v>
      </c>
      <c r="D19" s="178" t="s">
        <v>437</v>
      </c>
      <c r="E19" s="178" t="s">
        <v>437</v>
      </c>
      <c r="F19" s="178" t="s">
        <v>437</v>
      </c>
      <c r="G19" s="178" t="s">
        <v>437</v>
      </c>
      <c r="I19" s="150" t="s">
        <v>351</v>
      </c>
      <c r="J19" s="152">
        <v>27</v>
      </c>
      <c r="K19" s="152">
        <v>31.52</v>
      </c>
      <c r="L19" s="152">
        <v>21.48</v>
      </c>
      <c r="M19" s="152">
        <v>23.25</v>
      </c>
      <c r="N19" s="150" t="s">
        <v>334</v>
      </c>
      <c r="O19" s="152" t="s">
        <v>657</v>
      </c>
      <c r="P19" s="152" t="s">
        <v>657</v>
      </c>
      <c r="Q19" s="152" t="s">
        <v>658</v>
      </c>
    </row>
    <row r="20" spans="2:17" ht="35.4" x14ac:dyDescent="0.3">
      <c r="B20" s="150"/>
      <c r="C20" s="178" t="s">
        <v>438</v>
      </c>
      <c r="D20" s="178" t="s">
        <v>438</v>
      </c>
      <c r="E20" s="178" t="s">
        <v>438</v>
      </c>
      <c r="F20" s="178" t="s">
        <v>438</v>
      </c>
      <c r="G20" s="178" t="s">
        <v>438</v>
      </c>
      <c r="I20" s="150" t="s">
        <v>355</v>
      </c>
      <c r="J20" s="152">
        <v>10.91</v>
      </c>
      <c r="K20" s="152">
        <v>14.38</v>
      </c>
      <c r="L20" s="152">
        <v>12.53</v>
      </c>
      <c r="M20" s="152">
        <v>12.27</v>
      </c>
      <c r="N20" s="150" t="s">
        <v>345</v>
      </c>
      <c r="O20" s="152">
        <v>13</v>
      </c>
      <c r="P20" s="152">
        <v>13</v>
      </c>
      <c r="Q20" s="152">
        <v>13.13</v>
      </c>
    </row>
    <row r="21" spans="2:17" ht="15.75" customHeight="1" x14ac:dyDescent="0.3">
      <c r="B21" s="150"/>
      <c r="C21" s="178" t="s">
        <v>506</v>
      </c>
      <c r="D21" s="178" t="s">
        <v>506</v>
      </c>
      <c r="E21" s="181" t="s">
        <v>442</v>
      </c>
      <c r="F21" s="181" t="s">
        <v>442</v>
      </c>
      <c r="G21" s="181" t="s">
        <v>442</v>
      </c>
      <c r="I21" s="150" t="s">
        <v>360</v>
      </c>
      <c r="J21" s="152">
        <v>25.76</v>
      </c>
      <c r="K21" s="152">
        <v>24.42</v>
      </c>
      <c r="L21" s="152">
        <v>21.43</v>
      </c>
      <c r="M21" s="152">
        <v>17.23</v>
      </c>
      <c r="N21" s="150" t="s">
        <v>351</v>
      </c>
      <c r="O21" s="152">
        <v>29.28</v>
      </c>
      <c r="P21" s="152">
        <v>25.7</v>
      </c>
      <c r="Q21" s="152">
        <v>21.84</v>
      </c>
    </row>
    <row r="22" spans="2:17" ht="15.75" customHeight="1" x14ac:dyDescent="0.3">
      <c r="I22" s="150" t="s">
        <v>361</v>
      </c>
      <c r="J22" s="154" t="s">
        <v>361</v>
      </c>
      <c r="K22" s="154" t="s">
        <v>361</v>
      </c>
      <c r="L22" s="154" t="s">
        <v>361</v>
      </c>
      <c r="M22" s="154" t="s">
        <v>361</v>
      </c>
      <c r="N22" s="150" t="s">
        <v>355</v>
      </c>
      <c r="O22" s="152">
        <v>11.25</v>
      </c>
      <c r="P22" s="152">
        <v>16.05</v>
      </c>
      <c r="Q22" s="152">
        <v>13.61</v>
      </c>
    </row>
    <row r="23" spans="2:17" ht="15.75" customHeight="1" x14ac:dyDescent="0.25">
      <c r="N23" s="150" t="s">
        <v>360</v>
      </c>
      <c r="O23" s="152">
        <v>19.989999999999998</v>
      </c>
      <c r="P23" s="152">
        <v>36.119999999999997</v>
      </c>
      <c r="Q23" s="152" t="s">
        <v>289</v>
      </c>
    </row>
    <row r="24" spans="2:17" ht="15.75" customHeight="1" x14ac:dyDescent="0.3">
      <c r="N24" s="150" t="s">
        <v>361</v>
      </c>
      <c r="O24" s="154" t="s">
        <v>361</v>
      </c>
      <c r="P24" s="154" t="s">
        <v>361</v>
      </c>
      <c r="Q24" s="154" t="s">
        <v>361</v>
      </c>
    </row>
    <row r="25" spans="2:17" ht="15.75" customHeight="1" x14ac:dyDescent="0.25"/>
    <row r="26" spans="2:17" ht="15.75" customHeight="1" x14ac:dyDescent="0.25"/>
    <row r="27" spans="2:17" ht="15.75" customHeight="1" x14ac:dyDescent="0.25"/>
    <row r="28" spans="2:17" ht="15.75" customHeight="1" x14ac:dyDescent="0.25"/>
    <row r="29" spans="2:17" ht="15.75" customHeight="1" x14ac:dyDescent="0.25"/>
    <row r="30" spans="2:17" ht="15.75" customHeight="1" x14ac:dyDescent="0.25"/>
    <row r="31" spans="2:17" ht="15.75" customHeight="1" x14ac:dyDescent="0.25"/>
    <row r="32" spans="2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B3:H3"/>
    <mergeCell ref="J4:M4"/>
    <mergeCell ref="O4:Q4"/>
  </mergeCells>
  <hyperlinks>
    <hyperlink ref="AI3" r:id="rId1" display="https://www.bseindia.com/corporates/ScripWiseCorpAction.aspx?scrip_cd=532784" xr:uid="{00000000-0004-0000-1400-000000000000}"/>
    <hyperlink ref="AI4" r:id="rId2" display="https://www.bseindia.com/corporates/ScripWiseCorpAction.aspx?scrip_cd=532784" xr:uid="{00000000-0004-0000-1400-000001000000}"/>
    <hyperlink ref="AI5" r:id="rId3" display="https://www.bseindia.com/corporates/ScripWiseCorpAction.aspx?scrip_cd=532784" xr:uid="{00000000-0004-0000-1400-000002000000}"/>
    <hyperlink ref="AI6" r:id="rId4" display="https://www.bseindia.com/corporates/ScripWiseCorpAction.aspx?scrip_cd=532784" xr:uid="{00000000-0004-0000-1400-000003000000}"/>
    <hyperlink ref="AI7" r:id="rId5" display="https://www.bseindia.com/corporates/ScripWiseCorpAction.aspx?scrip_cd=532784" xr:uid="{00000000-0004-0000-1400-000004000000}"/>
    <hyperlink ref="AI8" r:id="rId6" display="https://www.bseindia.com/corporates/ScripWiseCorpAction.aspx?scrip_cd=532784" xr:uid="{00000000-0004-0000-1400-000005000000}"/>
    <hyperlink ref="AI9" r:id="rId7" display="https://www.bseindia.com/corporates/ScripWiseCorpAction.aspx?scrip_cd=532784" xr:uid="{00000000-0004-0000-1400-000006000000}"/>
    <hyperlink ref="AI10" r:id="rId8" display="https://www.bseindia.com/corporates/ScripWiseCorpAction.aspx?scrip_cd=532784" xr:uid="{00000000-0004-0000-1400-000007000000}"/>
    <hyperlink ref="AI11" r:id="rId9" display="https://www.bseindia.com/corporates/ScripWiseCorpAction.aspx?scrip_cd=532784" xr:uid="{00000000-0004-0000-1400-000008000000}"/>
    <hyperlink ref="AI12" r:id="rId10" display="https://www.bseindia.com/corporates/ScripWiseCorpAction.aspx?scrip_cd=532784" xr:uid="{00000000-0004-0000-1400-000009000000}"/>
    <hyperlink ref="AI13" r:id="rId11" display="https://www.bseindia.com/corporates/ScripWiseCorpAction.aspx?scrip_cd=532784" xr:uid="{00000000-0004-0000-1400-00000A000000}"/>
    <hyperlink ref="C19" r:id="rId12" xr:uid="{00000000-0004-0000-1400-00000B000000}"/>
    <hyperlink ref="D19" r:id="rId13" xr:uid="{00000000-0004-0000-1400-00000C000000}"/>
    <hyperlink ref="E19" r:id="rId14" xr:uid="{00000000-0004-0000-1400-00000D000000}"/>
    <hyperlink ref="F19" r:id="rId15" xr:uid="{00000000-0004-0000-1400-00000E000000}"/>
    <hyperlink ref="G19" r:id="rId16" xr:uid="{00000000-0004-0000-1400-00000F000000}"/>
    <hyperlink ref="C20" r:id="rId17" xr:uid="{00000000-0004-0000-1400-000010000000}"/>
    <hyperlink ref="D20" r:id="rId18" xr:uid="{00000000-0004-0000-1400-000011000000}"/>
    <hyperlink ref="E20" r:id="rId19" xr:uid="{00000000-0004-0000-1400-000012000000}"/>
    <hyperlink ref="F20" r:id="rId20" xr:uid="{00000000-0004-0000-1400-000013000000}"/>
    <hyperlink ref="G20" r:id="rId21" xr:uid="{00000000-0004-0000-1400-000014000000}"/>
    <hyperlink ref="C21" r:id="rId22" xr:uid="{00000000-0004-0000-1400-000015000000}"/>
    <hyperlink ref="D21" r:id="rId23" xr:uid="{00000000-0004-0000-1400-000016000000}"/>
  </hyperlinks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1:A1000"/>
  <sheetViews>
    <sheetView workbookViewId="0"/>
  </sheetViews>
  <sheetFormatPr defaultColWidth="12.59765625" defaultRowHeight="15" customHeight="1" x14ac:dyDescent="0.25"/>
  <cols>
    <col min="1" max="26" width="7.597656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Z1007"/>
  <sheetViews>
    <sheetView showGridLines="0" workbookViewId="0"/>
  </sheetViews>
  <sheetFormatPr defaultColWidth="12.59765625" defaultRowHeight="15" customHeight="1" x14ac:dyDescent="0.25"/>
  <cols>
    <col min="1" max="1" width="7.8984375" customWidth="1"/>
    <col min="2" max="2" width="15.69921875" customWidth="1"/>
    <col min="3" max="3" width="10.09765625" customWidth="1"/>
    <col min="4" max="4" width="11" customWidth="1"/>
    <col min="5" max="5" width="11.59765625" customWidth="1"/>
    <col min="6" max="6" width="13.69921875" customWidth="1"/>
    <col min="7" max="7" width="11.3984375" customWidth="1"/>
    <col min="8" max="8" width="11.09765625" customWidth="1"/>
    <col min="9" max="9" width="11.69921875" customWidth="1"/>
    <col min="10" max="10" width="8.3984375" customWidth="1"/>
    <col min="11" max="11" width="9.19921875" customWidth="1"/>
    <col min="12" max="12" width="10.3984375" customWidth="1"/>
    <col min="13" max="13" width="10" customWidth="1"/>
    <col min="14" max="14" width="12.59765625" customWidth="1"/>
    <col min="15" max="15" width="7.09765625" customWidth="1"/>
    <col min="16" max="16" width="9" customWidth="1"/>
    <col min="17" max="17" width="10.09765625" customWidth="1"/>
    <col min="18" max="18" width="11.8984375" customWidth="1"/>
    <col min="19" max="19" width="15.59765625" customWidth="1"/>
    <col min="20" max="20" width="9.09765625" customWidth="1"/>
    <col min="21" max="21" width="5.09765625" customWidth="1"/>
    <col min="22" max="22" width="7.19921875" customWidth="1"/>
    <col min="23" max="23" width="10.69921875" customWidth="1"/>
    <col min="24" max="24" width="11.69921875" customWidth="1"/>
    <col min="25" max="25" width="12.09765625" customWidth="1"/>
    <col min="26" max="26" width="7.59765625" customWidth="1"/>
  </cols>
  <sheetData>
    <row r="1" spans="1:24" ht="14.4" x14ac:dyDescent="0.3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8"/>
      <c r="S1" s="198"/>
      <c r="T1" s="198"/>
      <c r="U1" s="198"/>
      <c r="V1" s="198"/>
      <c r="W1" s="198"/>
      <c r="X1" s="198"/>
    </row>
    <row r="2" spans="1:24" ht="14.4" x14ac:dyDescent="0.3">
      <c r="A2" s="199"/>
      <c r="B2" s="200" t="s">
        <v>197</v>
      </c>
      <c r="C2" s="200" t="s">
        <v>659</v>
      </c>
      <c r="D2" s="200" t="s">
        <v>660</v>
      </c>
      <c r="E2" s="200" t="s">
        <v>235</v>
      </c>
      <c r="F2" s="200" t="s">
        <v>236</v>
      </c>
      <c r="G2" s="200" t="s">
        <v>249</v>
      </c>
      <c r="H2" s="200" t="s">
        <v>52</v>
      </c>
      <c r="I2" s="200" t="s">
        <v>244</v>
      </c>
      <c r="J2" s="200" t="s">
        <v>661</v>
      </c>
      <c r="K2" s="200" t="s">
        <v>662</v>
      </c>
      <c r="L2" s="200" t="s">
        <v>663</v>
      </c>
      <c r="M2" s="200" t="s">
        <v>664</v>
      </c>
      <c r="N2" s="200" t="s">
        <v>665</v>
      </c>
      <c r="O2" s="200" t="s">
        <v>666</v>
      </c>
      <c r="P2" s="200" t="s">
        <v>667</v>
      </c>
      <c r="Q2" s="200" t="s">
        <v>668</v>
      </c>
      <c r="R2" s="201"/>
      <c r="S2" s="201"/>
      <c r="T2" s="201"/>
      <c r="U2" s="201"/>
      <c r="V2" s="201"/>
      <c r="W2" s="201"/>
      <c r="X2" s="201"/>
    </row>
    <row r="3" spans="1:24" ht="14.4" x14ac:dyDescent="0.3">
      <c r="A3" s="199"/>
      <c r="B3" s="202" t="s">
        <v>13</v>
      </c>
      <c r="C3" s="203">
        <f ca="1">IFERROR(__xludf.DUMMYFUNCTION("GOOGLEFINANCE(""nse:""&amp;B3,""price"")"),2230)</f>
        <v>2230</v>
      </c>
      <c r="D3" s="203">
        <f ca="1">IFERROR(__xludf.DUMMYFUNCTION("GOOGLEFINANCE(""nse:""&amp;B3,""marketcap"")/10000000"),62027.7204)</f>
        <v>62027.720399999998</v>
      </c>
      <c r="E3" s="204">
        <v>2252</v>
      </c>
      <c r="F3" s="204">
        <v>620</v>
      </c>
      <c r="G3" s="204">
        <v>20.55</v>
      </c>
      <c r="H3" s="205">
        <v>5</v>
      </c>
      <c r="I3" s="204">
        <v>139</v>
      </c>
      <c r="J3" s="205">
        <v>9125</v>
      </c>
      <c r="K3" s="204">
        <v>6411</v>
      </c>
      <c r="L3" s="204">
        <v>13</v>
      </c>
      <c r="M3" s="204">
        <v>20172</v>
      </c>
      <c r="N3" s="204">
        <v>13786</v>
      </c>
      <c r="O3" s="204">
        <v>23105</v>
      </c>
      <c r="P3" s="204">
        <v>13850</v>
      </c>
      <c r="Q3" s="204">
        <v>359</v>
      </c>
      <c r="R3" s="201"/>
      <c r="S3" s="201"/>
      <c r="T3" s="201"/>
      <c r="U3" s="201"/>
      <c r="V3" s="201"/>
      <c r="W3" s="201"/>
      <c r="X3" s="201"/>
    </row>
    <row r="4" spans="1:24" ht="14.4" x14ac:dyDescent="0.3">
      <c r="A4" s="199"/>
      <c r="B4" s="206" t="s">
        <v>669</v>
      </c>
      <c r="C4" s="206">
        <v>1672</v>
      </c>
      <c r="D4" s="207">
        <f ca="1">C4*D3/C3</f>
        <v>46506.882739372195</v>
      </c>
      <c r="E4" s="206">
        <v>1825</v>
      </c>
      <c r="F4" s="206">
        <v>350</v>
      </c>
      <c r="G4" s="206">
        <v>12.68</v>
      </c>
      <c r="H4" s="208">
        <v>5</v>
      </c>
      <c r="I4" s="208">
        <v>139</v>
      </c>
      <c r="J4" s="208">
        <v>8125</v>
      </c>
      <c r="K4" s="208">
        <v>5170</v>
      </c>
      <c r="L4" s="206">
        <v>26</v>
      </c>
      <c r="M4" s="208">
        <v>15095</v>
      </c>
      <c r="N4" s="208">
        <v>8015</v>
      </c>
      <c r="O4" s="208">
        <v>17803</v>
      </c>
      <c r="P4" s="208">
        <v>9129</v>
      </c>
      <c r="Q4" s="206">
        <v>192</v>
      </c>
      <c r="R4" s="201"/>
      <c r="S4" s="201"/>
      <c r="T4" s="201"/>
      <c r="U4" s="201"/>
      <c r="V4" s="201"/>
      <c r="W4" s="201"/>
      <c r="X4" s="201"/>
    </row>
    <row r="5" spans="1:24" ht="14.4" x14ac:dyDescent="0.3">
      <c r="A5" s="199"/>
      <c r="B5" s="206" t="s">
        <v>670</v>
      </c>
      <c r="C5" s="209">
        <f t="shared" ref="C5:Q5" ca="1" si="0">(C3/C4)-1</f>
        <v>0.33373205741626788</v>
      </c>
      <c r="D5" s="209">
        <f t="shared" ca="1" si="0"/>
        <v>0.33373205741626788</v>
      </c>
      <c r="E5" s="209">
        <f t="shared" si="0"/>
        <v>0.23397260273972598</v>
      </c>
      <c r="F5" s="209">
        <f t="shared" si="0"/>
        <v>0.77142857142857135</v>
      </c>
      <c r="G5" s="209">
        <f t="shared" si="0"/>
        <v>0.62066246056782348</v>
      </c>
      <c r="H5" s="209">
        <f t="shared" si="0"/>
        <v>0</v>
      </c>
      <c r="I5" s="209">
        <f t="shared" si="0"/>
        <v>0</v>
      </c>
      <c r="J5" s="209">
        <f t="shared" si="0"/>
        <v>0.12307692307692308</v>
      </c>
      <c r="K5" s="209">
        <f t="shared" si="0"/>
        <v>0.24003868471953571</v>
      </c>
      <c r="L5" s="209">
        <f t="shared" si="0"/>
        <v>-0.5</v>
      </c>
      <c r="M5" s="209">
        <f t="shared" si="0"/>
        <v>0.33633653527658169</v>
      </c>
      <c r="N5" s="209">
        <f t="shared" si="0"/>
        <v>0.72002495321272608</v>
      </c>
      <c r="O5" s="209">
        <f t="shared" si="0"/>
        <v>0.29781497500421272</v>
      </c>
      <c r="P5" s="209">
        <f t="shared" si="0"/>
        <v>0.51714317011720889</v>
      </c>
      <c r="Q5" s="209">
        <f t="shared" si="0"/>
        <v>0.86979166666666674</v>
      </c>
      <c r="R5" s="201"/>
      <c r="S5" s="201"/>
      <c r="T5" s="201"/>
      <c r="U5" s="201"/>
      <c r="V5" s="201"/>
      <c r="W5" s="201"/>
      <c r="X5" s="201"/>
    </row>
    <row r="6" spans="1:24" ht="14.4" x14ac:dyDescent="0.3">
      <c r="A6" s="199"/>
      <c r="B6" s="210"/>
      <c r="C6" s="210"/>
      <c r="D6" s="210"/>
      <c r="E6" s="210"/>
      <c r="F6" s="210"/>
      <c r="G6" s="210"/>
      <c r="H6" s="5"/>
      <c r="I6" s="5"/>
      <c r="J6" s="5"/>
      <c r="K6" s="5"/>
      <c r="L6" s="210"/>
      <c r="M6" s="5"/>
      <c r="N6" s="5"/>
      <c r="O6" s="5"/>
      <c r="P6" s="5"/>
      <c r="Q6" s="210"/>
      <c r="R6" s="201"/>
      <c r="S6" s="201"/>
      <c r="T6" s="201"/>
      <c r="U6" s="201"/>
      <c r="V6" s="201"/>
      <c r="W6" s="201"/>
      <c r="X6" s="201"/>
    </row>
    <row r="7" spans="1:24" ht="14.4" x14ac:dyDescent="0.3">
      <c r="A7" s="199"/>
      <c r="B7" s="210"/>
      <c r="C7" s="210"/>
      <c r="D7" s="210"/>
      <c r="E7" s="210"/>
      <c r="F7" s="210"/>
      <c r="G7" s="210"/>
      <c r="H7" s="5"/>
      <c r="I7" s="5"/>
      <c r="J7" s="5"/>
      <c r="K7" s="5"/>
      <c r="L7" s="210"/>
      <c r="M7" s="5"/>
      <c r="N7" s="5"/>
      <c r="O7" s="5"/>
      <c r="P7" s="211"/>
      <c r="Q7" s="201"/>
      <c r="R7" s="201"/>
      <c r="S7" s="201"/>
      <c r="T7" s="201"/>
      <c r="U7" s="201"/>
      <c r="V7" s="201"/>
      <c r="W7" s="201"/>
      <c r="X7" s="201"/>
    </row>
    <row r="8" spans="1:24" ht="14.4" x14ac:dyDescent="0.3">
      <c r="A8" s="199"/>
      <c r="B8" s="212" t="s">
        <v>29</v>
      </c>
      <c r="C8" s="212" t="s">
        <v>36</v>
      </c>
      <c r="D8" s="5"/>
      <c r="E8" s="5"/>
      <c r="F8" s="212" t="s">
        <v>32</v>
      </c>
      <c r="G8" s="5"/>
      <c r="H8" s="5"/>
      <c r="I8" s="212" t="s">
        <v>671</v>
      </c>
      <c r="J8" s="5"/>
      <c r="K8" s="5"/>
      <c r="L8" s="212" t="s">
        <v>672</v>
      </c>
      <c r="M8" s="5"/>
      <c r="N8" s="5"/>
      <c r="O8" s="5"/>
      <c r="P8" s="211"/>
      <c r="Q8" s="201"/>
      <c r="R8" s="201"/>
      <c r="S8" s="201"/>
      <c r="T8" s="201"/>
      <c r="U8" s="201"/>
      <c r="V8" s="201"/>
      <c r="W8" s="201"/>
      <c r="X8" s="201"/>
    </row>
    <row r="9" spans="1:24" ht="14.4" x14ac:dyDescent="0.3">
      <c r="A9" s="199"/>
      <c r="B9" s="213" t="s">
        <v>673</v>
      </c>
      <c r="C9" s="214" t="s">
        <v>674</v>
      </c>
      <c r="D9" s="215" t="s">
        <v>675</v>
      </c>
      <c r="E9" s="214" t="s">
        <v>676</v>
      </c>
      <c r="F9" s="214" t="s">
        <v>33</v>
      </c>
      <c r="G9" s="214" t="s">
        <v>35</v>
      </c>
      <c r="H9" s="214" t="s">
        <v>34</v>
      </c>
      <c r="I9" s="214" t="s">
        <v>64</v>
      </c>
      <c r="J9" s="214" t="s">
        <v>65</v>
      </c>
      <c r="K9" s="214" t="s">
        <v>66</v>
      </c>
      <c r="L9" s="214" t="s">
        <v>251</v>
      </c>
      <c r="M9" s="214" t="s">
        <v>68</v>
      </c>
      <c r="N9" s="214" t="s">
        <v>69</v>
      </c>
      <c r="O9" s="214" t="s">
        <v>70</v>
      </c>
      <c r="P9" s="211"/>
      <c r="Q9" s="201"/>
      <c r="R9" s="201"/>
      <c r="S9" s="5"/>
      <c r="T9" s="5"/>
      <c r="U9" s="5"/>
      <c r="V9" s="5"/>
      <c r="W9" s="211"/>
      <c r="X9" s="201"/>
    </row>
    <row r="10" spans="1:24" ht="14.4" x14ac:dyDescent="0.3">
      <c r="A10" s="199"/>
      <c r="B10" s="216">
        <f>E5</f>
        <v>0.23397260273972598</v>
      </c>
      <c r="C10" s="216">
        <f>G30</f>
        <v>0.27500000000000002</v>
      </c>
      <c r="D10" s="217">
        <f>M3/N3</f>
        <v>1.4632235601334687</v>
      </c>
      <c r="E10" s="218">
        <f>(Q3/E3)*365</f>
        <v>58.1860568383659</v>
      </c>
      <c r="F10" s="216">
        <f>K3/(I3+J3)</f>
        <v>0.6920336787564767</v>
      </c>
      <c r="G10" s="216">
        <f>P3/O3</f>
        <v>0.59943735122267905</v>
      </c>
      <c r="H10" s="219">
        <f>R30</f>
        <v>-402</v>
      </c>
      <c r="I10" s="216">
        <f>F3/(I3+J3)</f>
        <v>6.6925734024179617E-2</v>
      </c>
      <c r="J10" s="220">
        <f>F3/I3</f>
        <v>4.4604316546762588</v>
      </c>
      <c r="K10" s="216">
        <f>F3/O3</f>
        <v>2.6834018610690326E-2</v>
      </c>
      <c r="L10" s="220">
        <f ca="1">C3/G3</f>
        <v>108.51581508515815</v>
      </c>
      <c r="M10" s="221">
        <f ca="1">G3/C3</f>
        <v>9.2152466367713005E-3</v>
      </c>
      <c r="N10" s="219">
        <f>(J3+I3)/(I3/H3)</f>
        <v>333.23741007194246</v>
      </c>
      <c r="O10" s="220">
        <f ca="1">C3/N10</f>
        <v>6.6919257340241796</v>
      </c>
      <c r="P10" s="211"/>
      <c r="Q10" s="201"/>
      <c r="R10" s="201"/>
      <c r="S10" s="5"/>
      <c r="T10" s="5"/>
      <c r="U10" s="5"/>
      <c r="V10" s="5"/>
      <c r="W10" s="211"/>
      <c r="X10" s="201"/>
    </row>
    <row r="11" spans="1:24" ht="14.4" x14ac:dyDescent="0.3">
      <c r="A11" s="222"/>
      <c r="B11" s="5"/>
      <c r="C11" s="5"/>
      <c r="D11" s="5"/>
      <c r="E11" s="5"/>
      <c r="F11" s="5"/>
      <c r="G11" s="5"/>
      <c r="H11" s="5"/>
      <c r="I11" s="5"/>
      <c r="J11" s="5"/>
      <c r="K11" s="211"/>
      <c r="L11" s="201"/>
      <c r="M11" s="5"/>
      <c r="N11" s="5"/>
      <c r="O11" s="5"/>
      <c r="P11" s="211"/>
      <c r="Q11" s="201"/>
      <c r="R11" s="201"/>
      <c r="S11" s="5"/>
      <c r="T11" s="5"/>
      <c r="U11" s="5"/>
      <c r="V11" s="5"/>
      <c r="W11" s="211"/>
      <c r="X11" s="201"/>
    </row>
    <row r="12" spans="1:24" ht="14.4" x14ac:dyDescent="0.3">
      <c r="A12" s="199"/>
      <c r="B12" s="212" t="s">
        <v>677</v>
      </c>
      <c r="C12" s="212" t="s">
        <v>266</v>
      </c>
      <c r="D12" s="212" t="s">
        <v>235</v>
      </c>
      <c r="E12" s="212" t="s">
        <v>236</v>
      </c>
      <c r="F12" s="212" t="s">
        <v>249</v>
      </c>
      <c r="G12" s="212" t="s">
        <v>678</v>
      </c>
      <c r="H12" s="5"/>
      <c r="I12" s="5"/>
      <c r="J12" s="5"/>
      <c r="K12" s="211"/>
      <c r="L12" s="201"/>
      <c r="M12" s="5"/>
      <c r="N12" s="5"/>
      <c r="O12" s="5"/>
      <c r="P12" s="211"/>
      <c r="Q12" s="201"/>
      <c r="R12" s="201"/>
      <c r="S12" s="5"/>
      <c r="T12" s="5"/>
      <c r="U12" s="5"/>
      <c r="V12" s="5"/>
      <c r="W12" s="211"/>
      <c r="X12" s="201"/>
    </row>
    <row r="13" spans="1:24" ht="15.6" x14ac:dyDescent="0.3">
      <c r="A13" s="199"/>
      <c r="B13" s="210"/>
      <c r="C13" s="206">
        <v>2035</v>
      </c>
      <c r="D13" s="223">
        <f>FV(D19,5,0,-D14,0)</f>
        <v>12782.166217202333</v>
      </c>
      <c r="E13" s="224">
        <f t="shared" ref="E13:E14" si="1">D13*$G$19</f>
        <v>1375.3032383789662</v>
      </c>
      <c r="F13" s="224">
        <f>FV(F19,5,0,-F14,0)</f>
        <v>116.93208121085193</v>
      </c>
      <c r="G13" s="224">
        <f t="shared" ref="G13:G15" si="2">F13*$L$26</f>
        <v>4472.0527520628484</v>
      </c>
      <c r="H13" s="5"/>
      <c r="I13" s="200" t="s">
        <v>679</v>
      </c>
      <c r="J13" s="200" t="s">
        <v>680</v>
      </c>
      <c r="K13" s="200" t="s">
        <v>681</v>
      </c>
      <c r="L13" s="200" t="s">
        <v>682</v>
      </c>
      <c r="M13" s="200" t="s">
        <v>683</v>
      </c>
      <c r="N13" s="200" t="s">
        <v>679</v>
      </c>
      <c r="O13" s="5"/>
      <c r="P13" s="211"/>
      <c r="Q13" s="201"/>
      <c r="R13" s="201"/>
      <c r="S13" s="5"/>
      <c r="T13" s="5"/>
      <c r="U13" s="5"/>
      <c r="V13" s="5"/>
      <c r="W13" s="211"/>
      <c r="X13" s="201"/>
    </row>
    <row r="14" spans="1:24" ht="15.6" x14ac:dyDescent="0.3">
      <c r="A14" s="199"/>
      <c r="B14" s="210"/>
      <c r="C14" s="206">
        <v>2030</v>
      </c>
      <c r="D14" s="223">
        <f>FV(D19,6,0,-D15,0)</f>
        <v>6354.9956699087479</v>
      </c>
      <c r="E14" s="224">
        <f t="shared" si="1"/>
        <v>683.76877410242014</v>
      </c>
      <c r="F14" s="224">
        <f>FV(F19,6,0,-F15,0)</f>
        <v>58.135910388045865</v>
      </c>
      <c r="G14" s="224">
        <f t="shared" si="2"/>
        <v>2223.4005873523397</v>
      </c>
      <c r="H14" s="5"/>
      <c r="I14" s="208"/>
      <c r="J14" s="205">
        <v>14.82</v>
      </c>
      <c r="K14" s="205">
        <v>4.59</v>
      </c>
      <c r="L14" s="205">
        <v>2.4</v>
      </c>
      <c r="M14" s="205">
        <v>2.2400000000000002</v>
      </c>
      <c r="N14" s="225">
        <f>SUM(J14:M14)</f>
        <v>24.049999999999997</v>
      </c>
      <c r="O14" s="5"/>
      <c r="P14" s="211"/>
      <c r="Q14" s="201"/>
      <c r="R14" s="201"/>
      <c r="S14" s="5"/>
      <c r="T14" s="5"/>
      <c r="U14" s="5"/>
      <c r="V14" s="5"/>
      <c r="W14" s="211"/>
      <c r="X14" s="201"/>
    </row>
    <row r="15" spans="1:24" ht="15.6" x14ac:dyDescent="0.3">
      <c r="A15" s="199"/>
      <c r="B15" s="5"/>
      <c r="C15" s="226">
        <v>2024</v>
      </c>
      <c r="D15" s="224">
        <f>FV(D20,1,0,-D30,0)</f>
        <v>2747.44</v>
      </c>
      <c r="E15" s="224">
        <f>D15*G20</f>
        <v>758.29344000000003</v>
      </c>
      <c r="F15" s="224">
        <f>E15*F30/E30</f>
        <v>25.133758374193551</v>
      </c>
      <c r="G15" s="224">
        <f t="shared" si="2"/>
        <v>961.23743067837961</v>
      </c>
      <c r="H15" s="5"/>
      <c r="I15" s="5"/>
      <c r="J15" s="5"/>
      <c r="K15" s="211"/>
      <c r="L15" s="227"/>
      <c r="M15" s="5"/>
      <c r="N15" s="5"/>
      <c r="O15" s="5"/>
      <c r="P15" s="211"/>
      <c r="Q15" s="201"/>
      <c r="R15" s="201"/>
      <c r="S15" s="5"/>
      <c r="T15" s="5"/>
      <c r="U15" s="5"/>
      <c r="V15" s="5"/>
      <c r="W15" s="211"/>
      <c r="X15" s="201"/>
    </row>
    <row r="16" spans="1:24" ht="15.6" x14ac:dyDescent="0.3">
      <c r="A16" s="199"/>
      <c r="B16" s="210"/>
      <c r="C16" s="226"/>
      <c r="D16" s="224"/>
      <c r="E16" s="224"/>
      <c r="F16" s="224"/>
      <c r="G16" s="224"/>
      <c r="H16" s="228"/>
      <c r="I16" s="200" t="s">
        <v>684</v>
      </c>
      <c r="J16" s="200" t="s">
        <v>685</v>
      </c>
      <c r="K16" s="200" t="s">
        <v>686</v>
      </c>
      <c r="L16" s="200" t="s">
        <v>687</v>
      </c>
      <c r="M16" s="200" t="s">
        <v>688</v>
      </c>
      <c r="N16" s="200" t="s">
        <v>689</v>
      </c>
      <c r="P16" s="211"/>
      <c r="R16" s="201"/>
      <c r="S16" s="5"/>
      <c r="T16" s="5"/>
      <c r="U16" s="5"/>
      <c r="V16" s="5"/>
      <c r="W16" s="211"/>
      <c r="X16" s="201"/>
    </row>
    <row r="17" spans="1:26" ht="14.4" x14ac:dyDescent="0.3">
      <c r="A17" s="222"/>
      <c r="B17" s="5"/>
      <c r="C17" s="5"/>
      <c r="D17" s="5"/>
      <c r="E17" s="229"/>
      <c r="F17" s="5"/>
      <c r="G17" s="5"/>
      <c r="H17" s="5"/>
      <c r="I17" s="208" t="s">
        <v>198</v>
      </c>
      <c r="J17" s="230">
        <v>0.23</v>
      </c>
      <c r="K17" s="230">
        <v>2.84</v>
      </c>
      <c r="L17" s="230">
        <v>2.13</v>
      </c>
      <c r="M17" s="230">
        <v>1.66</v>
      </c>
      <c r="N17" s="230">
        <v>0.22</v>
      </c>
      <c r="P17" s="211"/>
      <c r="R17" s="201"/>
      <c r="S17" s="5"/>
      <c r="T17" s="5"/>
      <c r="U17" s="5"/>
      <c r="V17" s="5"/>
      <c r="W17" s="211"/>
      <c r="X17" s="201"/>
    </row>
    <row r="18" spans="1:26" ht="14.4" x14ac:dyDescent="0.3">
      <c r="A18" s="199"/>
      <c r="B18" s="231" t="s">
        <v>690</v>
      </c>
      <c r="C18" s="231" t="s">
        <v>266</v>
      </c>
      <c r="D18" s="231" t="s">
        <v>235</v>
      </c>
      <c r="E18" s="231" t="s">
        <v>236</v>
      </c>
      <c r="F18" s="231" t="s">
        <v>249</v>
      </c>
      <c r="G18" s="231" t="s">
        <v>691</v>
      </c>
      <c r="I18" s="206" t="s">
        <v>199</v>
      </c>
      <c r="J18" s="209">
        <v>0.77</v>
      </c>
      <c r="K18" s="209">
        <v>1.54</v>
      </c>
      <c r="L18" s="209">
        <v>0.87</v>
      </c>
      <c r="M18" s="209">
        <v>0.61</v>
      </c>
      <c r="N18" s="232"/>
      <c r="P18" s="211"/>
      <c r="R18" s="201"/>
      <c r="S18" s="5"/>
      <c r="T18" s="5"/>
      <c r="U18" s="5"/>
      <c r="V18" s="5"/>
      <c r="W18" s="211"/>
      <c r="X18" s="201"/>
    </row>
    <row r="19" spans="1:26" ht="15.6" x14ac:dyDescent="0.3">
      <c r="A19" s="199"/>
      <c r="B19" s="210"/>
      <c r="C19" s="226" t="s">
        <v>692</v>
      </c>
      <c r="D19" s="233">
        <v>0.15</v>
      </c>
      <c r="E19" s="233">
        <v>0.15</v>
      </c>
      <c r="F19" s="233">
        <v>0.15</v>
      </c>
      <c r="G19" s="233">
        <f>MEDIAN(G24:G27)</f>
        <v>0.10759547442968415</v>
      </c>
      <c r="I19" s="234" t="s">
        <v>691</v>
      </c>
      <c r="J19" s="235">
        <v>0.27500000000000002</v>
      </c>
      <c r="K19" s="235">
        <v>0.20599999999999999</v>
      </c>
      <c r="L19" s="235">
        <v>0.161</v>
      </c>
      <c r="M19" s="235">
        <v>0.16700000000000001</v>
      </c>
      <c r="N19" s="235">
        <v>0.27600000000000002</v>
      </c>
      <c r="P19" s="211"/>
      <c r="R19" s="201"/>
      <c r="S19" s="5"/>
      <c r="T19" s="5"/>
      <c r="U19" s="5"/>
      <c r="V19" s="5"/>
      <c r="W19" s="211"/>
      <c r="X19" s="201"/>
    </row>
    <row r="20" spans="1:26" ht="15.6" x14ac:dyDescent="0.3">
      <c r="A20" s="199"/>
      <c r="B20" s="210"/>
      <c r="C20" s="226">
        <v>2024</v>
      </c>
      <c r="D20" s="233">
        <v>0.22</v>
      </c>
      <c r="E20" s="233">
        <f t="shared" ref="E20:F20" si="3">(E15/E30)-1</f>
        <v>0.22305393548387098</v>
      </c>
      <c r="F20" s="233">
        <f t="shared" si="3"/>
        <v>0.22305393548387098</v>
      </c>
      <c r="G20" s="233">
        <v>0.27600000000000002</v>
      </c>
      <c r="O20" s="5"/>
      <c r="P20" s="211"/>
      <c r="Q20" s="201"/>
      <c r="R20" s="201"/>
      <c r="S20" s="5"/>
      <c r="T20" s="5"/>
      <c r="U20" s="5"/>
      <c r="V20" s="5"/>
      <c r="W20" s="211"/>
      <c r="X20" s="201"/>
    </row>
    <row r="21" spans="1:26" ht="14.4" x14ac:dyDescent="0.3">
      <c r="A21" s="199"/>
      <c r="B21" s="210"/>
      <c r="C21" s="210"/>
      <c r="D21" s="210"/>
      <c r="E21" s="210"/>
      <c r="F21" s="210"/>
      <c r="G21" s="210"/>
      <c r="N21" s="5"/>
      <c r="O21" s="5"/>
      <c r="P21" s="211"/>
      <c r="Q21" s="227"/>
      <c r="R21" s="201"/>
      <c r="S21" s="5"/>
      <c r="T21" s="5"/>
      <c r="U21" s="5"/>
      <c r="V21" s="5"/>
      <c r="W21" s="211"/>
      <c r="X21" s="201"/>
    </row>
    <row r="22" spans="1:26" ht="14.4" x14ac:dyDescent="0.3">
      <c r="A22" s="199"/>
      <c r="D22" s="236"/>
      <c r="M22" s="5"/>
      <c r="R22" s="237"/>
      <c r="X22" s="201"/>
    </row>
    <row r="23" spans="1:26" ht="14.4" x14ac:dyDescent="0.3">
      <c r="A23" s="199"/>
      <c r="B23" s="238" t="s">
        <v>670</v>
      </c>
      <c r="C23" s="238" t="s">
        <v>266</v>
      </c>
      <c r="D23" s="238" t="s">
        <v>235</v>
      </c>
      <c r="E23" s="238" t="s">
        <v>236</v>
      </c>
      <c r="F23" s="238" t="s">
        <v>249</v>
      </c>
      <c r="G23" s="238" t="s">
        <v>252</v>
      </c>
      <c r="H23" s="238" t="s">
        <v>693</v>
      </c>
      <c r="I23" s="238" t="s">
        <v>694</v>
      </c>
      <c r="J23" s="238" t="s">
        <v>695</v>
      </c>
      <c r="K23" s="238" t="s">
        <v>696</v>
      </c>
      <c r="L23" s="238" t="s">
        <v>697</v>
      </c>
      <c r="M23" s="5"/>
      <c r="Q23" s="238" t="s">
        <v>688</v>
      </c>
      <c r="R23" s="238" t="s">
        <v>688</v>
      </c>
      <c r="S23" s="238" t="s">
        <v>698</v>
      </c>
      <c r="T23" s="238" t="s">
        <v>29</v>
      </c>
      <c r="U23" s="237"/>
      <c r="W23" s="238" t="s">
        <v>687</v>
      </c>
      <c r="X23" s="238" t="s">
        <v>687</v>
      </c>
      <c r="Y23" s="238" t="s">
        <v>699</v>
      </c>
      <c r="Z23" s="238" t="s">
        <v>29</v>
      </c>
    </row>
    <row r="24" spans="1:26" ht="15.75" customHeight="1" x14ac:dyDescent="0.3">
      <c r="A24" s="199"/>
      <c r="B24" s="208" t="s">
        <v>700</v>
      </c>
      <c r="C24" s="208" t="s">
        <v>701</v>
      </c>
      <c r="D24" s="239">
        <f t="shared" ref="D24:F24" si="4">(D30/D31)^(1/1)-1</f>
        <v>0.23397260273972598</v>
      </c>
      <c r="E24" s="239">
        <f t="shared" si="4"/>
        <v>0.77142857142857135</v>
      </c>
      <c r="F24" s="239">
        <f t="shared" si="4"/>
        <v>0.62066246056782348</v>
      </c>
      <c r="G24" s="240">
        <f>G30</f>
        <v>0.27500000000000002</v>
      </c>
      <c r="H24" s="239">
        <f t="shared" ref="H24:I24" si="5">(H30/H31)^(1/1)-1</f>
        <v>-0.28838174273858919</v>
      </c>
      <c r="I24" s="239">
        <f t="shared" si="5"/>
        <v>-0.16249999999999998</v>
      </c>
      <c r="J24" s="241">
        <f t="shared" ref="J24:K24" si="6">J30</f>
        <v>83.454987834549883</v>
      </c>
      <c r="K24" s="241">
        <f t="shared" si="6"/>
        <v>48.905109489051092</v>
      </c>
      <c r="L24" s="242">
        <f t="shared" ref="L24:L26" si="7">AVERAGE(J24:K24)</f>
        <v>66.180048661800484</v>
      </c>
      <c r="M24" s="5"/>
      <c r="Q24" s="238" t="s">
        <v>235</v>
      </c>
      <c r="R24" s="243">
        <v>1609</v>
      </c>
      <c r="S24" s="243">
        <v>606</v>
      </c>
      <c r="T24" s="244">
        <f t="shared" ref="T24:T30" si="8">(R24/S24)^(1/1)-1</f>
        <v>1.6551155115511551</v>
      </c>
      <c r="U24" s="237"/>
      <c r="W24" s="238" t="s">
        <v>235</v>
      </c>
      <c r="X24" s="243">
        <v>1279</v>
      </c>
      <c r="Y24" s="243">
        <v>409</v>
      </c>
      <c r="Z24" s="244">
        <f t="shared" ref="Z24:Z30" si="9">(X24/Y24)^(1/1)-1</f>
        <v>2.1271393643031784</v>
      </c>
    </row>
    <row r="25" spans="1:26" ht="15.75" customHeight="1" x14ac:dyDescent="0.3">
      <c r="A25" s="199"/>
      <c r="B25" s="208" t="s">
        <v>700</v>
      </c>
      <c r="C25" s="226" t="s">
        <v>702</v>
      </c>
      <c r="D25" s="233">
        <f t="shared" ref="D25:F25" si="10">(D33/D34)^(1/4)-1</f>
        <v>-2.4646698040088899E-2</v>
      </c>
      <c r="E25" s="233">
        <f t="shared" si="10"/>
        <v>2.0134676551619934E-2</v>
      </c>
      <c r="F25" s="233">
        <f t="shared" si="10"/>
        <v>-4.2837192542686253E-3</v>
      </c>
      <c r="G25" s="245">
        <f>MEDIAN(G30:G34)</f>
        <v>9.399656946826758E-2</v>
      </c>
      <c r="H25" s="233">
        <f t="shared" ref="H25:I25" si="11">(H33/H34)^(1/4)-1</f>
        <v>6.687067100339994E-2</v>
      </c>
      <c r="I25" s="233">
        <f t="shared" si="11"/>
        <v>2.3003537112441963E-2</v>
      </c>
      <c r="J25" s="246">
        <f t="shared" ref="J25:K25" si="12">MEDIAN(J30:J34)</f>
        <v>83.454987834549883</v>
      </c>
      <c r="K25" s="246">
        <f t="shared" si="12"/>
        <v>46.125797629899722</v>
      </c>
      <c r="L25" s="242">
        <f t="shared" si="7"/>
        <v>64.790392732224802</v>
      </c>
      <c r="Q25" s="238" t="s">
        <v>703</v>
      </c>
      <c r="R25" s="243">
        <v>2011</v>
      </c>
      <c r="S25" s="243">
        <v>842</v>
      </c>
      <c r="T25" s="244">
        <f t="shared" si="8"/>
        <v>1.3883610451306412</v>
      </c>
      <c r="U25" s="237"/>
      <c r="W25" s="238" t="s">
        <v>703</v>
      </c>
      <c r="X25" s="243">
        <v>1581</v>
      </c>
      <c r="Y25" s="243">
        <v>577</v>
      </c>
      <c r="Z25" s="244">
        <f t="shared" si="9"/>
        <v>1.7400346620450606</v>
      </c>
    </row>
    <row r="26" spans="1:26" ht="15.75" customHeight="1" x14ac:dyDescent="0.3">
      <c r="A26" s="199"/>
      <c r="B26" s="208" t="s">
        <v>704</v>
      </c>
      <c r="C26" s="226" t="s">
        <v>705</v>
      </c>
      <c r="D26" s="233">
        <f t="shared" ref="D26:F26" si="13">(D34/D39)^(1/5)-1</f>
        <v>0.20764319273247778</v>
      </c>
      <c r="E26" s="233">
        <f t="shared" si="13"/>
        <v>9.5973637322577687E-2</v>
      </c>
      <c r="F26" s="233">
        <f t="shared" si="13"/>
        <v>5.3007309218136678E-2</v>
      </c>
      <c r="G26" s="245">
        <f>MEDIAN(G34:G39)</f>
        <v>8.8832417385453888E-2</v>
      </c>
      <c r="H26" s="233">
        <f t="shared" ref="H26:I26" si="14">(H34/H39)^(1/5)-1</f>
        <v>0.40082564195115911</v>
      </c>
      <c r="I26" s="233">
        <f t="shared" si="14"/>
        <v>0.2457309396155174</v>
      </c>
      <c r="J26" s="246">
        <f t="shared" ref="J26:K26" si="15">MEDIAN(J34:J39)</f>
        <v>45.999503968253975</v>
      </c>
      <c r="K26" s="246">
        <f t="shared" si="15"/>
        <v>30.490244708994709</v>
      </c>
      <c r="L26" s="242">
        <f t="shared" si="7"/>
        <v>38.244874338624342</v>
      </c>
      <c r="M26" s="5"/>
      <c r="Q26" s="238" t="s">
        <v>304</v>
      </c>
      <c r="R26" s="242">
        <v>120</v>
      </c>
      <c r="S26" s="242">
        <v>120</v>
      </c>
      <c r="T26" s="244">
        <f t="shared" si="8"/>
        <v>0</v>
      </c>
      <c r="U26" s="237"/>
      <c r="W26" s="238" t="s">
        <v>304</v>
      </c>
      <c r="X26" s="242">
        <v>77</v>
      </c>
      <c r="Y26" s="242">
        <v>75</v>
      </c>
      <c r="Z26" s="244">
        <f t="shared" si="9"/>
        <v>2.6666666666666616E-2</v>
      </c>
    </row>
    <row r="27" spans="1:26" ht="15.75" customHeight="1" x14ac:dyDescent="0.3">
      <c r="A27" s="199"/>
      <c r="B27" s="208" t="s">
        <v>704</v>
      </c>
      <c r="C27" s="226" t="s">
        <v>706</v>
      </c>
      <c r="D27" s="233">
        <f t="shared" ref="D27:E27" si="16">(D34/D44)^(1/10)-1</f>
        <v>0.26875406314617889</v>
      </c>
      <c r="E27" s="233">
        <f t="shared" si="16"/>
        <v>0.12929115284056114</v>
      </c>
      <c r="F27" s="233"/>
      <c r="G27" s="245">
        <f>MEDIAN(G34:G44)</f>
        <v>0.1211943793911007</v>
      </c>
      <c r="H27" s="233"/>
      <c r="I27" s="233"/>
      <c r="J27" s="246"/>
      <c r="K27" s="246"/>
      <c r="L27" s="242"/>
      <c r="M27" s="5"/>
      <c r="Q27" s="238" t="s">
        <v>236</v>
      </c>
      <c r="R27" s="242">
        <v>269</v>
      </c>
      <c r="S27" s="242">
        <v>167</v>
      </c>
      <c r="T27" s="244">
        <f t="shared" si="8"/>
        <v>0.61077844311377238</v>
      </c>
      <c r="U27" s="5"/>
      <c r="W27" s="238" t="s">
        <v>236</v>
      </c>
      <c r="X27" s="242">
        <v>206</v>
      </c>
      <c r="Y27" s="242">
        <v>110</v>
      </c>
      <c r="Z27" s="244">
        <f t="shared" si="9"/>
        <v>0.8727272727272728</v>
      </c>
    </row>
    <row r="28" spans="1:26" ht="15.75" customHeight="1" x14ac:dyDescent="0.3">
      <c r="A28" s="199"/>
      <c r="L28" s="247">
        <f>AVERAGE(L26:L27)</f>
        <v>38.244874338624342</v>
      </c>
      <c r="M28" s="5"/>
      <c r="Q28" s="238" t="s">
        <v>249</v>
      </c>
      <c r="R28" s="248">
        <v>9.14</v>
      </c>
      <c r="S28" s="248">
        <v>5.73</v>
      </c>
      <c r="T28" s="244">
        <f t="shared" si="8"/>
        <v>0.59511343804537531</v>
      </c>
      <c r="U28" s="5"/>
      <c r="W28" s="238" t="s">
        <v>249</v>
      </c>
      <c r="X28" s="248">
        <v>6.9</v>
      </c>
      <c r="Y28" s="248">
        <v>3.62</v>
      </c>
      <c r="Z28" s="244">
        <f t="shared" si="9"/>
        <v>0.90607734806629847</v>
      </c>
    </row>
    <row r="29" spans="1:26" ht="15.75" customHeight="1" x14ac:dyDescent="0.3">
      <c r="A29" s="199"/>
      <c r="B29" s="231" t="s">
        <v>707</v>
      </c>
      <c r="C29" s="231" t="s">
        <v>266</v>
      </c>
      <c r="D29" s="231" t="s">
        <v>235</v>
      </c>
      <c r="E29" s="231" t="s">
        <v>236</v>
      </c>
      <c r="F29" s="231" t="s">
        <v>249</v>
      </c>
      <c r="G29" s="231" t="s">
        <v>252</v>
      </c>
      <c r="H29" s="231" t="s">
        <v>693</v>
      </c>
      <c r="I29" s="231" t="s">
        <v>694</v>
      </c>
      <c r="J29" s="231" t="s">
        <v>695</v>
      </c>
      <c r="K29" s="231" t="s">
        <v>696</v>
      </c>
      <c r="L29" s="231" t="s">
        <v>48</v>
      </c>
      <c r="M29" s="231" t="s">
        <v>708</v>
      </c>
      <c r="N29" s="231" t="s">
        <v>69</v>
      </c>
      <c r="O29" s="231" t="s">
        <v>70</v>
      </c>
      <c r="Q29" s="238" t="s">
        <v>252</v>
      </c>
      <c r="R29" s="249">
        <f t="shared" ref="R29:S29" si="17">R27/R24</f>
        <v>0.16718458669981354</v>
      </c>
      <c r="S29" s="249">
        <f t="shared" si="17"/>
        <v>0.27557755775577558</v>
      </c>
      <c r="T29" s="244">
        <f t="shared" si="8"/>
        <v>-0.39333018239468864</v>
      </c>
      <c r="U29" s="5"/>
      <c r="W29" s="238" t="s">
        <v>252</v>
      </c>
      <c r="X29" s="249">
        <f t="shared" ref="X29:Y29" si="18">X27/X24</f>
        <v>0.16106333072713058</v>
      </c>
      <c r="Y29" s="249">
        <f t="shared" si="18"/>
        <v>0.26894865525672373</v>
      </c>
      <c r="Z29" s="244">
        <f t="shared" si="9"/>
        <v>-0.40113725211457818</v>
      </c>
    </row>
    <row r="30" spans="1:26" ht="15.75" customHeight="1" x14ac:dyDescent="0.3">
      <c r="A30" s="199"/>
      <c r="C30" s="234">
        <v>2023</v>
      </c>
      <c r="D30" s="234">
        <v>2252</v>
      </c>
      <c r="E30" s="234">
        <v>620</v>
      </c>
      <c r="F30" s="234">
        <v>20.55</v>
      </c>
      <c r="G30" s="235">
        <v>0.27500000000000002</v>
      </c>
      <c r="H30" s="234">
        <v>1715</v>
      </c>
      <c r="I30" s="234">
        <v>1005</v>
      </c>
      <c r="J30" s="250">
        <f t="shared" ref="J30:J43" si="19">H30/F30</f>
        <v>83.454987834549883</v>
      </c>
      <c r="K30" s="250">
        <f t="shared" ref="K30:K43" si="20">I30/F30</f>
        <v>48.905109489051092</v>
      </c>
      <c r="L30" s="234">
        <v>139</v>
      </c>
      <c r="M30" s="234">
        <f>9125+L30</f>
        <v>9264</v>
      </c>
      <c r="N30" s="250">
        <f t="shared" ref="N30:N46" si="21">(M30)/(L30/5)</f>
        <v>333.23741007194246</v>
      </c>
      <c r="O30" s="234"/>
      <c r="Q30" s="238" t="s">
        <v>34</v>
      </c>
      <c r="R30" s="242">
        <f t="shared" ref="R30:S30" si="22">(R24-R25+R26)-R26</f>
        <v>-402</v>
      </c>
      <c r="S30" s="242">
        <f t="shared" si="22"/>
        <v>-236</v>
      </c>
      <c r="T30" s="244">
        <f t="shared" si="8"/>
        <v>0.70338983050847448</v>
      </c>
      <c r="U30" s="5"/>
      <c r="W30" s="238" t="s">
        <v>34</v>
      </c>
      <c r="X30" s="242">
        <f t="shared" ref="X30:Y30" si="23">(X24-X25+X26)-X26</f>
        <v>-302</v>
      </c>
      <c r="Y30" s="242">
        <f t="shared" si="23"/>
        <v>-168</v>
      </c>
      <c r="Z30" s="244">
        <f t="shared" si="9"/>
        <v>0.79761904761904767</v>
      </c>
    </row>
    <row r="31" spans="1:26" ht="15.75" customHeight="1" x14ac:dyDescent="0.3">
      <c r="A31" s="199"/>
      <c r="C31" s="234">
        <v>2022</v>
      </c>
      <c r="D31" s="234">
        <v>1825</v>
      </c>
      <c r="E31" s="234">
        <v>350</v>
      </c>
      <c r="F31" s="234">
        <v>12.68</v>
      </c>
      <c r="G31" s="234">
        <v>19.2</v>
      </c>
      <c r="H31" s="234">
        <v>2410</v>
      </c>
      <c r="I31" s="234">
        <v>1200</v>
      </c>
      <c r="J31" s="250">
        <f t="shared" si="19"/>
        <v>190.06309148264984</v>
      </c>
      <c r="K31" s="250">
        <f t="shared" si="20"/>
        <v>94.637223974763415</v>
      </c>
      <c r="L31" s="234">
        <v>139</v>
      </c>
      <c r="M31" s="234">
        <f>8125+L31</f>
        <v>8264</v>
      </c>
      <c r="N31" s="250">
        <f t="shared" si="21"/>
        <v>297.26618705035969</v>
      </c>
      <c r="O31" s="234"/>
      <c r="U31" s="5"/>
    </row>
    <row r="32" spans="1:26" ht="15.75" customHeight="1" x14ac:dyDescent="0.3">
      <c r="A32" s="199"/>
      <c r="B32" s="210" t="s">
        <v>709</v>
      </c>
      <c r="C32" s="251">
        <v>2021</v>
      </c>
      <c r="D32" s="252">
        <v>1333</v>
      </c>
      <c r="E32" s="252">
        <v>-189</v>
      </c>
      <c r="F32" s="253">
        <v>-7.48</v>
      </c>
      <c r="G32" s="254">
        <f t="shared" ref="G32:G46" si="24">E32/D32</f>
        <v>-0.14178544636159041</v>
      </c>
      <c r="H32" s="255">
        <v>1573</v>
      </c>
      <c r="I32" s="255">
        <v>575</v>
      </c>
      <c r="J32" s="253">
        <f t="shared" si="19"/>
        <v>-210.29411764705881</v>
      </c>
      <c r="K32" s="253">
        <f t="shared" si="20"/>
        <v>-76.871657754010684</v>
      </c>
      <c r="L32" s="206">
        <v>139</v>
      </c>
      <c r="M32" s="208">
        <f>L32+8180</f>
        <v>8319</v>
      </c>
      <c r="N32" s="250">
        <f t="shared" si="21"/>
        <v>299.24460431654677</v>
      </c>
      <c r="O32" s="234"/>
      <c r="Q32" s="5"/>
      <c r="R32" s="5"/>
      <c r="S32" s="5"/>
      <c r="T32" s="5"/>
      <c r="U32" s="5"/>
    </row>
    <row r="33" spans="1:26" ht="15.75" customHeight="1" x14ac:dyDescent="0.3">
      <c r="A33" s="199"/>
      <c r="B33" s="210" t="s">
        <v>710</v>
      </c>
      <c r="C33" s="251">
        <v>2020</v>
      </c>
      <c r="D33" s="252">
        <v>2915</v>
      </c>
      <c r="E33" s="255">
        <v>274</v>
      </c>
      <c r="F33" s="253">
        <v>10.97</v>
      </c>
      <c r="G33" s="254">
        <f t="shared" si="24"/>
        <v>9.399656946826758E-2</v>
      </c>
      <c r="H33" s="255">
        <v>1188</v>
      </c>
      <c r="I33" s="255">
        <v>506</v>
      </c>
      <c r="J33" s="253">
        <f t="shared" si="19"/>
        <v>108.29535095715588</v>
      </c>
      <c r="K33" s="253">
        <f t="shared" si="20"/>
        <v>46.125797629899722</v>
      </c>
      <c r="L33" s="206">
        <v>128</v>
      </c>
      <c r="M33" s="208">
        <f>L33+4578</f>
        <v>4706</v>
      </c>
      <c r="N33" s="250">
        <f t="shared" si="21"/>
        <v>183.828125</v>
      </c>
      <c r="O33" s="234"/>
      <c r="Q33" s="238" t="s">
        <v>711</v>
      </c>
      <c r="R33" s="238" t="s">
        <v>688</v>
      </c>
      <c r="S33" s="238" t="s">
        <v>698</v>
      </c>
      <c r="T33" s="238" t="s">
        <v>712</v>
      </c>
      <c r="U33" s="238" t="s">
        <v>29</v>
      </c>
    </row>
    <row r="34" spans="1:26" ht="15.75" customHeight="1" x14ac:dyDescent="0.3">
      <c r="A34" s="199"/>
      <c r="B34" s="210"/>
      <c r="C34" s="251">
        <v>2019</v>
      </c>
      <c r="D34" s="255">
        <v>3221</v>
      </c>
      <c r="E34" s="256">
        <v>253</v>
      </c>
      <c r="F34" s="253">
        <v>11.16</v>
      </c>
      <c r="G34" s="254">
        <f t="shared" si="24"/>
        <v>7.8547035082272593E-2</v>
      </c>
      <c r="H34" s="257">
        <v>917</v>
      </c>
      <c r="I34" s="257">
        <v>462</v>
      </c>
      <c r="J34" s="253">
        <f t="shared" si="19"/>
        <v>82.168458781362006</v>
      </c>
      <c r="K34" s="253">
        <f t="shared" si="20"/>
        <v>41.397849462365592</v>
      </c>
      <c r="L34" s="206">
        <v>115</v>
      </c>
      <c r="M34" s="208">
        <f>L34+2254</f>
        <v>2369</v>
      </c>
      <c r="N34" s="250">
        <f t="shared" si="21"/>
        <v>103</v>
      </c>
      <c r="O34" s="234"/>
      <c r="Q34" s="238" t="s">
        <v>713</v>
      </c>
      <c r="R34" s="205">
        <v>4205</v>
      </c>
      <c r="S34" s="205">
        <v>4392</v>
      </c>
      <c r="T34" s="244">
        <f t="shared" ref="T34:T39" si="25">R34/$R$41</f>
        <v>2.0930811348929814</v>
      </c>
      <c r="U34" s="249">
        <f>(R34/S34)-1</f>
        <v>-4.2577413479052861E-2</v>
      </c>
    </row>
    <row r="35" spans="1:26" ht="15.75" customHeight="1" x14ac:dyDescent="0.3">
      <c r="A35" s="199"/>
      <c r="B35" s="210"/>
      <c r="C35" s="251">
        <v>2018</v>
      </c>
      <c r="D35" s="255">
        <v>2102</v>
      </c>
      <c r="E35" s="252">
        <v>87</v>
      </c>
      <c r="F35" s="253">
        <v>4.01</v>
      </c>
      <c r="G35" s="254">
        <f t="shared" si="24"/>
        <v>4.1389153187440533E-2</v>
      </c>
      <c r="H35" s="255">
        <v>910</v>
      </c>
      <c r="I35" s="257">
        <v>388</v>
      </c>
      <c r="J35" s="253">
        <f t="shared" si="19"/>
        <v>226.93266832917706</v>
      </c>
      <c r="K35" s="253">
        <f t="shared" si="20"/>
        <v>96.758104738154614</v>
      </c>
      <c r="L35" s="206">
        <v>108</v>
      </c>
      <c r="M35" s="208">
        <f>L35+1052</f>
        <v>1160</v>
      </c>
      <c r="N35" s="250">
        <f t="shared" si="21"/>
        <v>53.703703703703702</v>
      </c>
      <c r="O35" s="234"/>
      <c r="Q35" s="238" t="s">
        <v>714</v>
      </c>
      <c r="R35" s="243">
        <v>-3257</v>
      </c>
      <c r="S35" s="243">
        <v>-4140</v>
      </c>
      <c r="T35" s="244">
        <f t="shared" si="25"/>
        <v>-1.6212045793927328</v>
      </c>
      <c r="U35" s="244">
        <f t="shared" ref="U35:U39" si="26">(R35/S35)^(1/1)-1</f>
        <v>-0.21328502415458939</v>
      </c>
    </row>
    <row r="36" spans="1:26" ht="15.75" customHeight="1" x14ac:dyDescent="0.3">
      <c r="A36" s="199"/>
      <c r="B36" s="258"/>
      <c r="C36" s="251">
        <v>2017</v>
      </c>
      <c r="D36" s="252">
        <v>1708</v>
      </c>
      <c r="E36" s="255">
        <v>207</v>
      </c>
      <c r="F36" s="253">
        <v>9.6</v>
      </c>
      <c r="G36" s="254">
        <f t="shared" si="24"/>
        <v>0.1211943793911007</v>
      </c>
      <c r="H36" s="255">
        <v>407</v>
      </c>
      <c r="I36" s="255">
        <v>287</v>
      </c>
      <c r="J36" s="253">
        <f t="shared" si="19"/>
        <v>42.395833333333336</v>
      </c>
      <c r="K36" s="253">
        <f t="shared" si="20"/>
        <v>29.895833333333336</v>
      </c>
      <c r="L36" s="206">
        <v>108</v>
      </c>
      <c r="M36" s="208">
        <f>L36+1895</f>
        <v>2003</v>
      </c>
      <c r="N36" s="250">
        <f t="shared" si="21"/>
        <v>92.731481481481481</v>
      </c>
      <c r="O36" s="234"/>
      <c r="Q36" s="238" t="s">
        <v>715</v>
      </c>
      <c r="R36" s="243">
        <v>212</v>
      </c>
      <c r="S36" s="243">
        <v>108</v>
      </c>
      <c r="T36" s="244">
        <f t="shared" si="25"/>
        <v>0.1055251368840219</v>
      </c>
      <c r="U36" s="244">
        <f t="shared" si="26"/>
        <v>0.96296296296296302</v>
      </c>
    </row>
    <row r="37" spans="1:26" ht="15.75" customHeight="1" x14ac:dyDescent="0.3">
      <c r="A37" s="199"/>
      <c r="B37" s="210"/>
      <c r="C37" s="251">
        <v>2016</v>
      </c>
      <c r="D37" s="255">
        <v>2252</v>
      </c>
      <c r="E37" s="252">
        <v>160</v>
      </c>
      <c r="F37" s="253">
        <v>7.56</v>
      </c>
      <c r="G37" s="254">
        <f t="shared" si="24"/>
        <v>7.1047957371225573E-2</v>
      </c>
      <c r="H37" s="255">
        <v>375</v>
      </c>
      <c r="I37" s="255">
        <v>235</v>
      </c>
      <c r="J37" s="253">
        <f t="shared" si="19"/>
        <v>49.603174603174608</v>
      </c>
      <c r="K37" s="253">
        <f t="shared" si="20"/>
        <v>31.084656084656086</v>
      </c>
      <c r="L37" s="206">
        <v>108</v>
      </c>
      <c r="M37" s="208">
        <f>L37+2060</f>
        <v>2168</v>
      </c>
      <c r="N37" s="250">
        <f t="shared" si="21"/>
        <v>100.37037037037037</v>
      </c>
      <c r="O37" s="234"/>
      <c r="Q37" s="238" t="s">
        <v>61</v>
      </c>
      <c r="R37" s="243">
        <v>120</v>
      </c>
      <c r="S37" s="243">
        <v>120</v>
      </c>
      <c r="T37" s="244">
        <f t="shared" si="25"/>
        <v>5.9731209556993528E-2</v>
      </c>
      <c r="U37" s="244">
        <f t="shared" si="26"/>
        <v>0</v>
      </c>
      <c r="V37" s="201"/>
      <c r="W37" s="201"/>
      <c r="X37" s="201"/>
      <c r="Y37" s="201"/>
      <c r="Z37" s="201"/>
    </row>
    <row r="38" spans="1:26" ht="15.75" customHeight="1" x14ac:dyDescent="0.3">
      <c r="A38" s="199"/>
      <c r="B38" s="210"/>
      <c r="C38" s="251">
        <v>2015</v>
      </c>
      <c r="D38" s="255">
        <v>1927</v>
      </c>
      <c r="E38" s="255">
        <v>191</v>
      </c>
      <c r="F38" s="253">
        <v>9.58</v>
      </c>
      <c r="G38" s="254">
        <f t="shared" si="24"/>
        <v>9.9117799688635183E-2</v>
      </c>
      <c r="H38" s="255">
        <v>309</v>
      </c>
      <c r="I38" s="255">
        <v>205</v>
      </c>
      <c r="J38" s="253">
        <f t="shared" si="19"/>
        <v>32.254697286012529</v>
      </c>
      <c r="K38" s="253">
        <f t="shared" si="20"/>
        <v>21.398747390396661</v>
      </c>
      <c r="L38" s="206">
        <v>99</v>
      </c>
      <c r="M38" s="208">
        <f>L38+1747</f>
        <v>1846</v>
      </c>
      <c r="N38" s="250">
        <f t="shared" si="21"/>
        <v>93.232323232323225</v>
      </c>
      <c r="O38" s="234"/>
      <c r="Q38" s="238" t="s">
        <v>716</v>
      </c>
      <c r="R38" s="243">
        <v>28</v>
      </c>
      <c r="S38" s="243">
        <v>17</v>
      </c>
      <c r="T38" s="244">
        <f t="shared" si="25"/>
        <v>1.3937282229965157E-2</v>
      </c>
      <c r="U38" s="244">
        <f t="shared" si="26"/>
        <v>0.64705882352941169</v>
      </c>
    </row>
    <row r="39" spans="1:26" ht="15.75" customHeight="1" x14ac:dyDescent="0.3">
      <c r="A39" s="199"/>
      <c r="B39" s="210" t="s">
        <v>717</v>
      </c>
      <c r="C39" s="251">
        <v>2014</v>
      </c>
      <c r="D39" s="255">
        <v>1254</v>
      </c>
      <c r="E39" s="255">
        <v>160</v>
      </c>
      <c r="F39" s="253">
        <v>8.6199999999999992</v>
      </c>
      <c r="G39" s="254">
        <f t="shared" si="24"/>
        <v>0.12759170653907495</v>
      </c>
      <c r="H39" s="255">
        <v>170</v>
      </c>
      <c r="I39" s="255">
        <v>154</v>
      </c>
      <c r="J39" s="253">
        <f t="shared" si="19"/>
        <v>19.721577726218101</v>
      </c>
      <c r="K39" s="253">
        <f t="shared" si="20"/>
        <v>17.865429234338748</v>
      </c>
      <c r="L39" s="206">
        <v>99</v>
      </c>
      <c r="M39" s="208">
        <f>L39+1694</f>
        <v>1793</v>
      </c>
      <c r="N39" s="250">
        <f t="shared" si="21"/>
        <v>90.555555555555557</v>
      </c>
      <c r="O39" s="234"/>
      <c r="Q39" s="238" t="s">
        <v>718</v>
      </c>
      <c r="R39" s="234">
        <v>701</v>
      </c>
      <c r="S39" s="234">
        <v>344</v>
      </c>
      <c r="T39" s="244">
        <f t="shared" si="25"/>
        <v>0.34892981582877053</v>
      </c>
      <c r="U39" s="244">
        <f t="shared" si="26"/>
        <v>1.0377906976744184</v>
      </c>
    </row>
    <row r="40" spans="1:26" ht="16.5" customHeight="1" x14ac:dyDescent="0.3">
      <c r="A40" s="199"/>
      <c r="C40" s="251">
        <v>2013</v>
      </c>
      <c r="D40" s="255">
        <v>1048</v>
      </c>
      <c r="E40" s="255">
        <v>138</v>
      </c>
      <c r="F40" s="253">
        <v>17.739999999999998</v>
      </c>
      <c r="G40" s="254">
        <f t="shared" si="24"/>
        <v>0.1316793893129771</v>
      </c>
      <c r="H40" s="255">
        <v>689</v>
      </c>
      <c r="I40" s="255">
        <v>482</v>
      </c>
      <c r="J40" s="253">
        <f t="shared" si="19"/>
        <v>38.838782412626834</v>
      </c>
      <c r="K40" s="253">
        <f t="shared" si="20"/>
        <v>27.17023675310034</v>
      </c>
      <c r="L40" s="208">
        <v>78</v>
      </c>
      <c r="M40" s="208">
        <f>L40+1351</f>
        <v>1429</v>
      </c>
      <c r="N40" s="250">
        <f t="shared" si="21"/>
        <v>91.602564102564102</v>
      </c>
      <c r="O40" s="234"/>
      <c r="Q40" s="5"/>
      <c r="R40" s="5"/>
      <c r="S40" s="5"/>
      <c r="T40" s="5"/>
      <c r="U40" s="211"/>
    </row>
    <row r="41" spans="1:26" ht="16.5" customHeight="1" x14ac:dyDescent="0.3">
      <c r="A41" s="199"/>
      <c r="B41" s="210"/>
      <c r="C41" s="251">
        <v>2012</v>
      </c>
      <c r="D41" s="255">
        <v>820</v>
      </c>
      <c r="E41" s="252">
        <v>98</v>
      </c>
      <c r="F41" s="253">
        <v>14</v>
      </c>
      <c r="G41" s="254">
        <f t="shared" si="24"/>
        <v>0.11951219512195121</v>
      </c>
      <c r="H41" s="255">
        <v>845</v>
      </c>
      <c r="I41" s="255">
        <v>592</v>
      </c>
      <c r="J41" s="253">
        <f t="shared" si="19"/>
        <v>60.357142857142854</v>
      </c>
      <c r="K41" s="253">
        <f t="shared" si="20"/>
        <v>42.285714285714285</v>
      </c>
      <c r="L41" s="208">
        <v>78</v>
      </c>
      <c r="M41" s="208">
        <f>L41+1364</f>
        <v>1442</v>
      </c>
      <c r="N41" s="250">
        <f t="shared" si="21"/>
        <v>92.435897435897445</v>
      </c>
      <c r="O41" s="234"/>
      <c r="Q41" s="259" t="s">
        <v>73</v>
      </c>
      <c r="R41" s="260">
        <f t="shared" ref="R41:S41" si="27">SUM(R34:R39)</f>
        <v>2009</v>
      </c>
      <c r="S41" s="260">
        <f t="shared" si="27"/>
        <v>841</v>
      </c>
      <c r="T41" s="244">
        <f>R41/$R$41</f>
        <v>1</v>
      </c>
      <c r="U41" s="261">
        <f>(R41/S41)^(1/1)-1</f>
        <v>1.3888228299643282</v>
      </c>
      <c r="Y41" s="262"/>
      <c r="Z41" s="262"/>
    </row>
    <row r="42" spans="1:26" ht="16.5" customHeight="1" x14ac:dyDescent="0.3">
      <c r="A42" s="199"/>
      <c r="B42" s="5"/>
      <c r="C42" s="133">
        <v>2011</v>
      </c>
      <c r="D42" s="133">
        <v>559</v>
      </c>
      <c r="E42" s="133">
        <v>131</v>
      </c>
      <c r="F42" s="135">
        <v>18.73</v>
      </c>
      <c r="G42" s="254">
        <f t="shared" si="24"/>
        <v>0.23434704830053668</v>
      </c>
      <c r="H42" s="234">
        <v>823</v>
      </c>
      <c r="I42" s="234">
        <v>438</v>
      </c>
      <c r="J42" s="253">
        <f t="shared" si="19"/>
        <v>43.94020288307528</v>
      </c>
      <c r="K42" s="253">
        <f t="shared" si="20"/>
        <v>23.384943940202884</v>
      </c>
      <c r="L42" s="208">
        <v>70</v>
      </c>
      <c r="M42" s="208">
        <f>L42+841</f>
        <v>911</v>
      </c>
      <c r="N42" s="250">
        <f t="shared" si="21"/>
        <v>65.071428571428569</v>
      </c>
      <c r="O42" s="234"/>
      <c r="Y42" s="262"/>
      <c r="Z42" s="262"/>
    </row>
    <row r="43" spans="1:26" ht="15.75" customHeight="1" x14ac:dyDescent="0.3">
      <c r="A43" s="199"/>
      <c r="B43" s="5" t="s">
        <v>719</v>
      </c>
      <c r="C43" s="133">
        <v>2010</v>
      </c>
      <c r="D43" s="133">
        <v>456</v>
      </c>
      <c r="E43" s="133">
        <v>123</v>
      </c>
      <c r="F43" s="135">
        <v>19.5</v>
      </c>
      <c r="G43" s="254">
        <f t="shared" si="24"/>
        <v>0.26973684210526316</v>
      </c>
      <c r="H43" s="133">
        <v>589</v>
      </c>
      <c r="I43" s="133">
        <v>447</v>
      </c>
      <c r="J43" s="253">
        <f t="shared" si="19"/>
        <v>30.205128205128204</v>
      </c>
      <c r="K43" s="253">
        <f t="shared" si="20"/>
        <v>22.923076923076923</v>
      </c>
      <c r="L43" s="208">
        <v>70</v>
      </c>
      <c r="M43" s="208">
        <f>L43+747</f>
        <v>817</v>
      </c>
      <c r="N43" s="250">
        <f t="shared" si="21"/>
        <v>58.357142857142854</v>
      </c>
      <c r="O43" s="234"/>
      <c r="V43" s="262"/>
      <c r="W43" s="262"/>
    </row>
    <row r="44" spans="1:26" ht="15.75" customHeight="1" x14ac:dyDescent="0.3">
      <c r="A44" s="199"/>
      <c r="B44" s="5"/>
      <c r="C44" s="133">
        <v>2009</v>
      </c>
      <c r="D44" s="133">
        <v>298</v>
      </c>
      <c r="E44" s="263">
        <v>75</v>
      </c>
      <c r="F44" s="135">
        <v>12.36</v>
      </c>
      <c r="G44" s="254">
        <f t="shared" si="24"/>
        <v>0.25167785234899331</v>
      </c>
      <c r="H44" s="133"/>
      <c r="I44" s="133"/>
      <c r="J44" s="133"/>
      <c r="K44" s="133"/>
      <c r="L44" s="208">
        <v>60</v>
      </c>
      <c r="M44" s="208">
        <f>L44+238</f>
        <v>298</v>
      </c>
      <c r="N44" s="250">
        <f t="shared" si="21"/>
        <v>24.833333333333332</v>
      </c>
      <c r="O44" s="234"/>
    </row>
    <row r="45" spans="1:26" ht="15.75" customHeight="1" x14ac:dyDescent="0.3">
      <c r="A45" s="199"/>
      <c r="B45" s="5"/>
      <c r="C45" s="251">
        <v>2008</v>
      </c>
      <c r="D45" s="251">
        <v>228</v>
      </c>
      <c r="E45" s="133">
        <v>76</v>
      </c>
      <c r="F45" s="135">
        <v>10.64</v>
      </c>
      <c r="G45" s="254">
        <f t="shared" si="24"/>
        <v>0.33333333333333331</v>
      </c>
      <c r="H45" s="133"/>
      <c r="I45" s="133"/>
      <c r="J45" s="133"/>
      <c r="K45" s="133"/>
      <c r="L45" s="208">
        <v>6</v>
      </c>
      <c r="M45" s="208">
        <f>L45+182</f>
        <v>188</v>
      </c>
      <c r="N45" s="250">
        <f t="shared" si="21"/>
        <v>156.66666666666669</v>
      </c>
      <c r="O45" s="234"/>
    </row>
    <row r="46" spans="1:26" ht="15.75" customHeight="1" x14ac:dyDescent="0.3">
      <c r="A46" s="199"/>
      <c r="B46" s="5"/>
      <c r="C46" s="251">
        <v>2007</v>
      </c>
      <c r="D46" s="251">
        <v>137</v>
      </c>
      <c r="E46" s="133">
        <v>42</v>
      </c>
      <c r="F46" s="135">
        <v>7.15</v>
      </c>
      <c r="G46" s="254">
        <f t="shared" si="24"/>
        <v>0.30656934306569344</v>
      </c>
      <c r="H46" s="133"/>
      <c r="I46" s="133"/>
      <c r="J46" s="133"/>
      <c r="K46" s="133"/>
      <c r="L46" s="208">
        <v>6</v>
      </c>
      <c r="M46" s="208">
        <f>L46+52</f>
        <v>58</v>
      </c>
      <c r="N46" s="250">
        <f t="shared" si="21"/>
        <v>48.333333333333336</v>
      </c>
      <c r="O46" s="234"/>
    </row>
    <row r="47" spans="1:26" ht="15.75" customHeight="1" x14ac:dyDescent="0.3">
      <c r="A47" s="199"/>
      <c r="H47" s="5"/>
      <c r="I47" s="5"/>
      <c r="J47" s="5"/>
      <c r="K47" s="5"/>
      <c r="L47" s="201"/>
      <c r="M47" s="5"/>
      <c r="P47" s="264"/>
      <c r="Q47" s="264"/>
      <c r="V47" s="262"/>
      <c r="W47" s="262"/>
    </row>
    <row r="48" spans="1:26" ht="15.75" customHeight="1" x14ac:dyDescent="0.3">
      <c r="A48" s="199"/>
      <c r="E48" s="262"/>
      <c r="F48" s="262"/>
      <c r="H48" s="201"/>
      <c r="I48" s="201"/>
      <c r="J48" s="201"/>
      <c r="K48" s="201"/>
      <c r="L48" s="201"/>
      <c r="M48" s="5"/>
      <c r="P48" s="201"/>
      <c r="Q48" s="201"/>
      <c r="V48" s="262"/>
      <c r="W48" s="262"/>
    </row>
    <row r="49" spans="1:24" ht="15.75" customHeight="1" x14ac:dyDescent="0.3">
      <c r="A49" s="199"/>
      <c r="E49" s="262"/>
      <c r="F49" s="262"/>
      <c r="H49" s="201"/>
      <c r="I49" s="201"/>
      <c r="J49" s="201"/>
      <c r="K49" s="201"/>
      <c r="L49" s="201"/>
      <c r="M49" s="5"/>
      <c r="N49" s="264"/>
      <c r="O49" s="264"/>
      <c r="P49" s="201"/>
      <c r="Q49" s="201"/>
      <c r="V49" s="262"/>
      <c r="W49" s="262"/>
    </row>
    <row r="50" spans="1:24" ht="15.75" customHeight="1" x14ac:dyDescent="0.3">
      <c r="A50" s="199"/>
      <c r="C50" s="265"/>
      <c r="D50" s="265"/>
      <c r="E50" s="262"/>
      <c r="F50" s="262"/>
      <c r="H50" s="201"/>
      <c r="I50" s="201"/>
      <c r="J50" s="201"/>
      <c r="K50" s="201"/>
      <c r="L50" s="201"/>
      <c r="M50" s="211"/>
      <c r="N50" s="201"/>
      <c r="O50" s="201"/>
      <c r="P50" s="201"/>
      <c r="Q50" s="201"/>
    </row>
    <row r="51" spans="1:24" ht="15.75" customHeight="1" x14ac:dyDescent="0.3">
      <c r="A51" s="199"/>
      <c r="C51" s="265"/>
      <c r="D51" s="265"/>
      <c r="E51" s="262"/>
      <c r="F51" s="262"/>
      <c r="H51" s="201"/>
      <c r="I51" s="201"/>
      <c r="J51" s="201"/>
      <c r="K51" s="201"/>
      <c r="L51" s="201"/>
      <c r="M51" s="21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</row>
    <row r="52" spans="1:24" ht="15.75" customHeight="1" x14ac:dyDescent="0.3">
      <c r="A52" s="222"/>
      <c r="C52" s="265"/>
      <c r="D52" s="265"/>
      <c r="F52" s="262"/>
      <c r="H52" s="201"/>
      <c r="I52" s="201"/>
      <c r="J52" s="201"/>
      <c r="K52" s="201"/>
      <c r="L52" s="201"/>
      <c r="M52" s="21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</row>
    <row r="53" spans="1:24" ht="15.75" customHeight="1" x14ac:dyDescent="0.3">
      <c r="A53" s="222"/>
      <c r="C53" s="265"/>
      <c r="D53" s="265"/>
      <c r="E53" s="262"/>
      <c r="F53" s="262"/>
      <c r="H53" s="201"/>
      <c r="I53" s="201"/>
      <c r="J53" s="201"/>
      <c r="K53" s="201"/>
      <c r="L53" s="201"/>
      <c r="M53" s="21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</row>
    <row r="54" spans="1:24" ht="15.75" customHeight="1" x14ac:dyDescent="0.3">
      <c r="A54" s="222"/>
      <c r="C54" s="265"/>
      <c r="D54" s="265"/>
      <c r="E54" s="262"/>
      <c r="F54" s="262"/>
      <c r="H54" s="201"/>
      <c r="I54" s="201"/>
      <c r="J54" s="201"/>
      <c r="K54" s="201"/>
      <c r="L54" s="201"/>
      <c r="M54" s="21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</row>
    <row r="55" spans="1:24" ht="15.75" customHeight="1" x14ac:dyDescent="0.3">
      <c r="A55" s="199"/>
      <c r="C55" s="265"/>
      <c r="D55" s="265"/>
      <c r="E55" s="262"/>
      <c r="F55" s="262"/>
      <c r="H55" s="201"/>
      <c r="I55" s="201"/>
      <c r="J55" s="201"/>
      <c r="K55" s="201"/>
      <c r="L55" s="201"/>
      <c r="M55" s="21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</row>
    <row r="56" spans="1:24" ht="15.75" customHeight="1" x14ac:dyDescent="0.3">
      <c r="A56" s="222"/>
      <c r="H56" s="201"/>
      <c r="I56" s="201"/>
      <c r="J56" s="201"/>
      <c r="K56" s="201"/>
      <c r="L56" s="201"/>
      <c r="M56" s="21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</row>
    <row r="57" spans="1:24" ht="15.75" customHeight="1" x14ac:dyDescent="0.3">
      <c r="A57" s="199"/>
      <c r="E57" s="262"/>
      <c r="F57" s="262"/>
      <c r="H57" s="201"/>
      <c r="I57" s="201"/>
      <c r="J57" s="201"/>
      <c r="K57" s="201"/>
      <c r="L57" s="201"/>
      <c r="M57" s="266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</row>
    <row r="58" spans="1:24" ht="15.75" customHeight="1" x14ac:dyDescent="0.3">
      <c r="A58" s="199"/>
      <c r="B58" s="227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</row>
    <row r="59" spans="1:24" ht="15.75" customHeight="1" x14ac:dyDescent="0.3">
      <c r="A59" s="199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</row>
    <row r="60" spans="1:24" ht="15.75" customHeight="1" x14ac:dyDescent="0.3">
      <c r="G60" s="201"/>
      <c r="H60" s="201"/>
      <c r="I60" s="201"/>
      <c r="J60" s="201"/>
      <c r="K60" s="201"/>
      <c r="L60" s="201"/>
      <c r="M60" s="201"/>
      <c r="N60" s="201"/>
      <c r="O60" s="201"/>
    </row>
    <row r="61" spans="1:24" ht="15.75" customHeight="1" x14ac:dyDescent="0.3">
      <c r="G61" s="5"/>
      <c r="H61" s="211"/>
      <c r="I61" s="201"/>
      <c r="J61" s="201"/>
      <c r="K61" s="201"/>
      <c r="L61" s="201"/>
      <c r="M61" s="201"/>
      <c r="N61" s="201"/>
      <c r="O61" s="201"/>
    </row>
    <row r="62" spans="1:24" ht="15.75" customHeight="1" x14ac:dyDescent="0.3">
      <c r="C62" s="262"/>
      <c r="F62" s="262"/>
      <c r="G62" s="5"/>
      <c r="H62" s="211"/>
      <c r="I62" s="201"/>
      <c r="J62" s="201"/>
      <c r="K62" s="201"/>
    </row>
    <row r="63" spans="1:24" ht="15.75" customHeight="1" x14ac:dyDescent="0.3">
      <c r="C63" s="262"/>
      <c r="F63" s="262"/>
      <c r="G63" s="5"/>
      <c r="H63" s="211"/>
      <c r="I63" s="201"/>
      <c r="J63" s="201"/>
      <c r="K63" s="201"/>
    </row>
    <row r="64" spans="1:2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C2:F138"/>
  <sheetViews>
    <sheetView workbookViewId="0"/>
  </sheetViews>
  <sheetFormatPr defaultColWidth="12.59765625" defaultRowHeight="15" customHeight="1" x14ac:dyDescent="0.25"/>
  <sheetData>
    <row r="2" spans="3:6" x14ac:dyDescent="0.25">
      <c r="E2" s="37">
        <f ca="1">SUM(E4:E138)</f>
        <v>851112.47519000003</v>
      </c>
      <c r="F2" s="37">
        <f ca="1">E2*80%</f>
        <v>680889.98015200009</v>
      </c>
    </row>
    <row r="3" spans="3:6" ht="15" customHeight="1" x14ac:dyDescent="0.3">
      <c r="C3" s="60" t="s">
        <v>41</v>
      </c>
      <c r="D3" s="60" t="s">
        <v>5</v>
      </c>
      <c r="E3" s="37" t="s">
        <v>230</v>
      </c>
    </row>
    <row r="4" spans="3:6" ht="15" customHeight="1" x14ac:dyDescent="0.3">
      <c r="C4" s="61">
        <v>532868</v>
      </c>
      <c r="D4" s="60" t="s">
        <v>9</v>
      </c>
      <c r="E4" s="62">
        <f ca="1">IFERROR(__xludf.DUMMYFUNCTION("GOOGLEFINANCE(""bom:""&amp;C4,""marketcap"")/10000000"),211787.6031167)</f>
        <v>211787.60311669999</v>
      </c>
    </row>
    <row r="5" spans="3:6" ht="15" customHeight="1" x14ac:dyDescent="0.3">
      <c r="C5" s="61">
        <v>543287</v>
      </c>
      <c r="D5" s="60" t="s">
        <v>10</v>
      </c>
      <c r="E5" s="62">
        <f ca="1">IFERROR(__xludf.DUMMYFUNCTION("GOOGLEFINANCE(""bom:""&amp;C5,""marketcap"")/10000000"),111822.540245)</f>
        <v>111822.540245</v>
      </c>
    </row>
    <row r="6" spans="3:6" ht="15" customHeight="1" x14ac:dyDescent="0.3">
      <c r="C6" s="61">
        <v>533150</v>
      </c>
      <c r="D6" s="60" t="s">
        <v>13</v>
      </c>
      <c r="E6" s="62">
        <f ca="1">IFERROR(__xludf.DUMMYFUNCTION("GOOGLEFINANCE(""bom:""&amp;C6,""marketcap"")/10000000"),62027.7204)</f>
        <v>62027.720399999998</v>
      </c>
    </row>
    <row r="7" spans="3:6" ht="15" customHeight="1" x14ac:dyDescent="0.3">
      <c r="C7" s="61">
        <v>533273</v>
      </c>
      <c r="D7" s="60" t="s">
        <v>12</v>
      </c>
      <c r="E7" s="62">
        <f ca="1">IFERROR(__xludf.DUMMYFUNCTION("GOOGLEFINANCE(""bom:""&amp;C7,""marketcap"")/10000000"),51813.3135)</f>
        <v>51813.313499999997</v>
      </c>
    </row>
    <row r="8" spans="3:6" ht="15" customHeight="1" x14ac:dyDescent="0.3">
      <c r="C8" s="61">
        <v>533274</v>
      </c>
      <c r="D8" s="60" t="s">
        <v>11</v>
      </c>
      <c r="E8" s="62">
        <f ca="1">IFERROR(__xludf.DUMMYFUNCTION("GOOGLEFINANCE(""bom:""&amp;C8,""marketcap"")/10000000"),41991.3755024)</f>
        <v>41991.375502399998</v>
      </c>
    </row>
    <row r="9" spans="3:6" ht="15" customHeight="1" x14ac:dyDescent="0.3">
      <c r="C9" s="61">
        <v>503100</v>
      </c>
      <c r="D9" s="60" t="s">
        <v>14</v>
      </c>
      <c r="E9" s="62">
        <f ca="1">IFERROR(__xludf.DUMMYFUNCTION("GOOGLEFINANCE(""bom:""&amp;C9,""marketcap"")/10000000"),45486.061985)</f>
        <v>45486.061985</v>
      </c>
    </row>
    <row r="10" spans="3:6" ht="15" customHeight="1" x14ac:dyDescent="0.3">
      <c r="C10" s="61">
        <v>532929</v>
      </c>
      <c r="D10" s="60" t="s">
        <v>15</v>
      </c>
      <c r="E10" s="62">
        <f ca="1">IFERROR(__xludf.DUMMYFUNCTION("GOOGLEFINANCE(""bom:""&amp;C10,""marketcap"")/10000000"),20839.3072375)</f>
        <v>20839.307237500001</v>
      </c>
    </row>
    <row r="11" spans="3:6" ht="15" customHeight="1" x14ac:dyDescent="0.3">
      <c r="C11" s="61">
        <v>543990</v>
      </c>
      <c r="D11" s="60" t="s">
        <v>19</v>
      </c>
      <c r="E11" s="62">
        <f ca="1">IFERROR(__xludf.DUMMYFUNCTION("GOOGLEFINANCE(""bom:""&amp;C11,""marketcap"")/10000000"),18710.5661889)</f>
        <v>18710.5661889</v>
      </c>
    </row>
    <row r="12" spans="3:6" ht="15" customHeight="1" x14ac:dyDescent="0.3">
      <c r="C12" s="61">
        <v>503310</v>
      </c>
      <c r="D12" s="60" t="s">
        <v>17</v>
      </c>
      <c r="E12" s="62">
        <f ca="1">IFERROR(__xludf.DUMMYFUNCTION("GOOGLEFINANCE(""bom:""&amp;C12,""marketcap"")/10000000"),19472.7318991)</f>
        <v>19472.731899099999</v>
      </c>
    </row>
    <row r="13" spans="3:6" ht="15" customHeight="1" x14ac:dyDescent="0.3">
      <c r="C13" s="61">
        <v>532784</v>
      </c>
      <c r="D13" s="60" t="s">
        <v>231</v>
      </c>
      <c r="E13" s="62">
        <v>139141</v>
      </c>
    </row>
    <row r="14" spans="3:6" ht="15" customHeight="1" x14ac:dyDescent="0.3">
      <c r="C14" s="61">
        <v>515055</v>
      </c>
      <c r="D14" s="60" t="s">
        <v>18</v>
      </c>
      <c r="E14" s="62">
        <f ca="1">IFERROR(__xludf.DUMMYFUNCTION("GOOGLEFINANCE(""bom:""&amp;C14,""marketcap"")/10000000"),10475.5308393)</f>
        <v>10475.5308393</v>
      </c>
    </row>
    <row r="15" spans="3:6" ht="15" customHeight="1" x14ac:dyDescent="0.3">
      <c r="C15" s="61">
        <v>533160</v>
      </c>
      <c r="D15" s="60" t="s">
        <v>20</v>
      </c>
      <c r="E15" s="62">
        <f ca="1">IFERROR(__xludf.DUMMYFUNCTION("GOOGLEFINANCE(""bom:""&amp;C15,""marketcap"")/10000000"),11000.5086529)</f>
        <v>11000.5086529</v>
      </c>
    </row>
    <row r="16" spans="3:6" ht="15" customHeight="1" x14ac:dyDescent="0.3">
      <c r="C16" s="61">
        <v>504882</v>
      </c>
      <c r="D16" s="60" t="s">
        <v>21</v>
      </c>
      <c r="E16" s="62">
        <f ca="1">IFERROR(__xludf.DUMMYFUNCTION("GOOGLEFINANCE(""bom:""&amp;C16,""marketcap"")/10000000"),9599.9952)</f>
        <v>9599.9951999999994</v>
      </c>
    </row>
    <row r="17" spans="3:5" ht="15" customHeight="1" x14ac:dyDescent="0.3">
      <c r="C17" s="61">
        <v>532313</v>
      </c>
      <c r="D17" s="60" t="s">
        <v>22</v>
      </c>
      <c r="E17" s="62">
        <f ca="1">IFERROR(__xludf.DUMMYFUNCTION("GOOGLEFINANCE(""bom:""&amp;C17,""marketcap"")/10000000"),8471.8946662)</f>
        <v>8471.8946661999998</v>
      </c>
    </row>
    <row r="18" spans="3:5" ht="15" customHeight="1" x14ac:dyDescent="0.3">
      <c r="C18" s="61">
        <v>543669</v>
      </c>
      <c r="D18" s="60" t="s">
        <v>23</v>
      </c>
      <c r="E18" s="62">
        <f ca="1">IFERROR(__xludf.DUMMYFUNCTION("GOOGLEFINANCE(""bom:""&amp;C18,""marketcap"")/10000000"),7118.0125)</f>
        <v>7118.0124999999998</v>
      </c>
    </row>
    <row r="19" spans="3:5" ht="15" customHeight="1" x14ac:dyDescent="0.3">
      <c r="C19" s="61">
        <v>512179</v>
      </c>
      <c r="D19" s="60" t="s">
        <v>26</v>
      </c>
      <c r="E19" s="62">
        <f ca="1">IFERROR(__xludf.DUMMYFUNCTION("GOOGLEFINANCE(""bom:""&amp;C19,""marketcap"")/10000000"),5747.41959)</f>
        <v>5747.4195900000004</v>
      </c>
    </row>
    <row r="20" spans="3:5" ht="15" customHeight="1" x14ac:dyDescent="0.3">
      <c r="C20" s="61">
        <v>532832</v>
      </c>
      <c r="D20" s="60" t="s">
        <v>25</v>
      </c>
      <c r="E20" s="62">
        <f ca="1">IFERROR(__xludf.DUMMYFUNCTION("GOOGLEFINANCE(""bom:""&amp;C20,""marketcap"")/10000000"),5970.8171211)</f>
        <v>5970.8171210999999</v>
      </c>
    </row>
    <row r="21" spans="3:5" ht="15" customHeight="1" x14ac:dyDescent="0.3">
      <c r="C21" s="61">
        <v>532891</v>
      </c>
      <c r="D21" s="60" t="s">
        <v>75</v>
      </c>
      <c r="E21" s="62">
        <f ca="1">IFERROR(__xludf.DUMMYFUNCTION("GOOGLEFINANCE(""bom:""&amp;C21,""marketcap"")/10000000"),4842.8420838)</f>
        <v>4842.8420838000002</v>
      </c>
    </row>
    <row r="22" spans="3:5" ht="15" customHeight="1" x14ac:dyDescent="0.3">
      <c r="C22" s="61">
        <v>543242</v>
      </c>
      <c r="D22" s="60" t="s">
        <v>27</v>
      </c>
      <c r="E22" s="62">
        <f ca="1">IFERROR(__xludf.DUMMYFUNCTION("GOOGLEFINANCE(""bom:""&amp;C22,""marketcap"")/10000000"),5570.39761)</f>
        <v>5570.39761</v>
      </c>
    </row>
    <row r="23" spans="3:5" ht="15" customHeight="1" x14ac:dyDescent="0.3">
      <c r="C23" s="61">
        <v>544008</v>
      </c>
      <c r="D23" s="60" t="s">
        <v>77</v>
      </c>
      <c r="E23" s="62">
        <f ca="1">IFERROR(__xludf.DUMMYFUNCTION("GOOGLEFINANCE(""bom:""&amp;C23,""marketcap"")/10000000"),3821.0831446)</f>
        <v>3821.0831446000002</v>
      </c>
    </row>
    <row r="24" spans="3:5" ht="15" customHeight="1" x14ac:dyDescent="0.3">
      <c r="C24" s="61">
        <v>543249</v>
      </c>
      <c r="D24" s="60" t="s">
        <v>76</v>
      </c>
      <c r="E24" s="62">
        <f ca="1">IFERROR(__xludf.DUMMYFUNCTION("GOOGLEFINANCE(""bom:""&amp;C24,""marketcap"")/10000000"),3961.6678275)</f>
        <v>3961.6678274999999</v>
      </c>
    </row>
    <row r="25" spans="3:5" ht="15" customHeight="1" x14ac:dyDescent="0.3">
      <c r="C25" s="61">
        <v>532924</v>
      </c>
      <c r="D25" s="60" t="s">
        <v>78</v>
      </c>
      <c r="E25" s="62">
        <f ca="1">IFERROR(__xludf.DUMMYFUNCTION("GOOGLEFINANCE(""bom:""&amp;C25,""marketcap"")/10000000"),3358.8429643)</f>
        <v>3358.8429642999999</v>
      </c>
    </row>
    <row r="26" spans="3:5" ht="15" customHeight="1" x14ac:dyDescent="0.3">
      <c r="C26" s="61">
        <v>526367</v>
      </c>
      <c r="D26" s="60" t="s">
        <v>24</v>
      </c>
      <c r="E26" s="62">
        <f ca="1">IFERROR(__xludf.DUMMYFUNCTION("GOOGLEFINANCE(""bom:""&amp;C26,""marketcap"")/10000000"),6033.8896288)</f>
        <v>6033.8896287999996</v>
      </c>
    </row>
    <row r="27" spans="3:5" ht="15" customHeight="1" x14ac:dyDescent="0.3">
      <c r="C27" s="61">
        <v>523716</v>
      </c>
      <c r="D27" s="60" t="s">
        <v>79</v>
      </c>
      <c r="E27" s="62">
        <f ca="1">IFERROR(__xludf.DUMMYFUNCTION("GOOGLEFINANCE(""bom:""&amp;C27,""marketcap"")/10000000"),2776.4950987)</f>
        <v>2776.4950987000002</v>
      </c>
    </row>
    <row r="28" spans="3:5" ht="15" customHeight="1" x14ac:dyDescent="0.3">
      <c r="C28" s="61">
        <v>507878</v>
      </c>
      <c r="D28" s="60" t="s">
        <v>82</v>
      </c>
      <c r="E28" s="62">
        <f ca="1">IFERROR(__xludf.DUMMYFUNCTION("GOOGLEFINANCE(""bom:""&amp;C28,""marketcap"")/10000000"),2434.7491796)</f>
        <v>2434.7491795999999</v>
      </c>
    </row>
    <row r="29" spans="3:5" ht="14.4" x14ac:dyDescent="0.3">
      <c r="C29" s="61">
        <v>506235</v>
      </c>
      <c r="D29" s="60" t="s">
        <v>84</v>
      </c>
      <c r="E29" s="62">
        <f ca="1">IFERROR(__xludf.DUMMYFUNCTION("GOOGLEFINANCE(""bom:""&amp;C29,""marketcap"")/10000000"),2090.9569569)</f>
        <v>2090.9569569</v>
      </c>
    </row>
    <row r="30" spans="3:5" ht="14.4" x14ac:dyDescent="0.3">
      <c r="C30" s="61">
        <v>543419</v>
      </c>
      <c r="D30" s="60" t="s">
        <v>85</v>
      </c>
      <c r="E30" s="62">
        <f ca="1">IFERROR(__xludf.DUMMYFUNCTION("GOOGLEFINANCE(""bom:""&amp;C30,""marketcap"")/10000000"),1835.26265)</f>
        <v>1835.2626499999999</v>
      </c>
    </row>
    <row r="31" spans="3:5" ht="14.4" x14ac:dyDescent="0.3">
      <c r="C31" s="61">
        <v>539301</v>
      </c>
      <c r="D31" s="60" t="s">
        <v>80</v>
      </c>
      <c r="E31" s="62">
        <f ca="1">IFERROR(__xludf.DUMMYFUNCTION("GOOGLEFINANCE(""bom:""&amp;C31,""marketcap"")/10000000"),2692.890916)</f>
        <v>2692.8909159999998</v>
      </c>
    </row>
    <row r="32" spans="3:5" ht="14.4" x14ac:dyDescent="0.3">
      <c r="C32" s="61">
        <v>503101</v>
      </c>
      <c r="D32" s="60" t="s">
        <v>83</v>
      </c>
      <c r="E32" s="62">
        <f ca="1">IFERROR(__xludf.DUMMYFUNCTION("GOOGLEFINANCE(""bom:""&amp;C32,""marketcap"")/10000000"),2430.6358)</f>
        <v>2430.6358</v>
      </c>
    </row>
    <row r="33" spans="3:5" ht="14.4" x14ac:dyDescent="0.3">
      <c r="C33" s="61">
        <v>513349</v>
      </c>
      <c r="D33" s="60" t="s">
        <v>81</v>
      </c>
      <c r="E33" s="62">
        <f ca="1">IFERROR(__xludf.DUMMYFUNCTION("GOOGLEFINANCE(""bom:""&amp;C33,""marketcap"")/10000000"),2495.2688051)</f>
        <v>2495.2688051</v>
      </c>
    </row>
    <row r="34" spans="3:5" ht="14.4" x14ac:dyDescent="0.3">
      <c r="C34" s="61">
        <v>503031</v>
      </c>
      <c r="D34" s="60" t="s">
        <v>87</v>
      </c>
      <c r="E34" s="62">
        <f ca="1">IFERROR(__xludf.DUMMYFUNCTION("GOOGLEFINANCE(""bom:""&amp;C34,""marketcap"")/10000000"),1480.5202138)</f>
        <v>1480.5202138</v>
      </c>
    </row>
    <row r="35" spans="3:5" ht="14.4" x14ac:dyDescent="0.3">
      <c r="C35" s="61">
        <v>532880</v>
      </c>
      <c r="D35" s="60" t="s">
        <v>86</v>
      </c>
      <c r="E35" s="62">
        <f ca="1">IFERROR(__xludf.DUMMYFUNCTION("GOOGLEFINANCE(""bom:""&amp;C35,""marketcap"")/10000000"),1642.4465458)</f>
        <v>1642.4465458</v>
      </c>
    </row>
    <row r="36" spans="3:5" ht="14.4" x14ac:dyDescent="0.3">
      <c r="C36" s="61">
        <v>544054</v>
      </c>
      <c r="D36" s="60" t="s">
        <v>91</v>
      </c>
      <c r="E36" s="62">
        <f ca="1">IFERROR(__xludf.DUMMYFUNCTION("GOOGLEFINANCE(""bom:""&amp;C36,""marketcap"")/10000000"),1224.1581779)</f>
        <v>1224.1581779000001</v>
      </c>
    </row>
    <row r="37" spans="3:5" ht="14.4" x14ac:dyDescent="0.3">
      <c r="C37" s="61">
        <v>504000</v>
      </c>
      <c r="D37" s="60" t="s">
        <v>89</v>
      </c>
      <c r="E37" s="62">
        <f ca="1">IFERROR(__xludf.DUMMYFUNCTION("GOOGLEFINANCE(""bom:""&amp;C37,""marketcap"")/10000000"),1340.5796551)</f>
        <v>1340.5796551000001</v>
      </c>
    </row>
    <row r="38" spans="3:5" ht="14.4" x14ac:dyDescent="0.3">
      <c r="C38" s="61">
        <v>526407</v>
      </c>
      <c r="D38" s="60" t="s">
        <v>93</v>
      </c>
      <c r="E38" s="62">
        <f ca="1">IFERROR(__xludf.DUMMYFUNCTION("GOOGLEFINANCE(""bom:""&amp;C38,""marketcap"")/10000000"),1026.3590551)</f>
        <v>1026.3590551</v>
      </c>
    </row>
    <row r="39" spans="3:5" ht="14.4" x14ac:dyDescent="0.3">
      <c r="C39" s="61">
        <v>506194</v>
      </c>
      <c r="D39" s="60" t="s">
        <v>90</v>
      </c>
      <c r="E39" s="62">
        <f ca="1">IFERROR(__xludf.DUMMYFUNCTION("GOOGLEFINANCE(""bom:""&amp;C39,""marketcap"")/10000000"),1323.236038)</f>
        <v>1323.236038</v>
      </c>
    </row>
    <row r="40" spans="3:5" ht="14.4" x14ac:dyDescent="0.3">
      <c r="C40" s="61">
        <v>543218</v>
      </c>
      <c r="D40" s="60" t="s">
        <v>88</v>
      </c>
      <c r="E40" s="62">
        <f ca="1">IFERROR(__xludf.DUMMYFUNCTION("GOOGLEFINANCE(""bom:""&amp;C40,""marketcap"")/10000000"),1414.990321)</f>
        <v>1414.990321</v>
      </c>
    </row>
    <row r="41" spans="3:5" ht="14.4" x14ac:dyDescent="0.3">
      <c r="C41" s="61">
        <v>539042</v>
      </c>
      <c r="D41" s="60" t="s">
        <v>92</v>
      </c>
      <c r="E41" s="62">
        <f ca="1">IFERROR(__xludf.DUMMYFUNCTION("GOOGLEFINANCE(""bom:""&amp;C41,""marketcap"")/10000000"),1130.0466)</f>
        <v>1130.0465999999999</v>
      </c>
    </row>
    <row r="42" spans="3:5" ht="14.4" x14ac:dyDescent="0.3">
      <c r="C42" s="61">
        <v>543898</v>
      </c>
      <c r="D42" s="60" t="s">
        <v>96</v>
      </c>
      <c r="E42" s="62">
        <f ca="1">IFERROR(__xludf.DUMMYFUNCTION("GOOGLEFINANCE(""bom:""&amp;C42,""marketcap"")/10000000"),936.8004586)</f>
        <v>936.80045859999996</v>
      </c>
    </row>
    <row r="43" spans="3:5" ht="14.4" x14ac:dyDescent="0.3">
      <c r="C43" s="61">
        <v>523329</v>
      </c>
      <c r="D43" s="60" t="s">
        <v>97</v>
      </c>
      <c r="E43" s="62">
        <f ca="1">IFERROR(__xludf.DUMMYFUNCTION("GOOGLEFINANCE(""bom:""&amp;C43,""marketcap"")/10000000"),731.5259726)</f>
        <v>731.52597260000005</v>
      </c>
    </row>
    <row r="44" spans="3:5" ht="14.4" x14ac:dyDescent="0.3">
      <c r="C44" s="61">
        <v>532799</v>
      </c>
      <c r="D44" s="60" t="s">
        <v>95</v>
      </c>
      <c r="E44" s="62">
        <f ca="1">IFERROR(__xludf.DUMMYFUNCTION("GOOGLEFINANCE(""bom:""&amp;C44,""marketcap"")/10000000"),974.8179102)</f>
        <v>974.81791020000003</v>
      </c>
    </row>
    <row r="45" spans="3:5" ht="14.4" x14ac:dyDescent="0.3">
      <c r="C45" s="61">
        <v>532467</v>
      </c>
      <c r="D45" s="60" t="s">
        <v>98</v>
      </c>
      <c r="E45" s="62">
        <f ca="1">IFERROR(__xludf.DUMMYFUNCTION("GOOGLEFINANCE(""bom:""&amp;C45,""marketcap"")/10000000"),574.7947903)</f>
        <v>574.79479030000005</v>
      </c>
    </row>
    <row r="46" spans="3:5" ht="14.4" x14ac:dyDescent="0.3">
      <c r="C46" s="61">
        <v>534675</v>
      </c>
      <c r="D46" s="60" t="s">
        <v>101</v>
      </c>
      <c r="E46" s="62">
        <f ca="1">IFERROR(__xludf.DUMMYFUNCTION("GOOGLEFINANCE(""bom:""&amp;C46,""marketcap"")/10000000"),457.0453976)</f>
        <v>457.0453976</v>
      </c>
    </row>
    <row r="47" spans="3:5" ht="14.4" x14ac:dyDescent="0.3">
      <c r="C47" s="61">
        <v>532764</v>
      </c>
      <c r="D47" s="60" t="s">
        <v>99</v>
      </c>
      <c r="E47" s="62">
        <f ca="1">IFERROR(__xludf.DUMMYFUNCTION("GOOGLEFINANCE(""bom:""&amp;C47,""marketcap"")/10000000"),549.319947)</f>
        <v>549.31994699999996</v>
      </c>
    </row>
    <row r="48" spans="3:5" ht="14.4" x14ac:dyDescent="0.3">
      <c r="C48" s="61">
        <v>532780</v>
      </c>
      <c r="D48" s="60" t="s">
        <v>100</v>
      </c>
      <c r="E48" s="62">
        <f ca="1">IFERROR(__xludf.DUMMYFUNCTION("GOOGLEFINANCE(""bom:""&amp;C48,""marketcap"")/10000000"),511.5626653)</f>
        <v>511.56266529999999</v>
      </c>
    </row>
    <row r="49" spans="3:5" ht="14.4" x14ac:dyDescent="0.3">
      <c r="C49" s="61">
        <v>532807</v>
      </c>
      <c r="D49" s="60" t="s">
        <v>104</v>
      </c>
      <c r="E49" s="62">
        <f ca="1">IFERROR(__xludf.DUMMYFUNCTION("GOOGLEFINANCE(""bom:""&amp;C49,""marketcap"")/10000000"),397.490588)</f>
        <v>397.490588</v>
      </c>
    </row>
    <row r="50" spans="3:5" ht="14.4" x14ac:dyDescent="0.3">
      <c r="C50" s="61">
        <v>533218</v>
      </c>
      <c r="D50" s="60" t="s">
        <v>106</v>
      </c>
      <c r="E50" s="62">
        <f ca="1">IFERROR(__xludf.DUMMYFUNCTION("GOOGLEFINANCE(""bom:""&amp;C50,""marketcap"")/10000000"),313.3474)</f>
        <v>313.34739999999999</v>
      </c>
    </row>
    <row r="51" spans="3:5" ht="14.4" x14ac:dyDescent="0.3">
      <c r="C51" s="61">
        <v>517556</v>
      </c>
      <c r="D51" s="60" t="s">
        <v>94</v>
      </c>
      <c r="E51" s="62">
        <f ca="1">IFERROR(__xludf.DUMMYFUNCTION("GOOGLEFINANCE(""bom:""&amp;C51,""marketcap"")/10000000"),997.3725832)</f>
        <v>997.37258320000001</v>
      </c>
    </row>
    <row r="52" spans="3:5" ht="14.4" x14ac:dyDescent="0.3">
      <c r="C52" s="61">
        <v>543542</v>
      </c>
      <c r="D52" s="60" t="s">
        <v>118</v>
      </c>
      <c r="E52" s="62">
        <f ca="1">IFERROR(__xludf.DUMMYFUNCTION("GOOGLEFINANCE(""bom:""&amp;C52,""marketcap"")/10000000"),177.0319)</f>
        <v>177.03190000000001</v>
      </c>
    </row>
    <row r="53" spans="3:5" ht="14.4" x14ac:dyDescent="0.3">
      <c r="C53" s="61">
        <v>543539</v>
      </c>
      <c r="D53" s="60" t="s">
        <v>103</v>
      </c>
      <c r="E53" s="62">
        <f ca="1">IFERROR(__xludf.DUMMYFUNCTION("GOOGLEFINANCE(""bom:""&amp;C53,""marketcap"")/10000000"),409.464)</f>
        <v>409.464</v>
      </c>
    </row>
    <row r="54" spans="3:5" ht="14.4" x14ac:dyDescent="0.3">
      <c r="C54" s="61">
        <v>530377</v>
      </c>
      <c r="D54" s="60" t="s">
        <v>102</v>
      </c>
      <c r="E54" s="62">
        <f ca="1">IFERROR(__xludf.DUMMYFUNCTION("GOOGLEFINANCE(""bom:""&amp;C54,""marketcap"")/10000000"),423.43089)</f>
        <v>423.43088999999998</v>
      </c>
    </row>
    <row r="55" spans="3:5" ht="14.4" x14ac:dyDescent="0.3">
      <c r="C55" s="61">
        <v>543251</v>
      </c>
      <c r="D55" s="60" t="s">
        <v>111</v>
      </c>
      <c r="E55" s="62">
        <f ca="1">IFERROR(__xludf.DUMMYFUNCTION("GOOGLEFINANCE(""bom:""&amp;C55,""marketcap"")/10000000"),244.6967509)</f>
        <v>244.69675090000001</v>
      </c>
    </row>
    <row r="56" spans="3:5" ht="14.4" x14ac:dyDescent="0.3">
      <c r="C56" s="61">
        <v>526519</v>
      </c>
      <c r="D56" s="60" t="s">
        <v>109</v>
      </c>
      <c r="E56" s="62">
        <f ca="1">IFERROR(__xludf.DUMMYFUNCTION("GOOGLEFINANCE(""bom:""&amp;C56,""marketcap"")/10000000"),256.36412)</f>
        <v>256.36412000000001</v>
      </c>
    </row>
    <row r="57" spans="3:5" ht="14.4" x14ac:dyDescent="0.3">
      <c r="C57" s="61">
        <v>543598</v>
      </c>
      <c r="D57" s="60" t="s">
        <v>107</v>
      </c>
      <c r="E57" s="62">
        <f ca="1">IFERROR(__xludf.DUMMYFUNCTION("GOOGLEFINANCE(""bom:""&amp;C57,""marketcap"")/10000000"),273.1072722)</f>
        <v>273.10727220000001</v>
      </c>
    </row>
    <row r="58" spans="3:5" ht="14.4" x14ac:dyDescent="0.3">
      <c r="C58" s="61">
        <v>541161</v>
      </c>
      <c r="D58" s="60" t="s">
        <v>117</v>
      </c>
      <c r="E58" s="62">
        <f ca="1">IFERROR(__xludf.DUMMYFUNCTION("GOOGLEFINANCE(""bom:""&amp;C58,""marketcap"")/10000000"),178.0077977)</f>
        <v>178.0077977</v>
      </c>
    </row>
    <row r="59" spans="3:5" ht="14.4" x14ac:dyDescent="0.3">
      <c r="C59" s="61">
        <v>509048</v>
      </c>
      <c r="D59" s="60" t="s">
        <v>232</v>
      </c>
      <c r="E59" s="62" t="str">
        <f ca="1">IFERROR(__xludf.DUMMYFUNCTION("GOOGLEFINANCE(""bom:""&amp;C59,""marketcap"")/10000000"),"#N/A")</f>
        <v>#N/A</v>
      </c>
    </row>
    <row r="60" spans="3:5" ht="14.4" x14ac:dyDescent="0.3">
      <c r="C60" s="61">
        <v>530677</v>
      </c>
      <c r="D60" s="60" t="s">
        <v>115</v>
      </c>
      <c r="E60" s="62">
        <f ca="1">IFERROR(__xludf.DUMMYFUNCTION("GOOGLEFINANCE(""bom:""&amp;C60,""marketcap"")/10000000"),185.4380818)</f>
        <v>185.43808179999999</v>
      </c>
    </row>
    <row r="61" spans="3:5" ht="14.4" x14ac:dyDescent="0.3">
      <c r="C61" s="61">
        <v>543376</v>
      </c>
      <c r="D61" s="60" t="s">
        <v>108</v>
      </c>
      <c r="E61" s="62">
        <f ca="1">IFERROR(__xludf.DUMMYFUNCTION("GOOGLEFINANCE(""bom:""&amp;C61,""marketcap"")/10000000"),262.7299934)</f>
        <v>262.72999340000001</v>
      </c>
    </row>
    <row r="62" spans="3:5" ht="14.4" x14ac:dyDescent="0.3">
      <c r="C62" s="61">
        <v>539407</v>
      </c>
      <c r="D62" s="60" t="s">
        <v>113</v>
      </c>
      <c r="E62" s="62">
        <f ca="1">IFERROR(__xludf.DUMMYFUNCTION("GOOGLEFINANCE(""bom:""&amp;C62,""marketcap"")/10000000"),211.3493684)</f>
        <v>211.3493684</v>
      </c>
    </row>
    <row r="63" spans="3:5" ht="14.4" x14ac:dyDescent="0.3">
      <c r="C63" s="61">
        <v>543241</v>
      </c>
      <c r="D63" s="60" t="s">
        <v>110</v>
      </c>
      <c r="E63" s="62">
        <f ca="1">IFERROR(__xludf.DUMMYFUNCTION("GOOGLEFINANCE(""bom:""&amp;C63,""marketcap"")/10000000"),246.9)</f>
        <v>246.9</v>
      </c>
    </row>
    <row r="64" spans="3:5" ht="14.4" x14ac:dyDescent="0.3">
      <c r="C64" s="61">
        <v>511726</v>
      </c>
      <c r="D64" s="60" t="s">
        <v>105</v>
      </c>
      <c r="E64" s="62">
        <f ca="1">IFERROR(__xludf.DUMMYFUNCTION("GOOGLEFINANCE(""bom:""&amp;C64,""marketcap"")/10000000"),329.9571)</f>
        <v>329.95710000000003</v>
      </c>
    </row>
    <row r="65" spans="3:5" ht="14.4" x14ac:dyDescent="0.3">
      <c r="C65" s="61">
        <v>531273</v>
      </c>
      <c r="D65" s="60" t="s">
        <v>123</v>
      </c>
      <c r="E65" s="62">
        <f ca="1">IFERROR(__xludf.DUMMYFUNCTION("GOOGLEFINANCE(""bom:""&amp;C65,""marketcap"")/10000000"),162.1585896)</f>
        <v>162.1585896</v>
      </c>
    </row>
    <row r="66" spans="3:5" ht="14.4" x14ac:dyDescent="0.3">
      <c r="C66" s="61">
        <v>542231</v>
      </c>
      <c r="D66" s="60" t="s">
        <v>114</v>
      </c>
      <c r="E66" s="62">
        <f ca="1">IFERROR(__xludf.DUMMYFUNCTION("GOOGLEFINANCE(""bom:""&amp;C66,""marketcap"")/10000000"),206.7917775)</f>
        <v>206.79177749999999</v>
      </c>
    </row>
    <row r="67" spans="3:5" ht="14.4" x14ac:dyDescent="0.3">
      <c r="C67" s="61">
        <v>540796</v>
      </c>
      <c r="D67" s="60" t="s">
        <v>121</v>
      </c>
      <c r="E67" s="62">
        <f ca="1">IFERROR(__xludf.DUMMYFUNCTION("GOOGLEFINANCE(""bom:""&amp;C67,""marketcap"")/10000000"),164.7425)</f>
        <v>164.74250000000001</v>
      </c>
    </row>
    <row r="68" spans="3:5" ht="14.4" x14ac:dyDescent="0.3">
      <c r="C68" s="61">
        <v>526654</v>
      </c>
      <c r="D68" s="60" t="s">
        <v>126</v>
      </c>
      <c r="E68" s="62">
        <f ca="1">IFERROR(__xludf.DUMMYFUNCTION("GOOGLEFINANCE(""bom:""&amp;C68,""marketcap"")/10000000"),143.1)</f>
        <v>143.1</v>
      </c>
    </row>
    <row r="69" spans="3:5" ht="14.4" x14ac:dyDescent="0.3">
      <c r="C69" s="61">
        <v>531746</v>
      </c>
      <c r="D69" s="60" t="s">
        <v>120</v>
      </c>
      <c r="E69" s="62">
        <f ca="1">IFERROR(__xludf.DUMMYFUNCTION("GOOGLEFINANCE(""bom:""&amp;C69,""marketcap"")/10000000"),167.8458842)</f>
        <v>167.8458842</v>
      </c>
    </row>
    <row r="70" spans="3:5" ht="14.4" x14ac:dyDescent="0.3">
      <c r="C70" s="61">
        <v>500343</v>
      </c>
      <c r="D70" s="60" t="s">
        <v>127</v>
      </c>
      <c r="E70" s="62">
        <f ca="1">IFERROR(__xludf.DUMMYFUNCTION("GOOGLEFINANCE(""bom:""&amp;C70,""marketcap"")/10000000"),138.4974976)</f>
        <v>138.4974976</v>
      </c>
    </row>
    <row r="71" spans="3:5" ht="14.4" x14ac:dyDescent="0.3">
      <c r="C71" s="61">
        <v>535621</v>
      </c>
      <c r="D71" s="60" t="s">
        <v>116</v>
      </c>
      <c r="E71" s="62">
        <f ca="1">IFERROR(__xludf.DUMMYFUNCTION("GOOGLEFINANCE(""bom:""&amp;C71,""marketcap"")/10000000"),180.8297)</f>
        <v>180.8297</v>
      </c>
    </row>
    <row r="72" spans="3:5" ht="14.4" x14ac:dyDescent="0.3">
      <c r="C72" s="61">
        <v>532159</v>
      </c>
      <c r="D72" s="60" t="s">
        <v>139</v>
      </c>
      <c r="E72" s="62">
        <f ca="1">IFERROR(__xludf.DUMMYFUNCTION("GOOGLEFINANCE(""bom:""&amp;C72,""marketcap"")/10000000"),97.27701)</f>
        <v>97.277010000000004</v>
      </c>
    </row>
    <row r="73" spans="3:5" ht="14.4" x14ac:dyDescent="0.3">
      <c r="C73" s="61">
        <v>532123</v>
      </c>
      <c r="D73" s="60" t="s">
        <v>142</v>
      </c>
      <c r="E73" s="62">
        <f ca="1">IFERROR(__xludf.DUMMYFUNCTION("GOOGLEFINANCE(""bom:""&amp;C73,""marketcap"")/10000000"),85.8388995)</f>
        <v>85.838899499999997</v>
      </c>
    </row>
    <row r="74" spans="3:5" ht="14.4" x14ac:dyDescent="0.3">
      <c r="C74" s="61">
        <v>543543</v>
      </c>
      <c r="D74" s="60" t="s">
        <v>124</v>
      </c>
      <c r="E74" s="62">
        <f ca="1">IFERROR(__xludf.DUMMYFUNCTION("GOOGLEFINANCE(""bom:""&amp;C74,""marketcap"")/10000000"),160.133445)</f>
        <v>160.13344499999999</v>
      </c>
    </row>
    <row r="75" spans="3:5" ht="14.4" x14ac:dyDescent="0.3">
      <c r="C75" s="61">
        <v>540402</v>
      </c>
      <c r="D75" s="60" t="s">
        <v>122</v>
      </c>
      <c r="E75" s="62">
        <f ca="1">IFERROR(__xludf.DUMMYFUNCTION("GOOGLEFINANCE(""bom:""&amp;C75,""marketcap"")/10000000"),162.24)</f>
        <v>162.24</v>
      </c>
    </row>
    <row r="76" spans="3:5" ht="14.4" x14ac:dyDescent="0.3">
      <c r="C76" s="61">
        <v>533285</v>
      </c>
      <c r="D76" s="60" t="s">
        <v>112</v>
      </c>
      <c r="E76" s="62">
        <f ca="1">IFERROR(__xludf.DUMMYFUNCTION("GOOGLEFINANCE(""bom:""&amp;C76,""marketcap"")/10000000"),218.4620522)</f>
        <v>218.46205219999999</v>
      </c>
    </row>
    <row r="77" spans="3:5" ht="14.4" x14ac:dyDescent="0.3">
      <c r="C77" s="61">
        <v>526117</v>
      </c>
      <c r="D77" s="60" t="s">
        <v>125</v>
      </c>
      <c r="E77" s="62">
        <f ca="1">IFERROR(__xludf.DUMMYFUNCTION("GOOGLEFINANCE(""bom:""&amp;C77,""marketcap"")/10000000"),147.0703756)</f>
        <v>147.07037560000001</v>
      </c>
    </row>
    <row r="78" spans="3:5" ht="14.4" x14ac:dyDescent="0.3">
      <c r="C78" s="61">
        <v>531080</v>
      </c>
      <c r="D78" s="60" t="s">
        <v>137</v>
      </c>
      <c r="E78" s="62">
        <f ca="1">IFERROR(__xludf.DUMMYFUNCTION("GOOGLEFINANCE(""bom:""&amp;C78,""marketcap"")/10000000"),99.2600021)</f>
        <v>99.260002099999994</v>
      </c>
    </row>
    <row r="79" spans="3:5" ht="14.4" x14ac:dyDescent="0.3">
      <c r="C79" s="61">
        <v>532376</v>
      </c>
      <c r="D79" s="60" t="s">
        <v>128</v>
      </c>
      <c r="E79" s="62">
        <f ca="1">IFERROR(__xludf.DUMMYFUNCTION("GOOGLEFINANCE(""bom:""&amp;C79,""marketcap"")/10000000"),132.292307)</f>
        <v>132.29230699999999</v>
      </c>
    </row>
    <row r="80" spans="3:5" ht="14.4" x14ac:dyDescent="0.3">
      <c r="C80" s="61">
        <v>531802</v>
      </c>
      <c r="D80" s="60" t="s">
        <v>134</v>
      </c>
      <c r="E80" s="62">
        <f ca="1">IFERROR(__xludf.DUMMYFUNCTION("GOOGLEFINANCE(""bom:""&amp;C80,""marketcap"")/10000000"),108.490945)</f>
        <v>108.490945</v>
      </c>
    </row>
    <row r="81" spans="3:5" ht="14.4" x14ac:dyDescent="0.3">
      <c r="C81" s="61">
        <v>511411</v>
      </c>
      <c r="D81" s="60" t="s">
        <v>135</v>
      </c>
      <c r="E81" s="62">
        <f ca="1">IFERROR(__xludf.DUMMYFUNCTION("GOOGLEFINANCE(""bom:""&amp;C81,""marketcap"")/10000000"),103.8959983)</f>
        <v>103.8959983</v>
      </c>
    </row>
    <row r="82" spans="3:5" ht="14.4" x14ac:dyDescent="0.3">
      <c r="C82" s="61">
        <v>512479</v>
      </c>
      <c r="D82" s="60" t="s">
        <v>133</v>
      </c>
      <c r="E82" s="62">
        <f ca="1">IFERROR(__xludf.DUMMYFUNCTION("GOOGLEFINANCE(""bom:""&amp;C82,""marketcap"")/10000000"),112.5)</f>
        <v>112.5</v>
      </c>
    </row>
    <row r="83" spans="3:5" ht="14.4" x14ac:dyDescent="0.3">
      <c r="C83" s="61">
        <v>533012</v>
      </c>
      <c r="D83" s="60" t="s">
        <v>130</v>
      </c>
      <c r="E83" s="62">
        <f ca="1">IFERROR(__xludf.DUMMYFUNCTION("GOOGLEFINANCE(""bom:""&amp;C83,""marketcap"")/10000000"),116.7752528)</f>
        <v>116.7752528</v>
      </c>
    </row>
    <row r="84" spans="3:5" ht="14.4" x14ac:dyDescent="0.3">
      <c r="C84" s="61">
        <v>503127</v>
      </c>
      <c r="D84" s="60" t="s">
        <v>136</v>
      </c>
      <c r="E84" s="62">
        <f ca="1">IFERROR(__xludf.DUMMYFUNCTION("GOOGLEFINANCE(""bom:""&amp;C84,""marketcap"")/10000000"),99.8175)</f>
        <v>99.817499999999995</v>
      </c>
    </row>
    <row r="85" spans="3:5" ht="14.4" x14ac:dyDescent="0.3">
      <c r="C85" s="61">
        <v>543911</v>
      </c>
      <c r="D85" s="60" t="s">
        <v>131</v>
      </c>
      <c r="E85" s="62">
        <f ca="1">IFERROR(__xludf.DUMMYFUNCTION("GOOGLEFINANCE(""bom:""&amp;C85,""marketcap"")/10000000"),115.0826307)</f>
        <v>115.0826307</v>
      </c>
    </row>
    <row r="86" spans="3:5" ht="14.4" x14ac:dyDescent="0.3">
      <c r="C86" s="61">
        <v>532334</v>
      </c>
      <c r="D86" s="60" t="s">
        <v>129</v>
      </c>
      <c r="E86" s="62">
        <f ca="1">IFERROR(__xludf.DUMMYFUNCTION("GOOGLEFINANCE(""bom:""&amp;C86,""marketcap"")/10000000"),123.5706825)</f>
        <v>123.5706825</v>
      </c>
    </row>
    <row r="87" spans="3:5" ht="14.4" x14ac:dyDescent="0.3">
      <c r="C87" s="61">
        <v>500151</v>
      </c>
      <c r="D87" s="60" t="s">
        <v>146</v>
      </c>
      <c r="E87" s="62">
        <f ca="1">IFERROR(__xludf.DUMMYFUNCTION("GOOGLEFINANCE(""bom:""&amp;C87,""marketcap"")/10000000"),72.27612)</f>
        <v>72.276120000000006</v>
      </c>
    </row>
    <row r="88" spans="3:5" ht="14.4" x14ac:dyDescent="0.3">
      <c r="C88" s="61">
        <v>532005</v>
      </c>
      <c r="D88" s="60" t="s">
        <v>144</v>
      </c>
      <c r="E88" s="62">
        <f ca="1">IFERROR(__xludf.DUMMYFUNCTION("GOOGLEFINANCE(""bom:""&amp;C88,""marketcap"")/10000000"),85.2148134)</f>
        <v>85.214813399999997</v>
      </c>
    </row>
    <row r="89" spans="3:5" ht="14.4" x14ac:dyDescent="0.3">
      <c r="C89" s="61">
        <v>534338</v>
      </c>
      <c r="D89" s="60" t="s">
        <v>140</v>
      </c>
      <c r="E89" s="62">
        <f ca="1">IFERROR(__xludf.DUMMYFUNCTION("GOOGLEFINANCE(""bom:""&amp;C89,""marketcap"")/10000000"),93.65532)</f>
        <v>93.655320000000003</v>
      </c>
    </row>
    <row r="90" spans="3:5" ht="14.4" x14ac:dyDescent="0.3">
      <c r="C90" s="61">
        <v>504392</v>
      </c>
      <c r="D90" s="60" t="s">
        <v>143</v>
      </c>
      <c r="E90" s="62">
        <f ca="1">IFERROR(__xludf.DUMMYFUNCTION("GOOGLEFINANCE(""bom:""&amp;C90,""marketcap"")/10000000"),85.32)</f>
        <v>85.32</v>
      </c>
    </row>
    <row r="91" spans="3:5" ht="14.4" x14ac:dyDescent="0.3">
      <c r="C91" s="61">
        <v>523007</v>
      </c>
      <c r="D91" s="60" t="s">
        <v>132</v>
      </c>
      <c r="E91" s="62">
        <f ca="1">IFERROR(__xludf.DUMMYFUNCTION("GOOGLEFINANCE(""bom:""&amp;C91,""marketcap"")/10000000"),113.5265707)</f>
        <v>113.52657069999999</v>
      </c>
    </row>
    <row r="92" spans="3:5" ht="14.4" x14ac:dyDescent="0.3">
      <c r="C92" s="61">
        <v>507828</v>
      </c>
      <c r="D92" s="60" t="s">
        <v>141</v>
      </c>
      <c r="E92" s="62">
        <f ca="1">IFERROR(__xludf.DUMMYFUNCTION("GOOGLEFINANCE(""bom:""&amp;C92,""marketcap"")/10000000"),88.2982218)</f>
        <v>88.298221799999993</v>
      </c>
    </row>
    <row r="93" spans="3:5" ht="14.4" x14ac:dyDescent="0.3">
      <c r="C93" s="61">
        <v>523628</v>
      </c>
      <c r="D93" s="60" t="s">
        <v>149</v>
      </c>
      <c r="E93" s="62">
        <f ca="1">IFERROR(__xludf.DUMMYFUNCTION("GOOGLEFINANCE(""bom:""&amp;C93,""marketcap"")/10000000"),65.7648748)</f>
        <v>65.764874800000001</v>
      </c>
    </row>
    <row r="94" spans="3:5" ht="14.4" x14ac:dyDescent="0.3">
      <c r="C94" s="61">
        <v>531694</v>
      </c>
      <c r="D94" s="60" t="s">
        <v>148</v>
      </c>
      <c r="E94" s="62">
        <f ca="1">IFERROR(__xludf.DUMMYFUNCTION("GOOGLEFINANCE(""bom:""&amp;C94,""marketcap"")/10000000"),68.4726891)</f>
        <v>68.472689099999997</v>
      </c>
    </row>
    <row r="95" spans="3:5" ht="14.4" x14ac:dyDescent="0.3">
      <c r="C95" s="61">
        <v>505650</v>
      </c>
      <c r="D95" s="60" t="s">
        <v>151</v>
      </c>
      <c r="E95" s="62">
        <f ca="1">IFERROR(__xludf.DUMMYFUNCTION("GOOGLEFINANCE(""bom:""&amp;C95,""marketcap"")/10000000"),55.2681185)</f>
        <v>55.2681185</v>
      </c>
    </row>
    <row r="96" spans="3:5" ht="14.4" x14ac:dyDescent="0.3">
      <c r="C96" s="61">
        <v>542046</v>
      </c>
      <c r="D96" s="60" t="s">
        <v>147</v>
      </c>
      <c r="E96" s="62">
        <f ca="1">IFERROR(__xludf.DUMMYFUNCTION("GOOGLEFINANCE(""bom:""&amp;C96,""marketcap"")/10000000"),72.184608)</f>
        <v>72.184607999999997</v>
      </c>
    </row>
    <row r="97" spans="3:5" ht="14.4" x14ac:dyDescent="0.3">
      <c r="C97" s="61">
        <v>542146</v>
      </c>
      <c r="D97" s="60" t="s">
        <v>145</v>
      </c>
      <c r="E97" s="62">
        <f ca="1">IFERROR(__xludf.DUMMYFUNCTION("GOOGLEFINANCE(""bom:""&amp;C97,""marketcap"")/10000000"),84)</f>
        <v>84</v>
      </c>
    </row>
    <row r="98" spans="3:5" ht="14.4" x14ac:dyDescent="0.3">
      <c r="C98" s="61">
        <v>531381</v>
      </c>
      <c r="D98" s="60" t="s">
        <v>138</v>
      </c>
      <c r="E98" s="62">
        <f ca="1">IFERROR(__xludf.DUMMYFUNCTION("GOOGLEFINANCE(""bom:""&amp;C98,""marketcap"")/10000000"),98.5130026)</f>
        <v>98.513002599999993</v>
      </c>
    </row>
    <row r="99" spans="3:5" ht="14.4" x14ac:dyDescent="0.3">
      <c r="C99" s="61">
        <v>530695</v>
      </c>
      <c r="D99" s="60" t="s">
        <v>152</v>
      </c>
      <c r="E99" s="62">
        <f ca="1">IFERROR(__xludf.DUMMYFUNCTION("GOOGLEFINANCE(""bom:""&amp;C99,""marketcap"")/10000000"),52.8649135)</f>
        <v>52.8649135</v>
      </c>
    </row>
    <row r="100" spans="3:5" ht="14.4" x14ac:dyDescent="0.3">
      <c r="C100" s="61">
        <v>512048</v>
      </c>
      <c r="D100" s="60" t="s">
        <v>159</v>
      </c>
      <c r="E100" s="62">
        <f ca="1">IFERROR(__xludf.DUMMYFUNCTION("GOOGLEFINANCE(""bom:""&amp;C100,""marketcap"")/10000000"),39.549838)</f>
        <v>39.549838000000001</v>
      </c>
    </row>
    <row r="101" spans="3:5" ht="14.4" x14ac:dyDescent="0.3">
      <c r="C101" s="61">
        <v>503349</v>
      </c>
      <c r="D101" s="60" t="s">
        <v>157</v>
      </c>
      <c r="E101" s="62">
        <f ca="1">IFERROR(__xludf.DUMMYFUNCTION("GOOGLEFINANCE(""bom:""&amp;C101,""marketcap"")/10000000"),41.1488)</f>
        <v>41.148800000000001</v>
      </c>
    </row>
    <row r="102" spans="3:5" ht="14.4" x14ac:dyDescent="0.3">
      <c r="C102" s="61">
        <v>503776</v>
      </c>
      <c r="D102" s="60" t="s">
        <v>156</v>
      </c>
      <c r="E102" s="62">
        <f ca="1">IFERROR(__xludf.DUMMYFUNCTION("GOOGLEFINANCE(""bom:""&amp;C102,""marketcap"")/10000000"),42.7179509)</f>
        <v>42.717950899999998</v>
      </c>
    </row>
    <row r="103" spans="3:5" ht="14.4" x14ac:dyDescent="0.3">
      <c r="C103" s="61">
        <v>533202</v>
      </c>
      <c r="D103" s="60" t="s">
        <v>154</v>
      </c>
      <c r="E103" s="62">
        <f ca="1">IFERROR(__xludf.DUMMYFUNCTION("GOOGLEFINANCE(""bom:""&amp;C103,""marketcap"")/10000000"),44.47879)</f>
        <v>44.478789999999996</v>
      </c>
    </row>
    <row r="104" spans="3:5" ht="14.4" x14ac:dyDescent="0.3">
      <c r="C104" s="61">
        <v>531814</v>
      </c>
      <c r="D104" s="60" t="s">
        <v>155</v>
      </c>
      <c r="E104" s="62">
        <f ca="1">IFERROR(__xludf.DUMMYFUNCTION("GOOGLEFINANCE(""bom:""&amp;C104,""marketcap"")/10000000"),43.2934018)</f>
        <v>43.293401799999998</v>
      </c>
    </row>
    <row r="105" spans="3:5" ht="14.4" x14ac:dyDescent="0.3">
      <c r="C105" s="61">
        <v>531624</v>
      </c>
      <c r="D105" s="60" t="s">
        <v>161</v>
      </c>
      <c r="E105" s="62">
        <f ca="1">IFERROR(__xludf.DUMMYFUNCTION("GOOGLEFINANCE(""bom:""&amp;C105,""marketcap"")/10000000"),38.2540548)</f>
        <v>38.254054799999999</v>
      </c>
    </row>
    <row r="106" spans="3:5" ht="14.4" x14ac:dyDescent="0.3">
      <c r="C106" s="61">
        <v>533078</v>
      </c>
      <c r="D106" s="60" t="s">
        <v>150</v>
      </c>
      <c r="E106" s="62">
        <f ca="1">IFERROR(__xludf.DUMMYFUNCTION("GOOGLEFINANCE(""bom:""&amp;C106,""marketcap"")/10000000"),57.4136038)</f>
        <v>57.413603799999997</v>
      </c>
    </row>
    <row r="107" spans="3:5" ht="14.4" x14ac:dyDescent="0.3">
      <c r="C107" s="61">
        <v>539189</v>
      </c>
      <c r="D107" s="60" t="s">
        <v>163</v>
      </c>
      <c r="E107" s="62">
        <f ca="1">IFERROR(__xludf.DUMMYFUNCTION("GOOGLEFINANCE(""bom:""&amp;C107,""marketcap"")/10000000"),35.9480003)</f>
        <v>35.948000299999997</v>
      </c>
    </row>
    <row r="108" spans="3:5" ht="14.4" x14ac:dyDescent="0.3">
      <c r="C108" s="61">
        <v>511714</v>
      </c>
      <c r="D108" s="60" t="s">
        <v>162</v>
      </c>
      <c r="E108" s="62">
        <f ca="1">IFERROR(__xludf.DUMMYFUNCTION("GOOGLEFINANCE(""bom:""&amp;C108,""marketcap"")/10000000"),37.9113235)</f>
        <v>37.911323500000002</v>
      </c>
    </row>
    <row r="109" spans="3:5" ht="14.4" x14ac:dyDescent="0.3">
      <c r="C109" s="61">
        <v>503229</v>
      </c>
      <c r="D109" s="60" t="s">
        <v>160</v>
      </c>
      <c r="E109" s="62">
        <f ca="1">IFERROR(__xludf.DUMMYFUNCTION("GOOGLEFINANCE(""bom:""&amp;C109,""marketcap"")/10000000"),38.3196052)</f>
        <v>38.319605199999998</v>
      </c>
    </row>
    <row r="110" spans="3:5" ht="14.4" x14ac:dyDescent="0.3">
      <c r="C110" s="61">
        <v>531416</v>
      </c>
      <c r="D110" s="60" t="s">
        <v>164</v>
      </c>
      <c r="E110" s="62">
        <f ca="1">IFERROR(__xludf.DUMMYFUNCTION("GOOGLEFINANCE(""bom:""&amp;C110,""marketcap"")/10000000"),34.4589347)</f>
        <v>34.4589347</v>
      </c>
    </row>
    <row r="111" spans="3:5" ht="14.4" x14ac:dyDescent="0.3">
      <c r="C111" s="61">
        <v>531909</v>
      </c>
      <c r="D111" s="60" t="s">
        <v>169</v>
      </c>
      <c r="E111" s="62">
        <f ca="1">IFERROR(__xludf.DUMMYFUNCTION("GOOGLEFINANCE(""bom:""&amp;C111,""marketcap"")/10000000"),27.4877495)</f>
        <v>27.4877495</v>
      </c>
    </row>
    <row r="112" spans="3:5" ht="14.4" x14ac:dyDescent="0.3">
      <c r="C112" s="61">
        <v>526727</v>
      </c>
      <c r="D112" s="60" t="s">
        <v>165</v>
      </c>
      <c r="E112" s="62">
        <f ca="1">IFERROR(__xludf.DUMMYFUNCTION("GOOGLEFINANCE(""bom:""&amp;C112,""marketcap"")/10000000"),31.2799275)</f>
        <v>31.279927499999999</v>
      </c>
    </row>
    <row r="113" spans="3:5" ht="14.4" x14ac:dyDescent="0.3">
      <c r="C113" s="61">
        <v>538576</v>
      </c>
      <c r="D113" s="60" t="s">
        <v>166</v>
      </c>
      <c r="E113" s="62">
        <f ca="1">IFERROR(__xludf.DUMMYFUNCTION("GOOGLEFINANCE(""bom:""&amp;C113,""marketcap"")/10000000"),29.60124)</f>
        <v>29.601240000000001</v>
      </c>
    </row>
    <row r="114" spans="3:5" ht="14.4" x14ac:dyDescent="0.3">
      <c r="C114" s="61">
        <v>523566</v>
      </c>
      <c r="D114" s="60" t="s">
        <v>172</v>
      </c>
      <c r="E114" s="62">
        <f ca="1">IFERROR(__xludf.DUMMYFUNCTION("GOOGLEFINANCE(""bom:""&amp;C114,""marketcap"")/10000000"),23.7077468)</f>
        <v>23.707746799999999</v>
      </c>
    </row>
    <row r="115" spans="3:5" ht="14.4" x14ac:dyDescent="0.3">
      <c r="C115" s="61">
        <v>532723</v>
      </c>
      <c r="D115" s="60" t="s">
        <v>168</v>
      </c>
      <c r="E115" s="62">
        <f ca="1">IFERROR(__xludf.DUMMYFUNCTION("GOOGLEFINANCE(""bom:""&amp;C115,""marketcap"")/10000000"),27.59683)</f>
        <v>27.596830000000001</v>
      </c>
    </row>
    <row r="116" spans="3:5" ht="14.4" x14ac:dyDescent="0.3">
      <c r="C116" s="61">
        <v>502901</v>
      </c>
      <c r="D116" s="60" t="s">
        <v>153</v>
      </c>
      <c r="E116" s="62">
        <f ca="1">IFERROR(__xludf.DUMMYFUNCTION("GOOGLEFINANCE(""bom:""&amp;C116,""marketcap"")/10000000"),47.4034025)</f>
        <v>47.403402499999999</v>
      </c>
    </row>
    <row r="117" spans="3:5" ht="14.4" x14ac:dyDescent="0.3">
      <c r="C117" s="61">
        <v>513173</v>
      </c>
      <c r="D117" s="60" t="s">
        <v>167</v>
      </c>
      <c r="E117" s="62">
        <f ca="1">IFERROR(__xludf.DUMMYFUNCTION("GOOGLEFINANCE(""bom:""&amp;C117,""marketcap"")/10000000"),28.6947639)</f>
        <v>28.694763900000002</v>
      </c>
    </row>
    <row r="118" spans="3:5" ht="14.4" x14ac:dyDescent="0.3">
      <c r="C118" s="61">
        <v>526576</v>
      </c>
      <c r="D118" s="60" t="s">
        <v>158</v>
      </c>
      <c r="E118" s="62">
        <f ca="1">IFERROR(__xludf.DUMMYFUNCTION("GOOGLEFINANCE(""bom:""&amp;C118,""marketcap"")/10000000"),41.0439894)</f>
        <v>41.043989400000001</v>
      </c>
    </row>
    <row r="119" spans="3:5" ht="14.4" x14ac:dyDescent="0.3">
      <c r="C119" s="61">
        <v>530821</v>
      </c>
      <c r="D119" s="60" t="s">
        <v>174</v>
      </c>
      <c r="E119" s="62">
        <f ca="1">IFERROR(__xludf.DUMMYFUNCTION("GOOGLEFINANCE(""bom:""&amp;C119,""marketcap"")/10000000"),21.721139)</f>
        <v>21.721139000000001</v>
      </c>
    </row>
    <row r="120" spans="3:5" ht="14.4" x14ac:dyDescent="0.3">
      <c r="C120" s="61">
        <v>521149</v>
      </c>
      <c r="D120" s="60" t="s">
        <v>173</v>
      </c>
      <c r="E120" s="62">
        <f ca="1">IFERROR(__xludf.DUMMYFUNCTION("GOOGLEFINANCE(""bom:""&amp;C120,""marketcap"")/10000000"),22.087536)</f>
        <v>22.087536</v>
      </c>
    </row>
    <row r="121" spans="3:5" ht="14.4" x14ac:dyDescent="0.3">
      <c r="C121" s="61">
        <v>502445</v>
      </c>
      <c r="D121" s="60" t="s">
        <v>177</v>
      </c>
      <c r="E121" s="62">
        <f ca="1">IFERROR(__xludf.DUMMYFUNCTION("GOOGLEFINANCE(""bom:""&amp;C121,""marketcap"")/10000000"),21.3089292)</f>
        <v>21.308929200000001</v>
      </c>
    </row>
    <row r="122" spans="3:5" ht="14.4" x14ac:dyDescent="0.3">
      <c r="C122" s="61">
        <v>537707</v>
      </c>
      <c r="D122" s="60" t="s">
        <v>178</v>
      </c>
      <c r="E122" s="62">
        <f ca="1">IFERROR(__xludf.DUMMYFUNCTION("GOOGLEFINANCE(""bom:""&amp;C122,""marketcap"")/10000000"),19.1716336)</f>
        <v>19.1716336</v>
      </c>
    </row>
    <row r="123" spans="3:5" ht="14.4" x14ac:dyDescent="0.3">
      <c r="C123" s="61">
        <v>511131</v>
      </c>
      <c r="D123" s="60" t="s">
        <v>176</v>
      </c>
      <c r="E123" s="62">
        <f ca="1">IFERROR(__xludf.DUMMYFUNCTION("GOOGLEFINANCE(""bom:""&amp;C123,""marketcap"")/10000000"),21.463882)</f>
        <v>21.463882000000002</v>
      </c>
    </row>
    <row r="124" spans="3:5" ht="14.4" x14ac:dyDescent="0.3">
      <c r="C124" s="61">
        <v>531552</v>
      </c>
      <c r="D124" s="60" t="s">
        <v>175</v>
      </c>
      <c r="E124" s="62">
        <f ca="1">IFERROR(__xludf.DUMMYFUNCTION("GOOGLEFINANCE(""bom:""&amp;C124,""marketcap"")/10000000"),21.602106)</f>
        <v>21.602105999999999</v>
      </c>
    </row>
    <row r="125" spans="3:5" ht="14.4" x14ac:dyDescent="0.3">
      <c r="C125" s="61">
        <v>531822</v>
      </c>
      <c r="D125" s="60" t="s">
        <v>171</v>
      </c>
      <c r="E125" s="62">
        <f ca="1">IFERROR(__xludf.DUMMYFUNCTION("GOOGLEFINANCE(""bom:""&amp;C125,""marketcap"")/10000000"),24.2423179)</f>
        <v>24.2423179</v>
      </c>
    </row>
    <row r="126" spans="3:5" ht="14.4" x14ac:dyDescent="0.3">
      <c r="C126" s="61">
        <v>543745</v>
      </c>
      <c r="D126" s="60" t="s">
        <v>179</v>
      </c>
      <c r="E126" s="62">
        <f ca="1">IFERROR(__xludf.DUMMYFUNCTION("GOOGLEFINANCE(""bom:""&amp;C126,""marketcap"")/10000000"),17.9763802)</f>
        <v>17.976380200000001</v>
      </c>
    </row>
    <row r="127" spans="3:5" ht="14.4" x14ac:dyDescent="0.3">
      <c r="C127" s="61">
        <v>508996</v>
      </c>
      <c r="D127" s="60" t="s">
        <v>181</v>
      </c>
      <c r="E127" s="62">
        <f ca="1">IFERROR(__xludf.DUMMYFUNCTION("GOOGLEFINANCE(""bom:""&amp;C127,""marketcap"")/10000000"),11.9499795)</f>
        <v>11.9499795</v>
      </c>
    </row>
    <row r="128" spans="3:5" ht="14.4" x14ac:dyDescent="0.3">
      <c r="C128" s="61">
        <v>531328</v>
      </c>
      <c r="D128" s="60" t="s">
        <v>180</v>
      </c>
      <c r="E128" s="62">
        <f ca="1">IFERROR(__xludf.DUMMYFUNCTION("GOOGLEFINANCE(""bom:""&amp;C128,""marketcap"")/10000000"),13.7982327)</f>
        <v>13.7982327</v>
      </c>
    </row>
    <row r="129" spans="3:5" ht="14.4" x14ac:dyDescent="0.3">
      <c r="C129" s="61">
        <v>539099</v>
      </c>
      <c r="D129" s="60" t="s">
        <v>182</v>
      </c>
      <c r="E129" s="62">
        <f ca="1">IFERROR(__xludf.DUMMYFUNCTION("GOOGLEFINANCE(""bom:""&amp;C129,""marketcap"")/10000000"),9.2625)</f>
        <v>9.2624999999999993</v>
      </c>
    </row>
    <row r="130" spans="3:5" ht="14.4" x14ac:dyDescent="0.3">
      <c r="C130" s="61">
        <v>531968</v>
      </c>
      <c r="D130" s="60" t="s">
        <v>170</v>
      </c>
      <c r="E130" s="62">
        <f ca="1">IFERROR(__xludf.DUMMYFUNCTION("GOOGLEFINANCE(""bom:""&amp;C130,""marketcap"")/10000000"),27.0057602)</f>
        <v>27.005760200000001</v>
      </c>
    </row>
    <row r="131" spans="3:5" ht="14.4" x14ac:dyDescent="0.3">
      <c r="C131" s="61">
        <v>514332</v>
      </c>
      <c r="D131" s="60" t="s">
        <v>184</v>
      </c>
      <c r="E131" s="62">
        <f ca="1">IFERROR(__xludf.DUMMYFUNCTION("GOOGLEFINANCE(""bom:""&amp;C131,""marketcap"")/10000000"),7.7426212)</f>
        <v>7.7426212000000003</v>
      </c>
    </row>
    <row r="132" spans="3:5" ht="14.4" x14ac:dyDescent="0.3">
      <c r="C132" s="61">
        <v>531574</v>
      </c>
      <c r="D132" s="60" t="s">
        <v>187</v>
      </c>
      <c r="E132" s="62">
        <f ca="1">IFERROR(__xludf.DUMMYFUNCTION("GOOGLEFINANCE(""bom:""&amp;C132,""marketcap"")/10000000"),5.29529)</f>
        <v>5.2952899999999996</v>
      </c>
    </row>
    <row r="133" spans="3:5" ht="14.4" x14ac:dyDescent="0.3">
      <c r="C133" s="61">
        <v>500426</v>
      </c>
      <c r="D133" s="60" t="s">
        <v>183</v>
      </c>
      <c r="E133" s="62">
        <f ca="1">IFERROR(__xludf.DUMMYFUNCTION("GOOGLEFINANCE(""bom:""&amp;C133,""marketcap"")/10000000"),7.8762453)</f>
        <v>7.8762452999999999</v>
      </c>
    </row>
    <row r="134" spans="3:5" ht="14.4" x14ac:dyDescent="0.3">
      <c r="C134" s="61">
        <v>524031</v>
      </c>
      <c r="D134" s="60" t="s">
        <v>186</v>
      </c>
      <c r="E134" s="62">
        <f ca="1">IFERROR(__xludf.DUMMYFUNCTION("GOOGLEFINANCE(""bom:""&amp;C134,""marketcap"")/10000000"),5.4895686)</f>
        <v>5.4895686000000001</v>
      </c>
    </row>
    <row r="135" spans="3:5" ht="14.4" x14ac:dyDescent="0.3">
      <c r="C135" s="61">
        <v>542677</v>
      </c>
      <c r="D135" s="60" t="s">
        <v>189</v>
      </c>
      <c r="E135" s="62">
        <f ca="1">IFERROR(__xludf.DUMMYFUNCTION("GOOGLEFINANCE(""bom:""&amp;C135,""marketcap"")/10000000"),3.7534079)</f>
        <v>3.7534079</v>
      </c>
    </row>
    <row r="136" spans="3:5" ht="14.4" x14ac:dyDescent="0.3">
      <c r="C136" s="61">
        <v>538794</v>
      </c>
      <c r="D136" s="60" t="s">
        <v>188</v>
      </c>
      <c r="E136" s="62">
        <f ca="1">IFERROR(__xludf.DUMMYFUNCTION("GOOGLEFINANCE(""bom:""&amp;C136,""marketcap"")/10000000"),3.8231039)</f>
        <v>3.8231039</v>
      </c>
    </row>
    <row r="137" spans="3:5" ht="14.4" x14ac:dyDescent="0.3">
      <c r="C137" s="61">
        <v>539767</v>
      </c>
      <c r="D137" s="60" t="s">
        <v>185</v>
      </c>
      <c r="E137" s="62">
        <f ca="1">IFERROR(__xludf.DUMMYFUNCTION("GOOGLEFINANCE(""bom:""&amp;C137,""marketcap"")/10000000"),5.7175299)</f>
        <v>5.7175298999999997</v>
      </c>
    </row>
    <row r="138" spans="3:5" ht="14.4" x14ac:dyDescent="0.3">
      <c r="C138" s="61">
        <v>526823</v>
      </c>
      <c r="D138" s="60" t="s">
        <v>190</v>
      </c>
      <c r="E138" s="62">
        <f ca="1">IFERROR(__xludf.DUMMYFUNCTION("GOOGLEFINANCE(""bom:""&amp;C138,""marketcap"")/10000000"),2.571869)</f>
        <v>2.571869</v>
      </c>
    </row>
  </sheetData>
  <autoFilter ref="C3:E160" xr:uid="{00000000-0009-0000-0000-000002000000}">
    <sortState xmlns:xlrd2="http://schemas.microsoft.com/office/spreadsheetml/2017/richdata2" ref="C3:E160">
      <sortCondition descending="1" ref="E3:E160"/>
    </sortState>
  </autoFilter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L1000"/>
  <sheetViews>
    <sheetView workbookViewId="0"/>
  </sheetViews>
  <sheetFormatPr defaultColWidth="12.59765625" defaultRowHeight="15" customHeight="1" x14ac:dyDescent="0.25"/>
  <cols>
    <col min="1" max="1" width="11.8984375" customWidth="1"/>
    <col min="2" max="2" width="16.69921875" customWidth="1"/>
    <col min="3" max="3" width="14.09765625" customWidth="1"/>
    <col min="4" max="4" width="17.19921875" customWidth="1"/>
    <col min="5" max="5" width="18.8984375" customWidth="1"/>
    <col min="6" max="7" width="7.59765625" customWidth="1"/>
    <col min="8" max="8" width="11.8984375" customWidth="1"/>
    <col min="9" max="9" width="16.69921875" customWidth="1"/>
    <col min="10" max="10" width="14.09765625" customWidth="1"/>
    <col min="11" max="11" width="17.19921875" customWidth="1"/>
    <col min="12" max="12" width="18.8984375" customWidth="1"/>
    <col min="13" max="26" width="7.59765625" customWidth="1"/>
  </cols>
  <sheetData>
    <row r="3" spans="1:12" ht="13.8" x14ac:dyDescent="0.25">
      <c r="B3" t="s">
        <v>191</v>
      </c>
    </row>
    <row r="4" spans="1:12" ht="13.8" x14ac:dyDescent="0.25">
      <c r="A4" t="s">
        <v>192</v>
      </c>
      <c r="B4" s="37" t="s">
        <v>233</v>
      </c>
      <c r="C4" s="37" t="s">
        <v>234</v>
      </c>
      <c r="D4" s="37" t="s">
        <v>195</v>
      </c>
      <c r="E4" s="37" t="s">
        <v>196</v>
      </c>
      <c r="H4" s="38" t="s">
        <v>197</v>
      </c>
      <c r="I4" s="38" t="s">
        <v>235</v>
      </c>
      <c r="J4" s="38" t="s">
        <v>236</v>
      </c>
      <c r="K4" s="38" t="s">
        <v>237</v>
      </c>
      <c r="L4" s="38" t="s">
        <v>238</v>
      </c>
    </row>
    <row r="5" spans="1:12" ht="13.8" x14ac:dyDescent="0.25">
      <c r="A5" s="40" t="s">
        <v>207</v>
      </c>
      <c r="B5">
        <v>17620</v>
      </c>
      <c r="C5">
        <v>1172</v>
      </c>
      <c r="D5">
        <v>-0.21568627450980393</v>
      </c>
      <c r="E5">
        <v>1.8860101171648269E-2</v>
      </c>
      <c r="H5" s="55" t="s">
        <v>13</v>
      </c>
      <c r="I5" s="55">
        <v>32219</v>
      </c>
      <c r="J5" s="55">
        <v>2531</v>
      </c>
      <c r="K5" s="63">
        <v>-0.33083341145589196</v>
      </c>
      <c r="L5" s="63">
        <v>1.620991253644315</v>
      </c>
    </row>
    <row r="6" spans="1:12" ht="13.8" x14ac:dyDescent="0.25">
      <c r="A6" s="40" t="s">
        <v>81</v>
      </c>
      <c r="B6">
        <v>4010</v>
      </c>
      <c r="C6">
        <v>747</v>
      </c>
      <c r="D6">
        <v>1.4</v>
      </c>
      <c r="E6">
        <v>-0.16666666666666663</v>
      </c>
      <c r="H6" s="55" t="s">
        <v>12</v>
      </c>
      <c r="I6" s="55">
        <v>26613</v>
      </c>
      <c r="J6" s="55">
        <v>8169</v>
      </c>
      <c r="K6" s="63">
        <v>-0.30969399151217336</v>
      </c>
      <c r="L6" s="63">
        <v>-0.50840336134453779</v>
      </c>
    </row>
    <row r="7" spans="1:12" ht="13.8" x14ac:dyDescent="0.25">
      <c r="A7" s="40" t="s">
        <v>127</v>
      </c>
      <c r="D7">
        <v>0.19</v>
      </c>
      <c r="E7">
        <v>0.14000000000000001</v>
      </c>
      <c r="H7" s="55" t="s">
        <v>26</v>
      </c>
      <c r="I7" s="55">
        <v>8911</v>
      </c>
      <c r="J7" s="55">
        <v>2411</v>
      </c>
      <c r="K7" s="63">
        <v>-0.19999999999999996</v>
      </c>
      <c r="L7" s="63">
        <v>-0.51351351351351349</v>
      </c>
    </row>
    <row r="8" spans="1:12" ht="13.8" x14ac:dyDescent="0.25">
      <c r="A8" s="40" t="s">
        <v>18</v>
      </c>
      <c r="B8">
        <v>5238</v>
      </c>
      <c r="C8">
        <v>665</v>
      </c>
      <c r="D8">
        <v>-9.8039215686274161E-3</v>
      </c>
      <c r="E8">
        <v>1</v>
      </c>
      <c r="H8" s="40"/>
    </row>
    <row r="9" spans="1:12" ht="13.8" x14ac:dyDescent="0.25">
      <c r="A9" s="40" t="s">
        <v>209</v>
      </c>
      <c r="B9">
        <v>8544</v>
      </c>
      <c r="C9">
        <v>-1402</v>
      </c>
      <c r="D9">
        <v>1.0940170940170941</v>
      </c>
      <c r="E9">
        <v>-6.0606060606060552E-2</v>
      </c>
    </row>
    <row r="10" spans="1:12" ht="13.8" x14ac:dyDescent="0.25">
      <c r="A10" s="40" t="s">
        <v>141</v>
      </c>
      <c r="H10" s="40"/>
    </row>
    <row r="11" spans="1:12" ht="13.8" x14ac:dyDescent="0.25">
      <c r="A11" s="40" t="s">
        <v>138</v>
      </c>
    </row>
    <row r="12" spans="1:12" ht="13.8" x14ac:dyDescent="0.25">
      <c r="A12" s="40" t="s">
        <v>80</v>
      </c>
      <c r="H12" s="40"/>
    </row>
    <row r="13" spans="1:12" ht="13.8" x14ac:dyDescent="0.25">
      <c r="A13" s="40" t="s">
        <v>79</v>
      </c>
      <c r="B13">
        <v>3506</v>
      </c>
      <c r="C13">
        <v>138</v>
      </c>
      <c r="D13">
        <v>-0.52142857142857135</v>
      </c>
      <c r="E13">
        <v>-1.375</v>
      </c>
      <c r="H13" s="40"/>
    </row>
    <row r="14" spans="1:12" ht="13.8" x14ac:dyDescent="0.25">
      <c r="A14" s="40" t="s">
        <v>210</v>
      </c>
      <c r="H14" s="40"/>
    </row>
    <row r="15" spans="1:12" ht="13.8" x14ac:dyDescent="0.25">
      <c r="A15" s="40" t="s">
        <v>211</v>
      </c>
      <c r="B15">
        <v>7779</v>
      </c>
      <c r="C15">
        <v>-63</v>
      </c>
      <c r="D15">
        <v>-0.16279069767441856</v>
      </c>
      <c r="E15">
        <v>-0.6</v>
      </c>
      <c r="H15" s="40"/>
    </row>
    <row r="16" spans="1:12" ht="13.8" x14ac:dyDescent="0.25">
      <c r="A16" s="40" t="s">
        <v>15</v>
      </c>
      <c r="B16">
        <v>30273</v>
      </c>
      <c r="C16">
        <v>2819</v>
      </c>
      <c r="D16">
        <v>1.2711864406779627E-2</v>
      </c>
      <c r="E16">
        <v>-0.25396825396825395</v>
      </c>
      <c r="H16" s="40"/>
    </row>
    <row r="17" spans="1:8" ht="13.8" x14ac:dyDescent="0.25">
      <c r="A17" s="40" t="s">
        <v>213</v>
      </c>
      <c r="H17" s="40"/>
    </row>
    <row r="18" spans="1:8" ht="13.8" x14ac:dyDescent="0.25">
      <c r="A18" s="40" t="s">
        <v>208</v>
      </c>
      <c r="B18">
        <v>18336</v>
      </c>
      <c r="C18">
        <v>973</v>
      </c>
      <c r="D18">
        <v>9.6618357487923134E-3</v>
      </c>
      <c r="E18">
        <v>3.0567685589519833E-2</v>
      </c>
    </row>
    <row r="19" spans="1:8" ht="13.8" x14ac:dyDescent="0.25">
      <c r="A19" s="40" t="s">
        <v>214</v>
      </c>
      <c r="B19">
        <v>4973</v>
      </c>
      <c r="C19">
        <v>-756</v>
      </c>
      <c r="D19">
        <v>-6.1403508771929793E-2</v>
      </c>
      <c r="E19">
        <v>-9.9999999999999978E-2</v>
      </c>
      <c r="H19" s="40"/>
    </row>
    <row r="20" spans="1:8" ht="13.8" x14ac:dyDescent="0.25">
      <c r="A20" s="40" t="s">
        <v>161</v>
      </c>
      <c r="H20" s="40"/>
    </row>
    <row r="21" spans="1:8" ht="15.75" customHeight="1" x14ac:dyDescent="0.25">
      <c r="A21" s="40" t="s">
        <v>20</v>
      </c>
      <c r="H21" s="40"/>
    </row>
    <row r="22" spans="1:8" ht="15.75" customHeight="1" x14ac:dyDescent="0.25">
      <c r="A22" s="40" t="s">
        <v>9</v>
      </c>
      <c r="B22">
        <v>90294</v>
      </c>
      <c r="C22">
        <v>13108</v>
      </c>
      <c r="D22">
        <v>-7.1170084439083237E-2</v>
      </c>
      <c r="E22">
        <v>1.2324324324324323</v>
      </c>
      <c r="H22" s="40"/>
    </row>
    <row r="23" spans="1:8" ht="15.75" customHeight="1" x14ac:dyDescent="0.25">
      <c r="A23" s="40" t="s">
        <v>215</v>
      </c>
      <c r="B23">
        <v>1967</v>
      </c>
      <c r="C23">
        <v>4.8</v>
      </c>
      <c r="D23">
        <v>0.72923076923076913</v>
      </c>
      <c r="E23">
        <v>2.2222222222222223</v>
      </c>
      <c r="H23" s="40"/>
    </row>
    <row r="24" spans="1:8" ht="15.75" customHeight="1" x14ac:dyDescent="0.25">
      <c r="A24" s="40" t="s">
        <v>24</v>
      </c>
      <c r="H24" s="40"/>
    </row>
    <row r="25" spans="1:8" ht="15.75" customHeight="1" x14ac:dyDescent="0.25">
      <c r="A25" s="40" t="s">
        <v>99</v>
      </c>
      <c r="B25">
        <v>1565</v>
      </c>
      <c r="C25">
        <v>362</v>
      </c>
      <c r="D25">
        <v>-9.5238095238095233E-2</v>
      </c>
      <c r="E25">
        <v>5.0000000000000044E-2</v>
      </c>
      <c r="H25" s="40"/>
    </row>
    <row r="26" spans="1:8" ht="15.75" customHeight="1" x14ac:dyDescent="0.25">
      <c r="A26" s="40" t="s">
        <v>13</v>
      </c>
      <c r="B26">
        <v>32219</v>
      </c>
      <c r="C26">
        <v>2531</v>
      </c>
      <c r="D26">
        <v>-0.33083341145589196</v>
      </c>
      <c r="E26">
        <v>1.620991253644315</v>
      </c>
      <c r="H26" s="40"/>
    </row>
    <row r="27" spans="1:8" ht="15.75" customHeight="1" x14ac:dyDescent="0.25">
      <c r="A27" s="40" t="s">
        <v>218</v>
      </c>
      <c r="B27">
        <v>7358</v>
      </c>
      <c r="C27">
        <v>1063</v>
      </c>
      <c r="D27">
        <v>-0.43604651162790697</v>
      </c>
      <c r="E27">
        <v>-0.67999999999999994</v>
      </c>
      <c r="H27" s="40"/>
    </row>
    <row r="28" spans="1:8" ht="15.75" customHeight="1" x14ac:dyDescent="0.25">
      <c r="A28" s="40" t="s">
        <v>95</v>
      </c>
      <c r="H28" s="40"/>
    </row>
    <row r="29" spans="1:8" ht="15.75" customHeight="1" x14ac:dyDescent="0.25">
      <c r="A29" s="40" t="s">
        <v>25</v>
      </c>
      <c r="B29">
        <v>52229</v>
      </c>
      <c r="C29">
        <v>5043</v>
      </c>
      <c r="D29">
        <v>4.0718562874251463E-2</v>
      </c>
      <c r="E29">
        <v>-3.1523809523809523</v>
      </c>
      <c r="H29" s="40"/>
    </row>
    <row r="30" spans="1:8" ht="15.75" customHeight="1" x14ac:dyDescent="0.25">
      <c r="A30" s="40" t="s">
        <v>219</v>
      </c>
      <c r="H30" s="40"/>
    </row>
    <row r="31" spans="1:8" ht="15.75" customHeight="1" x14ac:dyDescent="0.25">
      <c r="A31" s="40" t="s">
        <v>78</v>
      </c>
      <c r="B31">
        <v>8804</v>
      </c>
      <c r="C31">
        <v>994</v>
      </c>
      <c r="D31">
        <v>0.56957186544342497</v>
      </c>
      <c r="E31">
        <v>0.71428571428571419</v>
      </c>
      <c r="H31" s="40"/>
    </row>
    <row r="32" spans="1:8" ht="15.75" customHeight="1" x14ac:dyDescent="0.25">
      <c r="A32" s="40" t="s">
        <v>130</v>
      </c>
      <c r="H32" s="40"/>
    </row>
    <row r="33" spans="1:8" ht="15.75" customHeight="1" x14ac:dyDescent="0.25">
      <c r="A33" s="40" t="s">
        <v>22</v>
      </c>
      <c r="B33">
        <v>6539</v>
      </c>
      <c r="C33">
        <v>1187</v>
      </c>
      <c r="D33">
        <v>-0.31818181818181823</v>
      </c>
      <c r="E33">
        <v>-0.5185185185185186</v>
      </c>
      <c r="H33" s="40"/>
    </row>
    <row r="34" spans="1:8" ht="15.75" customHeight="1" x14ac:dyDescent="0.25">
      <c r="A34" s="40" t="s">
        <v>83</v>
      </c>
      <c r="H34" s="40"/>
    </row>
    <row r="35" spans="1:8" ht="15.75" customHeight="1" x14ac:dyDescent="0.25">
      <c r="A35" s="40" t="s">
        <v>221</v>
      </c>
      <c r="H35" s="40"/>
    </row>
    <row r="36" spans="1:8" ht="15.75" customHeight="1" x14ac:dyDescent="0.25">
      <c r="A36" s="40" t="s">
        <v>222</v>
      </c>
      <c r="H36" s="40"/>
    </row>
    <row r="37" spans="1:8" ht="15.75" customHeight="1" x14ac:dyDescent="0.25">
      <c r="A37" s="40" t="s">
        <v>12</v>
      </c>
      <c r="B37">
        <v>26613</v>
      </c>
      <c r="C37">
        <v>8169</v>
      </c>
      <c r="D37">
        <v>-0.30969399151217336</v>
      </c>
      <c r="E37">
        <v>-0.50840336134453779</v>
      </c>
      <c r="H37" s="40"/>
    </row>
    <row r="38" spans="1:8" ht="15.75" customHeight="1" x14ac:dyDescent="0.25">
      <c r="A38" s="40" t="s">
        <v>86</v>
      </c>
      <c r="B38">
        <v>12002</v>
      </c>
      <c r="C38">
        <v>487</v>
      </c>
      <c r="D38">
        <v>0.96174863387978138</v>
      </c>
      <c r="E38">
        <v>0.66666666666666674</v>
      </c>
      <c r="H38" s="40"/>
    </row>
    <row r="39" spans="1:8" ht="15.75" customHeight="1" x14ac:dyDescent="0.25">
      <c r="A39" s="40" t="s">
        <v>100</v>
      </c>
      <c r="H39" s="40"/>
    </row>
    <row r="40" spans="1:8" ht="15.75" customHeight="1" x14ac:dyDescent="0.25">
      <c r="A40" s="40" t="s">
        <v>87</v>
      </c>
      <c r="H40" s="40"/>
    </row>
    <row r="41" spans="1:8" ht="15.75" customHeight="1" x14ac:dyDescent="0.25">
      <c r="A41" s="40" t="s">
        <v>216</v>
      </c>
      <c r="B41">
        <v>5319</v>
      </c>
      <c r="C41">
        <v>158</v>
      </c>
      <c r="D41">
        <v>0.39597315436241609</v>
      </c>
      <c r="E41">
        <v>0.4285714285714286</v>
      </c>
      <c r="H41" s="40"/>
    </row>
    <row r="42" spans="1:8" ht="15.75" customHeight="1" x14ac:dyDescent="0.25">
      <c r="A42" s="40" t="s">
        <v>14</v>
      </c>
      <c r="B42">
        <v>20667</v>
      </c>
      <c r="C42">
        <v>4617</v>
      </c>
      <c r="D42">
        <v>0.46744186046511627</v>
      </c>
      <c r="E42">
        <v>1.7222222222222223</v>
      </c>
      <c r="H42" s="40"/>
    </row>
    <row r="43" spans="1:8" ht="15.75" customHeight="1" x14ac:dyDescent="0.25">
      <c r="A43" s="40" t="s">
        <v>120</v>
      </c>
      <c r="H43" s="40"/>
    </row>
    <row r="44" spans="1:8" ht="15.75" customHeight="1" x14ac:dyDescent="0.25">
      <c r="A44" s="40" t="s">
        <v>11</v>
      </c>
      <c r="B44">
        <v>52841</v>
      </c>
      <c r="C44">
        <v>4419</v>
      </c>
      <c r="D44">
        <v>0.80322209436133485</v>
      </c>
      <c r="E44">
        <v>-4.6153846153846101E-2</v>
      </c>
      <c r="H44" s="40"/>
    </row>
    <row r="45" spans="1:8" ht="15.75" customHeight="1" x14ac:dyDescent="0.25">
      <c r="A45" s="40" t="s">
        <v>223</v>
      </c>
      <c r="H45" s="40"/>
    </row>
    <row r="46" spans="1:8" ht="15.75" customHeight="1" x14ac:dyDescent="0.25">
      <c r="A46" s="40" t="s">
        <v>75</v>
      </c>
      <c r="B46">
        <v>21267</v>
      </c>
      <c r="C46">
        <v>1144</v>
      </c>
      <c r="D46">
        <v>0.6354430379746836</v>
      </c>
      <c r="E46">
        <v>0.62962962962962954</v>
      </c>
      <c r="H46" s="40"/>
    </row>
    <row r="47" spans="1:8" ht="15.75" customHeight="1" x14ac:dyDescent="0.25">
      <c r="A47" s="40" t="s">
        <v>94</v>
      </c>
      <c r="H47" s="40"/>
    </row>
    <row r="48" spans="1:8" ht="15.75" customHeight="1" x14ac:dyDescent="0.25">
      <c r="A48" s="40" t="s">
        <v>16</v>
      </c>
      <c r="B48">
        <v>35156</v>
      </c>
      <c r="C48">
        <v>2971</v>
      </c>
      <c r="D48">
        <v>0.95573770491803289</v>
      </c>
      <c r="E48">
        <v>0.71698113207547176</v>
      </c>
      <c r="H48" s="40"/>
    </row>
    <row r="49" spans="1:12" ht="15.75" customHeight="1" x14ac:dyDescent="0.25">
      <c r="A49" s="40" t="s">
        <v>26</v>
      </c>
      <c r="B49">
        <v>8911</v>
      </c>
      <c r="C49">
        <v>2411</v>
      </c>
      <c r="D49">
        <v>-0.19999999999999996</v>
      </c>
      <c r="E49">
        <v>-0.51351351351351349</v>
      </c>
      <c r="H49" s="40"/>
    </row>
    <row r="50" spans="1:12" ht="15.75" customHeight="1" x14ac:dyDescent="0.25">
      <c r="A50" s="40" t="s">
        <v>224</v>
      </c>
      <c r="H50" s="40"/>
    </row>
    <row r="51" spans="1:12" ht="15.75" customHeight="1" x14ac:dyDescent="0.25">
      <c r="A51" s="40" t="s">
        <v>225</v>
      </c>
      <c r="H51" s="40"/>
    </row>
    <row r="52" spans="1:12" ht="15.75" customHeight="1" x14ac:dyDescent="0.25">
      <c r="A52" s="40" t="s">
        <v>226</v>
      </c>
      <c r="H52" s="40"/>
    </row>
    <row r="53" spans="1:12" ht="15.75" customHeight="1" x14ac:dyDescent="0.25">
      <c r="A53" s="40" t="s">
        <v>82</v>
      </c>
      <c r="B53">
        <v>13710</v>
      </c>
      <c r="C53">
        <v>-7929</v>
      </c>
      <c r="D53">
        <v>0.427927927927928</v>
      </c>
      <c r="E53">
        <v>-0.21</v>
      </c>
      <c r="H53" s="40"/>
    </row>
    <row r="54" spans="1:12" ht="15.75" customHeight="1" x14ac:dyDescent="0.25">
      <c r="A54" s="40" t="s">
        <v>217</v>
      </c>
      <c r="B54">
        <v>5604</v>
      </c>
      <c r="C54">
        <v>53</v>
      </c>
      <c r="D54">
        <v>-1.3986013986013957E-2</v>
      </c>
      <c r="E54">
        <v>4</v>
      </c>
      <c r="H54" s="40"/>
    </row>
    <row r="55" spans="1:12" ht="15.75" customHeight="1" x14ac:dyDescent="0.25">
      <c r="A55" s="40" t="s">
        <v>187</v>
      </c>
      <c r="H55" s="40"/>
    </row>
    <row r="56" spans="1:12" ht="15.75" customHeight="1" x14ac:dyDescent="0.25">
      <c r="A56" s="40" t="s">
        <v>227</v>
      </c>
      <c r="H56" s="40"/>
    </row>
    <row r="57" spans="1:12" ht="15.75" customHeight="1" x14ac:dyDescent="0.25">
      <c r="A57" s="40" t="s">
        <v>105</v>
      </c>
      <c r="H57" s="40"/>
    </row>
    <row r="58" spans="1:12" ht="15.75" customHeight="1" x14ac:dyDescent="0.25">
      <c r="A58" s="40" t="s">
        <v>228</v>
      </c>
      <c r="H58" s="40"/>
    </row>
    <row r="59" spans="1:12" ht="15.75" customHeight="1" x14ac:dyDescent="0.25">
      <c r="A59" s="40" t="s">
        <v>229</v>
      </c>
      <c r="H59" s="40"/>
    </row>
    <row r="60" spans="1:12" ht="15.75" customHeight="1" x14ac:dyDescent="0.25">
      <c r="A60" s="40" t="s">
        <v>220</v>
      </c>
      <c r="B60">
        <v>18642.370370370369</v>
      </c>
      <c r="C60">
        <v>1669.8444444444447</v>
      </c>
      <c r="D60">
        <v>0.21239798232914534</v>
      </c>
      <c r="E60">
        <v>0.25029354697710432</v>
      </c>
    </row>
    <row r="61" spans="1:12" ht="15.75" customHeight="1" x14ac:dyDescent="0.25">
      <c r="H61" s="58"/>
      <c r="I61" s="64"/>
      <c r="J61" s="64"/>
      <c r="K61" s="64"/>
      <c r="L61" s="64"/>
    </row>
    <row r="62" spans="1:12" ht="15.75" customHeight="1" x14ac:dyDescent="0.25"/>
    <row r="63" spans="1:12" ht="15.75" customHeight="1" x14ac:dyDescent="0.25"/>
    <row r="64" spans="1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89"/>
  <sheetViews>
    <sheetView workbookViewId="0">
      <pane ySplit="2" topLeftCell="A3" activePane="bottomLeft" state="frozen"/>
      <selection pane="bottomLeft" activeCell="B4" sqref="B4"/>
    </sheetView>
  </sheetViews>
  <sheetFormatPr defaultColWidth="12.59765625" defaultRowHeight="15" customHeight="1" x14ac:dyDescent="0.25"/>
  <cols>
    <col min="1" max="1" width="12.59765625" customWidth="1"/>
    <col min="2" max="2" width="13.19921875" customWidth="1"/>
    <col min="3" max="4" width="7" customWidth="1"/>
    <col min="5" max="5" width="18.3984375" customWidth="1"/>
    <col min="6" max="6" width="9" customWidth="1"/>
    <col min="7" max="7" width="8" customWidth="1"/>
    <col min="8" max="10" width="11.09765625" customWidth="1"/>
    <col min="11" max="11" width="11" customWidth="1"/>
    <col min="12" max="12" width="12.5" customWidth="1"/>
    <col min="13" max="13" width="10.5" customWidth="1"/>
    <col min="14" max="14" width="9.5" customWidth="1"/>
    <col min="15" max="15" width="10.8984375" customWidth="1"/>
    <col min="16" max="16" width="11" customWidth="1"/>
    <col min="17" max="17" width="18.19921875" customWidth="1"/>
    <col min="18" max="20" width="10.5" customWidth="1"/>
    <col min="21" max="21" width="15.5" customWidth="1"/>
    <col min="22" max="23" width="9.69921875" customWidth="1"/>
    <col min="24" max="24" width="18.09765625" customWidth="1"/>
    <col min="25" max="25" width="8.3984375" customWidth="1"/>
    <col min="26" max="26" width="8.09765625" customWidth="1"/>
    <col min="27" max="28" width="7.59765625" customWidth="1"/>
  </cols>
  <sheetData>
    <row r="1" spans="1:26" ht="13.8" x14ac:dyDescent="0.25">
      <c r="A1" s="65">
        <f ca="1">SUM(A3:A46)</f>
        <v>5326728823226</v>
      </c>
      <c r="B1" s="65" t="s">
        <v>239</v>
      </c>
      <c r="C1" s="65"/>
      <c r="D1" s="65"/>
      <c r="E1" s="65">
        <f>G1*80%</f>
        <v>42308</v>
      </c>
      <c r="F1" s="66">
        <f t="shared" ref="F1:G1" si="0">SUM(F3:F18)</f>
        <v>435936</v>
      </c>
      <c r="G1" s="66">
        <f t="shared" si="0"/>
        <v>52885</v>
      </c>
      <c r="H1" s="67"/>
      <c r="I1" s="67"/>
      <c r="J1" s="67">
        <f t="shared" ref="J1:O1" si="1">AVERAGE(J3:J5)</f>
        <v>9.0197209401813749E-2</v>
      </c>
      <c r="K1" s="67">
        <f t="shared" si="1"/>
        <v>0.22286730517782746</v>
      </c>
      <c r="L1" s="67">
        <f t="shared" si="1"/>
        <v>0.10738714397817217</v>
      </c>
      <c r="M1" s="67">
        <f t="shared" si="1"/>
        <v>0.14394522596084328</v>
      </c>
      <c r="N1" s="67">
        <f t="shared" si="1"/>
        <v>-0.15875688523845943</v>
      </c>
      <c r="O1" s="67">
        <f t="shared" si="1"/>
        <v>0.26505843871572771</v>
      </c>
      <c r="P1" s="65"/>
      <c r="Q1" s="65"/>
      <c r="R1" s="68">
        <f t="shared" ref="R1:W1" ca="1" si="2">AVERAGE(R3:R5)</f>
        <v>123.70813478374031</v>
      </c>
      <c r="S1" s="68">
        <f t="shared" si="2"/>
        <v>20.230913415841858</v>
      </c>
      <c r="T1" s="68">
        <f t="shared" si="2"/>
        <v>9.2267687537702798</v>
      </c>
      <c r="U1" s="68">
        <f t="shared" si="2"/>
        <v>88.81495114517503</v>
      </c>
      <c r="V1" s="67">
        <f t="shared" ca="1" si="2"/>
        <v>3.5651016007368863E-2</v>
      </c>
      <c r="W1" s="67">
        <f t="shared" ca="1" si="2"/>
        <v>0.18316685141947145</v>
      </c>
      <c r="Y1" s="68" t="e">
        <f t="shared" ref="Y1:Z1" si="3">AVERAGE(Y3:Y5)</f>
        <v>#REF!</v>
      </c>
      <c r="Z1" s="68">
        <f t="shared" ca="1" si="3"/>
        <v>1.0776092525297015E-2</v>
      </c>
    </row>
    <row r="2" spans="1:26" ht="13.8" x14ac:dyDescent="0.25">
      <c r="A2" s="69" t="s">
        <v>41</v>
      </c>
      <c r="B2" s="69" t="s">
        <v>5</v>
      </c>
      <c r="C2" s="69" t="s">
        <v>240</v>
      </c>
      <c r="D2" s="69" t="s">
        <v>241</v>
      </c>
      <c r="E2" s="69" t="s">
        <v>242</v>
      </c>
      <c r="F2" s="69" t="s">
        <v>243</v>
      </c>
      <c r="G2" s="69" t="s">
        <v>236</v>
      </c>
      <c r="H2" s="70" t="s">
        <v>244</v>
      </c>
      <c r="I2" s="70" t="s">
        <v>52</v>
      </c>
      <c r="J2" s="71" t="s">
        <v>245</v>
      </c>
      <c r="K2" s="71" t="s">
        <v>246</v>
      </c>
      <c r="L2" s="71" t="s">
        <v>247</v>
      </c>
      <c r="M2" s="71" t="s">
        <v>248</v>
      </c>
      <c r="N2" s="71" t="s">
        <v>205</v>
      </c>
      <c r="O2" s="71" t="s">
        <v>206</v>
      </c>
      <c r="P2" s="71" t="s">
        <v>249</v>
      </c>
      <c r="Q2" s="71" t="s">
        <v>250</v>
      </c>
      <c r="R2" s="71" t="s">
        <v>251</v>
      </c>
      <c r="S2" s="71" t="s">
        <v>252</v>
      </c>
      <c r="T2" s="71" t="s">
        <v>202</v>
      </c>
      <c r="U2" s="71" t="s">
        <v>253</v>
      </c>
      <c r="V2" s="71" t="s">
        <v>254</v>
      </c>
      <c r="W2" s="71" t="s">
        <v>255</v>
      </c>
      <c r="X2" s="71" t="s">
        <v>256</v>
      </c>
      <c r="Y2" s="71" t="s">
        <v>257</v>
      </c>
      <c r="Z2" s="72" t="s">
        <v>258</v>
      </c>
    </row>
    <row r="3" spans="1:26" ht="13.8" x14ac:dyDescent="0.25">
      <c r="A3" s="73">
        <f ca="1">IFERROR(__xludf.DUMMYFUNCTION("GOOGLEFINANCE(""nse:""&amp;B3,""marketcap"")"),2117876031167)</f>
        <v>2117876031167</v>
      </c>
      <c r="B3" s="74" t="s">
        <v>9</v>
      </c>
      <c r="C3" s="75">
        <f ca="1">IFERROR(__xludf.DUMMYFUNCTION("GOOGLEFINANCE(""nse:""&amp;B3,""price"")"),855.6)</f>
        <v>855.6</v>
      </c>
      <c r="D3" s="74">
        <v>-4.08</v>
      </c>
      <c r="E3" s="76">
        <v>43734</v>
      </c>
      <c r="F3" s="77">
        <v>90294</v>
      </c>
      <c r="G3" s="78">
        <v>13108</v>
      </c>
      <c r="H3" s="79"/>
      <c r="I3" s="79"/>
      <c r="J3" s="79">
        <f>(DLF!C31/DLF!M6)^(1/10)-1</f>
        <v>9.0197209401813749E-2</v>
      </c>
      <c r="K3" s="79">
        <f>(DLF!C46/DLF!M16)^(1/9)-1</f>
        <v>0.12525549969941574</v>
      </c>
      <c r="L3" s="79">
        <f>(DLF!C42/DLF!M16)^(1/10)-1</f>
        <v>0.10738714397817217</v>
      </c>
      <c r="M3" s="79">
        <f>(DLF!C46/DLF!L16)^(1/9)-1</f>
        <v>0.21689290364957681</v>
      </c>
      <c r="N3" s="79">
        <f>(1540/1658)^(1/1)-1</f>
        <v>-7.1170084439083237E-2</v>
      </c>
      <c r="O3" s="79">
        <f>(413/185)^(1/1)-1</f>
        <v>1.2324324324324323</v>
      </c>
      <c r="P3" s="80">
        <v>7.38</v>
      </c>
      <c r="Q3" s="81">
        <f t="shared" ref="Q3:Q22" si="4">(O3*P3)+P3</f>
        <v>16.47535135135135</v>
      </c>
      <c r="R3" s="82">
        <f t="shared" ref="R3:R18" ca="1" si="5">C3/Q3</f>
        <v>51.932124648123001</v>
      </c>
      <c r="S3" s="77">
        <f>(100*413)/1541</f>
        <v>26.800778715120053</v>
      </c>
      <c r="T3" s="77">
        <f>DLF!C52/DLF!E15</f>
        <v>12.032320457476033</v>
      </c>
      <c r="U3" s="83">
        <f>(1541-1678)/536</f>
        <v>-0.25559701492537312</v>
      </c>
      <c r="V3" s="79">
        <f ca="1">(C3/DLF!Q4)^(1/11)-1</f>
        <v>3.5651016007368863E-2</v>
      </c>
      <c r="W3" s="79">
        <f ca="1">(C3/DLF!Q7)^(1/9)-1</f>
        <v>0.10057679249410789</v>
      </c>
      <c r="X3" s="80">
        <f>DLF!S17</f>
        <v>4.3298969072164946</v>
      </c>
      <c r="Y3" s="84" t="e">
        <f>(100*2)/#REF!</f>
        <v>#REF!</v>
      </c>
      <c r="Z3" s="85">
        <f t="shared" ref="Z3:Z17" ca="1" si="6">Q3/C3</f>
        <v>1.9255903870209617E-2</v>
      </c>
    </row>
    <row r="4" spans="1:26" ht="13.8" x14ac:dyDescent="0.25">
      <c r="A4" s="86">
        <f ca="1">IFERROR(__xludf.DUMMYFUNCTION("GOOGLEFINANCE(""nse:""&amp;B4,""marketcap"")"),620277204000)</f>
        <v>620277204000</v>
      </c>
      <c r="B4" s="87" t="s">
        <v>13</v>
      </c>
      <c r="C4" s="88">
        <f ca="1">IFERROR(__xludf.DUMMYFUNCTION("GOOGLEFINANCE(""nse:""&amp;B4,""price"")"),2230)</f>
        <v>2230</v>
      </c>
      <c r="D4" s="87">
        <v>-2.86</v>
      </c>
      <c r="E4" s="89">
        <v>43966</v>
      </c>
      <c r="F4" s="90">
        <v>29146</v>
      </c>
      <c r="G4" s="91">
        <v>2706</v>
      </c>
      <c r="H4" s="92">
        <v>1280</v>
      </c>
      <c r="I4" s="92">
        <v>5</v>
      </c>
      <c r="J4" s="93"/>
      <c r="K4" s="93">
        <f>(F4/1124)^(1/10)-1</f>
        <v>0.38478153822445926</v>
      </c>
      <c r="L4" s="93"/>
      <c r="M4" s="93">
        <f>(G4/1216)^(1/10)-1</f>
        <v>8.3276749003635242E-2</v>
      </c>
      <c r="N4" s="93">
        <f>(F4/32220)^(1/1)-1</f>
        <v>-9.5406579764121702E-2</v>
      </c>
      <c r="O4" s="93">
        <f>(271/253)^(1/1)-1</f>
        <v>7.1146245059288571E-2</v>
      </c>
      <c r="P4" s="94">
        <v>10.84</v>
      </c>
      <c r="Q4" s="95">
        <f t="shared" si="4"/>
        <v>11.611225296442688</v>
      </c>
      <c r="R4" s="96">
        <f t="shared" ca="1" si="5"/>
        <v>192.05552756634577</v>
      </c>
      <c r="S4" s="90">
        <f>(100*G4)/F4</f>
        <v>9.2842928703767242</v>
      </c>
      <c r="T4" s="97">
        <f>G4/H4</f>
        <v>2.1140625000000002</v>
      </c>
      <c r="U4" s="90">
        <f>(F4-23385)/222</f>
        <v>25.95045045045045</v>
      </c>
      <c r="V4" s="93"/>
      <c r="W4" s="93">
        <f ca="1">(C4/238)^(1/10)-1</f>
        <v>0.25075656356810527</v>
      </c>
      <c r="X4" s="94"/>
      <c r="Y4" s="98">
        <v>0</v>
      </c>
      <c r="Z4" s="85">
        <f t="shared" ca="1" si="6"/>
        <v>5.2068274871940306E-3</v>
      </c>
    </row>
    <row r="5" spans="1:26" ht="13.8" x14ac:dyDescent="0.25">
      <c r="A5" s="73">
        <f ca="1">IFERROR(__xludf.DUMMYFUNCTION("GOOGLEFINANCE(""nse:""&amp;B5,""marketcap"")"),518133135000)</f>
        <v>518133135000</v>
      </c>
      <c r="B5" s="73" t="s">
        <v>12</v>
      </c>
      <c r="C5" s="75">
        <f ca="1">IFERROR(__xludf.DUMMYFUNCTION("GOOGLEFINANCE(""nse:""&amp;B5,""price"")"),1425)</f>
        <v>1425</v>
      </c>
      <c r="D5" s="73">
        <v>-0.24</v>
      </c>
      <c r="E5" s="99">
        <v>43734</v>
      </c>
      <c r="F5" s="77">
        <f>OBEROIRLTY!F7</f>
        <v>26613</v>
      </c>
      <c r="G5" s="77">
        <f>OBEROIRLTY!F19</f>
        <v>8169</v>
      </c>
      <c r="H5" s="100"/>
      <c r="I5" s="100"/>
      <c r="J5" s="100"/>
      <c r="K5" s="100">
        <f>(OBEROIRLTY!G5/OBEROIRLTY!R5)^(1/8)-1</f>
        <v>0.15856487760960736</v>
      </c>
      <c r="L5" s="100"/>
      <c r="M5" s="100">
        <f>(OBEROIRLTY!G19/OBEROIRLTY!R13)^(1/8)-1</f>
        <v>0.13166602522931781</v>
      </c>
      <c r="N5" s="100">
        <f>OBEROIRLTY!A7</f>
        <v>-0.30969399151217336</v>
      </c>
      <c r="O5" s="100">
        <f>OBEROIRLTY!A19</f>
        <v>-0.50840336134453779</v>
      </c>
      <c r="P5" s="81">
        <f>OBEROIRLTY!F43</f>
        <v>22.8</v>
      </c>
      <c r="Q5" s="81">
        <f t="shared" si="4"/>
        <v>11.208403361344539</v>
      </c>
      <c r="R5" s="82">
        <f t="shared" ca="1" si="5"/>
        <v>127.13675213675212</v>
      </c>
      <c r="S5" s="77">
        <f>OBEROIRLTY!B44</f>
        <v>24.607668662028797</v>
      </c>
      <c r="T5" s="77">
        <f>OBEROIRLTY!G19/OBEROIRLTY!G48</f>
        <v>13.533923303834808</v>
      </c>
      <c r="U5" s="77">
        <f>OBEROIRLTY!B45</f>
        <v>240.75</v>
      </c>
      <c r="V5" s="100"/>
      <c r="W5" s="79">
        <f ca="1">(C5/OBEROIRLTY!V3)^(1/9)-1</f>
        <v>0.19816719819620121</v>
      </c>
      <c r="X5" s="73">
        <f>OBEROIRLTY!V12</f>
        <v>5.3571428571428568</v>
      </c>
      <c r="Y5" s="84">
        <f>OBEROIRLTY!F47</f>
        <v>8.7719298245614024</v>
      </c>
      <c r="Z5" s="85">
        <f t="shared" ca="1" si="6"/>
        <v>7.8655462184873959E-3</v>
      </c>
    </row>
    <row r="6" spans="1:26" ht="13.8" x14ac:dyDescent="0.25">
      <c r="A6" s="86">
        <f ca="1">IFERROR(__xludf.DUMMYFUNCTION("GOOGLEFINANCE(""nse:""&amp;B6,""marketcap"")"),454860619850)</f>
        <v>454860619850</v>
      </c>
      <c r="B6" s="86" t="s">
        <v>14</v>
      </c>
      <c r="C6" s="88">
        <f ca="1">IFERROR(__xludf.DUMMYFUNCTION("GOOGLEFINANCE(""nse:""&amp;B6,""price"")"),2564)</f>
        <v>2564</v>
      </c>
      <c r="D6" s="86">
        <v>1.97</v>
      </c>
      <c r="E6" s="101">
        <v>43734</v>
      </c>
      <c r="F6" s="90">
        <v>20667</v>
      </c>
      <c r="G6" s="90">
        <v>4617</v>
      </c>
      <c r="H6" s="102"/>
      <c r="I6" s="102"/>
      <c r="J6" s="102">
        <f>(PHOENIXLTD!C30/PHOENIXLTD!V7)^(1/19)-1</f>
        <v>0.24775260430117751</v>
      </c>
      <c r="K6" s="102">
        <f>(PHOENIXLTD!C32/PHOENIXLTD!L6)^(1/9)-1</f>
        <v>0.60261659160089098</v>
      </c>
      <c r="L6" s="102">
        <f>(PHOENIXLTD!C53/PHOENIXLTD!T16)^(1/17)-1</f>
        <v>0.25687785534808327</v>
      </c>
      <c r="M6" s="102">
        <f>(PHOENIXLTD!C53/PHOENIXLTD!L13)^(1/9)-1</f>
        <v>0.17493076096123406</v>
      </c>
      <c r="N6" s="102">
        <f>(631/430)^(1/1)-1</f>
        <v>0.46744186046511627</v>
      </c>
      <c r="O6" s="102">
        <f>(147/54)^(1/1)-1</f>
        <v>1.7222222222222223</v>
      </c>
      <c r="P6" s="95">
        <v>27.48</v>
      </c>
      <c r="Q6" s="95">
        <f t="shared" si="4"/>
        <v>74.806666666666672</v>
      </c>
      <c r="R6" s="96">
        <f t="shared" ca="1" si="5"/>
        <v>34.275020051688799</v>
      </c>
      <c r="S6" s="90">
        <f>(100*154)/631</f>
        <v>24.405705229793977</v>
      </c>
      <c r="T6" s="90">
        <f>PHOENIXLTD!C53/PHOENIXLTD!C14</f>
        <v>8.3437377563014241</v>
      </c>
      <c r="U6" s="97">
        <f>(631-460)/87</f>
        <v>1.9655172413793103</v>
      </c>
      <c r="V6" s="102">
        <f ca="1">((50*C6)/PHOENIXLTD!AA10)^(1/19)-1</f>
        <v>0.33055260163559885</v>
      </c>
      <c r="W6" s="102">
        <f ca="1">(C6/PHOENIXLTD!AA19)^(1/9)-1</f>
        <v>0.32865843934903083</v>
      </c>
      <c r="X6" s="86">
        <f>(PHOENIXLTD!BC18*100)/PHOENIXLTD!AA10</f>
        <v>223.40425531914894</v>
      </c>
      <c r="Y6" s="98" t="e">
        <f>(100*3)/#REF!</f>
        <v>#REF!</v>
      </c>
      <c r="Z6" s="85">
        <f t="shared" ca="1" si="6"/>
        <v>2.917576703068123E-2</v>
      </c>
    </row>
    <row r="7" spans="1:26" ht="13.8" x14ac:dyDescent="0.25">
      <c r="A7" s="73">
        <f ca="1">IFERROR(__xludf.DUMMYFUNCTION("GOOGLEFINANCE(""nse:""&amp;B7,""marketcap"")"),419913755024)</f>
        <v>419913755024</v>
      </c>
      <c r="B7" s="74" t="s">
        <v>11</v>
      </c>
      <c r="C7" s="75">
        <f ca="1">IFERROR(__xludf.DUMMYFUNCTION("GOOGLEFINANCE(""nse:""&amp;B7,""price"")"),1035)</f>
        <v>1035</v>
      </c>
      <c r="D7" s="74">
        <v>-0.14000000000000001</v>
      </c>
      <c r="E7" s="76">
        <v>43311</v>
      </c>
      <c r="F7" s="78">
        <v>52841</v>
      </c>
      <c r="G7" s="78">
        <v>4419</v>
      </c>
      <c r="H7" s="74"/>
      <c r="I7" s="74"/>
      <c r="J7" s="74"/>
      <c r="K7" s="79">
        <f>(F7/PRESTIGE!N5)^(1/8)-1</f>
        <v>0.18219782721200017</v>
      </c>
      <c r="L7" s="79"/>
      <c r="M7" s="79">
        <f>(G7/PRESTIGE!N13)^(1/8)-1</f>
        <v>0.10174632832343744</v>
      </c>
      <c r="N7" s="79">
        <f>(1567/869)^(1/1)-1</f>
        <v>0.80322209436133485</v>
      </c>
      <c r="O7" s="79">
        <f>(124/130)^(1/1)-1</f>
        <v>-4.6153846153846101E-2</v>
      </c>
      <c r="P7" s="80">
        <v>11.08</v>
      </c>
      <c r="Q7" s="81">
        <f t="shared" si="4"/>
        <v>10.568615384615386</v>
      </c>
      <c r="R7" s="82">
        <f t="shared" ca="1" si="5"/>
        <v>97.931466169791534</v>
      </c>
      <c r="S7" s="103">
        <f>(100*124)/1567</f>
        <v>7.9132099553286537</v>
      </c>
      <c r="T7" s="77">
        <f>G7/375</f>
        <v>11.784000000000001</v>
      </c>
      <c r="U7" s="83">
        <f>(1567-1415)/241</f>
        <v>0.63070539419087135</v>
      </c>
      <c r="V7" s="74"/>
      <c r="W7" s="79">
        <f ca="1">(C7/PRESTIGE!R3)^(1/8)-1</f>
        <v>0.23601386819169767</v>
      </c>
      <c r="X7" s="74">
        <f>PRESTIGE!R13</f>
        <v>4.7368421052631575</v>
      </c>
      <c r="Y7" s="84" t="e">
        <f>(100*1.5)/#REF!</f>
        <v>#REF!</v>
      </c>
      <c r="Z7" s="85">
        <f t="shared" ca="1" si="6"/>
        <v>1.021122259383129E-2</v>
      </c>
    </row>
    <row r="8" spans="1:26" ht="13.8" x14ac:dyDescent="0.25">
      <c r="A8" s="86">
        <f ca="1">IFERROR(__xludf.DUMMYFUNCTION("GOOGLEFINANCE(""nse:""&amp;B8,""marketcap"")"),16424465458)</f>
        <v>16424465458</v>
      </c>
      <c r="B8" s="104" t="s">
        <v>86</v>
      </c>
      <c r="C8" s="88">
        <f ca="1">IFERROR(__xludf.DUMMYFUNCTION("GOOGLEFINANCE(""nse:""&amp;B8,""price"")"),89.8)</f>
        <v>89.8</v>
      </c>
      <c r="D8" s="104">
        <v>-0.34</v>
      </c>
      <c r="E8" s="105">
        <v>43734</v>
      </c>
      <c r="F8" s="91">
        <v>12002</v>
      </c>
      <c r="G8" s="106">
        <v>487</v>
      </c>
      <c r="H8" s="107"/>
      <c r="I8" s="107"/>
      <c r="J8" s="107"/>
      <c r="K8" s="107">
        <f>(Realty!$F4/7950)^(1/9)-1</f>
        <v>0.15528784359733327</v>
      </c>
      <c r="L8" s="107"/>
      <c r="M8" s="107">
        <f>(Realty!$G4/908)^(1/9)-1</f>
        <v>0.12899897933700766</v>
      </c>
      <c r="N8" s="107">
        <f>(359/183)^(1/1)-1</f>
        <v>0.96174863387978138</v>
      </c>
      <c r="O8" s="107">
        <f>(15/9)^(1/1)-1</f>
        <v>0.66666666666666674</v>
      </c>
      <c r="P8" s="108">
        <v>2.68</v>
      </c>
      <c r="Q8" s="95">
        <f t="shared" si="4"/>
        <v>4.4666666666666668</v>
      </c>
      <c r="R8" s="96">
        <f t="shared" ca="1" si="5"/>
        <v>20.104477611940297</v>
      </c>
      <c r="S8" s="97">
        <f>(100*15)/359</f>
        <v>4.1782729805013927</v>
      </c>
      <c r="T8" s="109">
        <f>Realty!$G4/1829</f>
        <v>1.479496992892291</v>
      </c>
      <c r="U8" s="109">
        <f>(359-339)/50</f>
        <v>0.4</v>
      </c>
      <c r="V8" s="107"/>
      <c r="W8" s="107">
        <f ca="1">(Realty!$C4/35)^(1/9)-1</f>
        <v>0.58661208394293629</v>
      </c>
      <c r="X8" s="104"/>
      <c r="Y8" s="98">
        <f>(100*0.7)/Realty!$P4</f>
        <v>6.4575645756457565</v>
      </c>
      <c r="Z8" s="85">
        <f t="shared" ca="1" si="6"/>
        <v>4.9740163325909428E-2</v>
      </c>
    </row>
    <row r="9" spans="1:26" ht="13.8" x14ac:dyDescent="0.25">
      <c r="A9" s="73">
        <f ca="1">IFERROR(__xludf.DUMMYFUNCTION("GOOGLEFINANCE(""nse:""&amp;B9,""marketcap"")"),57474195900)</f>
        <v>57474195900</v>
      </c>
      <c r="B9" s="73" t="s">
        <v>26</v>
      </c>
      <c r="C9" s="75">
        <f ca="1">IFERROR(__xludf.DUMMYFUNCTION("GOOGLEFINANCE(""nse:""&amp;B9,""price"")"),388.15)</f>
        <v>388.15</v>
      </c>
      <c r="D9" s="73">
        <v>1.31</v>
      </c>
      <c r="E9" s="99">
        <v>43783</v>
      </c>
      <c r="F9" s="77">
        <v>8911</v>
      </c>
      <c r="G9" s="77">
        <v>2411</v>
      </c>
      <c r="H9" s="100"/>
      <c r="I9" s="100"/>
      <c r="J9" s="100"/>
      <c r="K9" s="100">
        <f>(F9/SUNTECK!N5)^(1/9)-1</f>
        <v>0.5589567115155587</v>
      </c>
      <c r="L9" s="100"/>
      <c r="M9" s="100">
        <f>(G9/SUNTECK!N13)^(1/9)-1</f>
        <v>0.47628000313604346</v>
      </c>
      <c r="N9" s="100">
        <f>(320/423)^(1/1)-1</f>
        <v>-0.24349881796690309</v>
      </c>
      <c r="O9" s="100">
        <f>(665/1287)^(1/1)-1</f>
        <v>-0.48329448329448332</v>
      </c>
      <c r="P9" s="81">
        <v>16.22</v>
      </c>
      <c r="Q9" s="81">
        <f t="shared" si="4"/>
        <v>8.3809634809634801</v>
      </c>
      <c r="R9" s="82">
        <f t="shared" ca="1" si="5"/>
        <v>46.313290933869816</v>
      </c>
      <c r="S9" s="77">
        <f>(100*67)/320</f>
        <v>20.9375</v>
      </c>
      <c r="T9" s="77">
        <f>G9/146</f>
        <v>16.513698630136986</v>
      </c>
      <c r="U9" s="103">
        <f>(3201-2291)/207</f>
        <v>4.3961352657004831</v>
      </c>
      <c r="V9" s="79">
        <f ca="1">((C9*5)/SUNTECK!AB6)^(1/18)-1</f>
        <v>0.44729545817919836</v>
      </c>
      <c r="W9" s="100">
        <f ca="1">(Realty!$C5/171)^(1/9)-1</f>
        <v>0.26564875099577256</v>
      </c>
      <c r="X9" s="73">
        <f>(SUNTECK!AU15*100)/SUNTECK!AB6</f>
        <v>1229.5999999999999</v>
      </c>
      <c r="Y9" s="84">
        <f>(100*1.5)/Realty!$P5</f>
        <v>6.5789473684210522</v>
      </c>
      <c r="Z9" s="85">
        <f t="shared" ca="1" si="6"/>
        <v>2.159207389144269E-2</v>
      </c>
    </row>
    <row r="10" spans="1:26" ht="15.75" customHeight="1" x14ac:dyDescent="0.25">
      <c r="A10" s="86">
        <f ca="1">IFERROR(__xludf.DUMMYFUNCTION("GOOGLEFINANCE(""nse:""&amp;B10,""marketcap"")"),208393072375)</f>
        <v>208393072375</v>
      </c>
      <c r="B10" s="110" t="s">
        <v>15</v>
      </c>
      <c r="C10" s="88">
        <f ca="1">IFERROR(__xludf.DUMMYFUNCTION("GOOGLEFINANCE(""nse:""&amp;B10,""price"")"),901.75)</f>
        <v>901.75</v>
      </c>
      <c r="D10" s="110">
        <v>2.02</v>
      </c>
      <c r="E10" s="105">
        <v>43734</v>
      </c>
      <c r="F10" s="91">
        <v>30273</v>
      </c>
      <c r="G10" s="91">
        <v>2819</v>
      </c>
      <c r="H10" s="107"/>
      <c r="I10" s="107"/>
      <c r="J10" s="107">
        <f>(BRIGADE!C6/BRIGADE!O7)^(1/11)-1</f>
        <v>9.7008603213363465E-2</v>
      </c>
      <c r="K10" s="107">
        <f>(BRIGADE!C6/BRIGADE!L5)^(1/9)-1</f>
        <v>0.1616337663826477</v>
      </c>
      <c r="L10" s="107">
        <f>(BRIGADE!C13/BRIGADE!O16)^(1/11)-1</f>
        <v>5.237175321719989E-2</v>
      </c>
      <c r="M10" s="107">
        <f>(BRIGADE!C13/BRIGADE!L13)^(1/9)-1</f>
        <v>0.16343145007456394</v>
      </c>
      <c r="N10" s="107">
        <f>(717/708)^(1/1)-1</f>
        <v>1.2711864406779627E-2</v>
      </c>
      <c r="O10" s="107">
        <f>(47/63)^(1/1)-1</f>
        <v>-0.25396825396825395</v>
      </c>
      <c r="P10" s="108">
        <v>17.62</v>
      </c>
      <c r="Q10" s="95">
        <f t="shared" si="4"/>
        <v>13.145079365079365</v>
      </c>
      <c r="R10" s="96">
        <f t="shared" ca="1" si="5"/>
        <v>68.599814041104167</v>
      </c>
      <c r="S10" s="97">
        <f>(100*47)/717</f>
        <v>6.5550906555090656</v>
      </c>
      <c r="T10" s="97">
        <f>BRIGADE!C13/BRIGADE!C14</f>
        <v>1.3266700962739766</v>
      </c>
      <c r="U10" s="109">
        <f>(717-644)/80</f>
        <v>0.91249999999999998</v>
      </c>
      <c r="V10" s="107">
        <f ca="1">(C10/BRIGADE!S3)^(1/12)-1</f>
        <v>7.0153312769774434E-2</v>
      </c>
      <c r="W10" s="107">
        <f ca="1">(C10/BRIGADE!S6)^(1/9)-1</f>
        <v>0.23816478032253863</v>
      </c>
      <c r="X10" s="108">
        <f>BRIGADE!S16</f>
        <v>4.2501221299462628</v>
      </c>
      <c r="Y10" s="98" t="e">
        <f>(100*2)/#REF!</f>
        <v>#REF!</v>
      </c>
      <c r="Z10" s="85">
        <f t="shared" ca="1" si="6"/>
        <v>1.4577298990939135E-2</v>
      </c>
    </row>
    <row r="11" spans="1:26" ht="15.75" customHeight="1" x14ac:dyDescent="0.25">
      <c r="A11" s="73">
        <f ca="1">IFERROR(__xludf.DUMMYFUNCTION("GOOGLEFINANCE(""nse:""&amp;B11,""marketcap"")"),132973867680)</f>
        <v>132973867680</v>
      </c>
      <c r="B11" s="74" t="s">
        <v>16</v>
      </c>
      <c r="C11" s="75">
        <f ca="1">IFERROR(__xludf.DUMMYFUNCTION("GOOGLEFINANCE(""nse:""&amp;B11,""price"")"),1402)</f>
        <v>1402</v>
      </c>
      <c r="D11" s="74">
        <v>-1.1100000000000001</v>
      </c>
      <c r="E11" s="76">
        <v>43734</v>
      </c>
      <c r="F11" s="78">
        <v>35156</v>
      </c>
      <c r="G11" s="78">
        <v>2971</v>
      </c>
      <c r="H11" s="79"/>
      <c r="I11" s="79"/>
      <c r="J11" s="79">
        <f>(SOBHA!C4/SOBHA!Q5)^(1/12)-1</f>
        <v>6.8705915817681706E-2</v>
      </c>
      <c r="K11" s="79">
        <f>(SOBHA!C4/SOBHA!M5)^(1/9)-1</f>
        <v>0.1003228291474656</v>
      </c>
      <c r="L11" s="79">
        <f>(SOBHA!C13/SOBHA!Q15)^(1/12)-1</f>
        <v>1.5353118136077093E-2</v>
      </c>
      <c r="M11" s="79">
        <f>(SOBHA!C13/SOBHA!M13)^(1/9)-1</f>
        <v>3.9603419648759353E-2</v>
      </c>
      <c r="N11" s="79">
        <f>(1193/610)^(1/1)-1</f>
        <v>0.95573770491803289</v>
      </c>
      <c r="O11" s="79">
        <f>(91/53)^(1/1)-1</f>
        <v>0.71698113207547176</v>
      </c>
      <c r="P11" s="80">
        <v>31.33</v>
      </c>
      <c r="Q11" s="81">
        <f t="shared" si="4"/>
        <v>53.79301886792453</v>
      </c>
      <c r="R11" s="82">
        <f t="shared" ca="1" si="5"/>
        <v>26.062861492162479</v>
      </c>
      <c r="S11" s="103">
        <f>(100*91)/1193</f>
        <v>7.6278290025146687</v>
      </c>
      <c r="T11" s="103">
        <f>SOBHA!C13/SOBHA!C14</f>
        <v>2.0453586497890295</v>
      </c>
      <c r="U11" s="103">
        <f>(1193-1051)/84</f>
        <v>1.6904761904761905</v>
      </c>
      <c r="V11" s="79">
        <f ca="1">(C11/SOBHA!U3)^(1/13)-1</f>
        <v>1.8038790070542987E-2</v>
      </c>
      <c r="W11" s="79">
        <f ca="1">(C11/SOBHA!U7)^(1/9)-1</f>
        <v>0.21251150413605702</v>
      </c>
      <c r="X11" s="74">
        <f>SOBHA!U16</f>
        <v>4.409448818897638</v>
      </c>
      <c r="Y11" s="84" t="e">
        <f>(100*7)/#REF!</f>
        <v>#REF!</v>
      </c>
      <c r="Z11" s="85">
        <f t="shared" ca="1" si="6"/>
        <v>3.836877237369795E-2</v>
      </c>
    </row>
    <row r="12" spans="1:26" ht="15.75" customHeight="1" x14ac:dyDescent="0.25">
      <c r="A12" s="86">
        <f ca="1">IFERROR(__xludf.DUMMYFUNCTION("GOOGLEFINANCE(""nse:""&amp;B12,""marketcap"")"),59708171211)</f>
        <v>59708171211</v>
      </c>
      <c r="B12" s="111" t="s">
        <v>25</v>
      </c>
      <c r="C12" s="88">
        <f ca="1">IFERROR(__xludf.DUMMYFUNCTION("GOOGLEFINANCE(""nse:""&amp;B12,""price"")"),110)</f>
        <v>110</v>
      </c>
      <c r="D12" s="111">
        <v>-2.67</v>
      </c>
      <c r="E12" s="112">
        <v>43579</v>
      </c>
      <c r="F12" s="91">
        <f>IBREALEST!C7</f>
        <v>52229</v>
      </c>
      <c r="G12" s="91">
        <f>IBREALEST!C17</f>
        <v>5043</v>
      </c>
      <c r="H12" s="113"/>
      <c r="I12" s="113"/>
      <c r="J12" s="113">
        <f>(IBREALEST!D5/IBREALEST!T5)^(1/12)-1</f>
        <v>0.66212701026584453</v>
      </c>
      <c r="K12" s="113">
        <f>(IBREALEST!D5/IBREALEST!P5)^(1/9)-1</f>
        <v>0.77439351275581259</v>
      </c>
      <c r="L12" s="113">
        <f>(IBREALEST!D17/IBREALEST!R14)^(1/12)-1</f>
        <v>0.14438408914285983</v>
      </c>
      <c r="M12" s="113">
        <f>(IBREALEST!D17/IBREALEST!P14)^(1/9)-1</f>
        <v>0.6773952920632087</v>
      </c>
      <c r="N12" s="113">
        <f>(869/835)^(1/1)-1</f>
        <v>4.0718562874251463E-2</v>
      </c>
      <c r="O12" s="113">
        <f>(-226/105)^(1/1)-1</f>
        <v>-3.1523809523809523</v>
      </c>
      <c r="P12" s="114">
        <v>11.04</v>
      </c>
      <c r="Q12" s="95">
        <f t="shared" si="4"/>
        <v>-23.76228571428571</v>
      </c>
      <c r="R12" s="96">
        <f t="shared" ca="1" si="5"/>
        <v>-4.6291843016544831</v>
      </c>
      <c r="S12" s="109">
        <f>(100*-226)/869</f>
        <v>-26.006904487917147</v>
      </c>
      <c r="T12" s="109">
        <f>-10854/909</f>
        <v>-11.940594059405941</v>
      </c>
      <c r="U12" s="109">
        <f>(869-748)/159</f>
        <v>0.76100628930817615</v>
      </c>
      <c r="V12" s="113">
        <f ca="1">(C12/IBREALEST!X2)^(1/11)-1</f>
        <v>-0.10659130039508891</v>
      </c>
      <c r="W12" s="113">
        <f ca="1">(C12/75)^(1/9)-1</f>
        <v>4.3473127257490862E-2</v>
      </c>
      <c r="X12" s="111">
        <f>IBREALEST!X15</f>
        <v>4.9467175371661618</v>
      </c>
      <c r="Y12" s="98"/>
      <c r="Z12" s="85">
        <f t="shared" ca="1" si="6"/>
        <v>-0.21602077922077917</v>
      </c>
    </row>
    <row r="13" spans="1:26" ht="15.75" customHeight="1" x14ac:dyDescent="0.25">
      <c r="A13" s="73">
        <f ca="1">IFERROR(__xludf.DUMMYFUNCTION("GOOGLEFINANCE(""nse:""&amp;B13,""marketcap"")"),33588429643)</f>
        <v>33588429643</v>
      </c>
      <c r="B13" s="74" t="s">
        <v>78</v>
      </c>
      <c r="C13" s="75">
        <f ca="1">IFERROR(__xludf.DUMMYFUNCTION("GOOGLEFINANCE(""nse:""&amp;B13,""price"")"),441)</f>
        <v>441</v>
      </c>
      <c r="D13" s="74">
        <v>-1.51</v>
      </c>
      <c r="E13" s="76">
        <v>43509</v>
      </c>
      <c r="F13" s="115">
        <f>KOLTEPATIL!F32</f>
        <v>8804</v>
      </c>
      <c r="G13" s="115">
        <f>KOLTEPATIL!F42</f>
        <v>994</v>
      </c>
      <c r="H13" s="79"/>
      <c r="I13" s="79"/>
      <c r="J13" s="79">
        <f>(KOLTEPATIL!G30/KOLTEPATIL!R5)^(1/11)-1</f>
        <v>0.12911474008803636</v>
      </c>
      <c r="K13" s="79">
        <f>(KOLTEPATIL!G30/KOLTEPATIL!O5)^(1/9)-1</f>
        <v>0.36399735622416629</v>
      </c>
      <c r="L13" s="79">
        <f>(KOLTEPATIL!G41/KOLTEPATIL!R16)^(1/11)-1</f>
        <v>1.6076027788387792E-2</v>
      </c>
      <c r="M13" s="79">
        <f>(KOLTEPATIL!G42/KOLTEPATIL!O15)^(1/9)-1</f>
        <v>0.21009210047616711</v>
      </c>
      <c r="N13" s="79">
        <f>KOLTEPATIL!A32</f>
        <v>0.56957186544342497</v>
      </c>
      <c r="O13" s="79">
        <f>KOLTEPATIL!A42</f>
        <v>0.71428571428571419</v>
      </c>
      <c r="P13" s="80">
        <f>KOLTEPATIL!F66</f>
        <v>9.9499999999999993</v>
      </c>
      <c r="Q13" s="81">
        <f t="shared" si="4"/>
        <v>17.057142857142857</v>
      </c>
      <c r="R13" s="82">
        <f t="shared" ca="1" si="5"/>
        <v>25.854271356783919</v>
      </c>
      <c r="S13" s="77">
        <f>KOLTEPATIL!B68</f>
        <v>21.237213833414515</v>
      </c>
      <c r="T13" s="103">
        <f>KOLTEPATIL!G42/KOLTEPATIL!G13</f>
        <v>1.4638261366885903</v>
      </c>
      <c r="U13" s="103">
        <f>KOLTEPATIL!B69</f>
        <v>8.5086206896551726</v>
      </c>
      <c r="V13" s="79">
        <f ca="1">(C13/KOLTEPATIL!V3)^(1/12)-1</f>
        <v>5.9663541534821452E-2</v>
      </c>
      <c r="W13" s="79">
        <f ca="1">(C13/KOLTEPATIL!V6)^(1/9)-1</f>
        <v>0.25402981040707062</v>
      </c>
      <c r="X13" s="80">
        <f>KOLTEPATIL!W18</f>
        <v>8.4772727272727266</v>
      </c>
      <c r="Y13" s="84">
        <f>KOLTEPATIL!F71</f>
        <v>34.170854271356788</v>
      </c>
      <c r="Z13" s="85">
        <f t="shared" ca="1" si="6"/>
        <v>3.8678328474246841E-2</v>
      </c>
    </row>
    <row r="14" spans="1:26" ht="15.75" customHeight="1" x14ac:dyDescent="0.25">
      <c r="A14" s="86">
        <f ca="1">IFERROR(__xludf.DUMMYFUNCTION("GOOGLEFINANCE(""nse:""&amp;B14,""marketcap"")"),69124454480)</f>
        <v>69124454480</v>
      </c>
      <c r="B14" s="110" t="s">
        <v>207</v>
      </c>
      <c r="C14" s="88">
        <f ca="1">IFERROR(__xludf.DUMMYFUNCTION("GOOGLEFINANCE(""nse:""&amp;B14,""price"")"),1031.9)</f>
        <v>1031.9000000000001</v>
      </c>
      <c r="D14" s="110">
        <v>-3.51</v>
      </c>
      <c r="E14" s="105">
        <v>43734</v>
      </c>
      <c r="F14" s="91">
        <v>17620</v>
      </c>
      <c r="G14" s="106">
        <v>1172</v>
      </c>
      <c r="H14" s="107"/>
      <c r="I14" s="107"/>
      <c r="J14" s="107">
        <f>(AHLUCONT!C4/AHLUCONT!R5)^(1/12)-1</f>
        <v>6.5213732253611045E-2</v>
      </c>
      <c r="K14" s="107">
        <f>(AHLUCONT!C4/AHLUCONT!M5)^(1/9)-1</f>
        <v>-1.0429968000118306E-2</v>
      </c>
      <c r="L14" s="107">
        <f>(AHLUCONT!C13/AHLUCONT!R16)^(1/12)-1</f>
        <v>8.7613403906889209E-2</v>
      </c>
      <c r="M14" s="107">
        <f>(AHLUCONT!C13/AHLUCONT!M13)^(1/9)-1</f>
        <v>5.6059639711121267E-3</v>
      </c>
      <c r="N14" s="107">
        <f>(320/408)^(1/1)-1</f>
        <v>-0.21568627450980393</v>
      </c>
      <c r="O14" s="107">
        <f>(AHLUCONT!C13/AHLUCONT!D13)^(1/1)-1</f>
        <v>1.8860101171648269E-2</v>
      </c>
      <c r="P14" s="108">
        <f>AHLUCONT!C15</f>
        <v>12.84</v>
      </c>
      <c r="Q14" s="95">
        <f t="shared" si="4"/>
        <v>13.082163699043964</v>
      </c>
      <c r="R14" s="96">
        <f t="shared" ca="1" si="5"/>
        <v>78.878389212895314</v>
      </c>
      <c r="S14" s="97">
        <f>AHLUCONT!C18</f>
        <v>6.03</v>
      </c>
      <c r="T14" s="90">
        <f>AHLUCONT!C13/AHLUCONT!D14</f>
        <v>6.4190924018510227</v>
      </c>
      <c r="U14" s="97">
        <f>(AHLUCONT!C4+AHLUCONT!C7)/(-AHLUCONT!C8)</f>
        <v>5.4714991023339268</v>
      </c>
      <c r="V14" s="107">
        <f ca="1">(C14/AHLUCONT!U3)^(1/11)-1</f>
        <v>0.23469887329553152</v>
      </c>
      <c r="W14" s="107">
        <f ca="1">(C14/AHLUCONT!U6)^(1/8)-1</f>
        <v>0.23213862812425545</v>
      </c>
      <c r="X14" s="108">
        <f>AHLUCONT!V16</f>
        <v>2.8571428571428572</v>
      </c>
      <c r="Y14" s="98" t="e">
        <f>(100*0.03)/#REF!</f>
        <v>#REF!</v>
      </c>
      <c r="Z14" s="85">
        <f t="shared" ca="1" si="6"/>
        <v>1.2677743675786377E-2</v>
      </c>
    </row>
    <row r="15" spans="1:26" ht="15.75" customHeight="1" x14ac:dyDescent="0.25">
      <c r="A15" s="73">
        <f ca="1">IFERROR(__xludf.DUMMYFUNCTION("GOOGLEFINANCE(""nse:""&amp;B15,""marketcap"")"),48428420838)</f>
        <v>48428420838</v>
      </c>
      <c r="B15" s="74" t="s">
        <v>75</v>
      </c>
      <c r="C15" s="75">
        <f ca="1">IFERROR(__xludf.DUMMYFUNCTION("GOOGLEFINANCE(""nse:""&amp;B15,""price"")"),203)</f>
        <v>203</v>
      </c>
      <c r="D15" s="74">
        <v>-1.45</v>
      </c>
      <c r="E15" s="76">
        <v>43734</v>
      </c>
      <c r="F15" s="78">
        <v>21267</v>
      </c>
      <c r="G15" s="115">
        <v>1144</v>
      </c>
      <c r="H15" s="79"/>
      <c r="I15" s="79"/>
      <c r="J15" s="79">
        <f>(PURVA!C5/PURVA!Q5)^(1/11)-1</f>
        <v>8.6893095237105644E-2</v>
      </c>
      <c r="K15" s="79">
        <f>(PURVA!C5/PURVA!O5)^(1/9)-1</f>
        <v>0.12157369742936996</v>
      </c>
      <c r="L15" s="79">
        <f>(PURVA!C20/PURVA!Q13)^(1/11)-1</f>
        <v>-7.3215444525460693E-2</v>
      </c>
      <c r="M15" s="79">
        <f>(PURVA!C20/PURVA!O13)^(1/9)-1</f>
        <v>-4.3632645566450856E-2</v>
      </c>
      <c r="N15" s="79">
        <f>(646/395)^(1/1)-1</f>
        <v>0.6354430379746836</v>
      </c>
      <c r="O15" s="79">
        <f>(44/27)^(1/1)-1</f>
        <v>0.62962962962962954</v>
      </c>
      <c r="P15" s="80">
        <v>4.82</v>
      </c>
      <c r="Q15" s="81">
        <f t="shared" si="4"/>
        <v>7.8548148148148149</v>
      </c>
      <c r="R15" s="82">
        <f t="shared" ca="1" si="5"/>
        <v>25.84402112410411</v>
      </c>
      <c r="S15" s="103">
        <f>(100*44)/646</f>
        <v>6.8111455108359129</v>
      </c>
      <c r="T15" s="103">
        <f>PURVA!C20/PURVA!C47</f>
        <v>0.77065767284991571</v>
      </c>
      <c r="U15" s="83">
        <f>(646-580)/89</f>
        <v>0.7415730337078652</v>
      </c>
      <c r="V15" s="79">
        <f ca="1">(C15/PURVA!U3)^(1/12)-1</f>
        <v>-5.4756727266348282E-2</v>
      </c>
      <c r="W15" s="79">
        <f ca="1">(C15/PURVA!U6)^(1/9)-1</f>
        <v>9.1917436526752994E-2</v>
      </c>
      <c r="X15" s="74">
        <f>PURVA!U15</f>
        <v>3.7598997493734339</v>
      </c>
      <c r="Y15" s="84" t="e">
        <f>(100*1)/#REF!</f>
        <v>#REF!</v>
      </c>
      <c r="Z15" s="85">
        <f t="shared" ca="1" si="6"/>
        <v>3.8693669038496623E-2</v>
      </c>
    </row>
    <row r="16" spans="1:26" ht="15.75" customHeight="1" x14ac:dyDescent="0.25">
      <c r="A16" s="86">
        <f ca="1">IFERROR(__xludf.DUMMYFUNCTION("GOOGLEFINANCE(""nse:""&amp;B16,""marketcap"")"),84718946662)</f>
        <v>84718946662</v>
      </c>
      <c r="B16" s="116" t="s">
        <v>22</v>
      </c>
      <c r="C16" s="88">
        <f ca="1">IFERROR(__xludf.DUMMYFUNCTION("GOOGLEFINANCE(""nse:""&amp;B16,""price"")"),546.1)</f>
        <v>546.1</v>
      </c>
      <c r="D16" s="116">
        <v>0.41</v>
      </c>
      <c r="E16" s="101">
        <v>43734</v>
      </c>
      <c r="F16" s="116">
        <v>6539</v>
      </c>
      <c r="G16" s="116">
        <v>1187</v>
      </c>
      <c r="H16" s="102"/>
      <c r="I16" s="102"/>
      <c r="J16" s="102"/>
      <c r="K16" s="102">
        <f>(Realty!$F10/3206)^(1/9)-1</f>
        <v>0.28334537323513409</v>
      </c>
      <c r="L16" s="102"/>
      <c r="M16" s="102">
        <f>(Realty!$G10/794)^(1/9)-1</f>
        <v>0.15117571512266426</v>
      </c>
      <c r="N16" s="102">
        <f>(120/176)^(1/1)-1</f>
        <v>-0.31818181818181823</v>
      </c>
      <c r="O16" s="102">
        <f>(13/27)^(1/1)-1</f>
        <v>-0.5185185185185186</v>
      </c>
      <c r="P16" s="95">
        <v>23.32</v>
      </c>
      <c r="Q16" s="95">
        <f t="shared" si="4"/>
        <v>11.228148148148147</v>
      </c>
      <c r="R16" s="96">
        <f t="shared" ca="1" si="5"/>
        <v>48.636693495184069</v>
      </c>
      <c r="S16" s="90">
        <f>(100*13)/120</f>
        <v>10.833333333333334</v>
      </c>
      <c r="T16" s="97">
        <f>Realty!$G10/514</f>
        <v>5.4844357976653697</v>
      </c>
      <c r="U16" s="97">
        <f>(120-107)/2.3</f>
        <v>5.6521739130434785</v>
      </c>
      <c r="V16" s="102"/>
      <c r="W16" s="107">
        <f ca="1">(Realty!$C10/85)^(1/9)-1</f>
        <v>0.30005888889062193</v>
      </c>
      <c r="X16" s="116"/>
      <c r="Y16" s="98">
        <f>(100*6)/Realty!$P10</f>
        <v>34.052213393870602</v>
      </c>
      <c r="Z16" s="85">
        <f t="shared" ca="1" si="6"/>
        <v>2.0560608218546321E-2</v>
      </c>
    </row>
    <row r="17" spans="1:26" ht="15.75" customHeight="1" x14ac:dyDescent="0.25">
      <c r="A17" s="73">
        <f ca="1">IFERROR(__xludf.DUMMYFUNCTION("GOOGLEFINANCE(""nse:""&amp;B17,""marketcap"")"),21908655533)</f>
        <v>21908655533</v>
      </c>
      <c r="B17" s="74" t="s">
        <v>208</v>
      </c>
      <c r="C17" s="75">
        <f ca="1">IFERROR(__xludf.DUMMYFUNCTION("GOOGLEFINANCE(""nse:""&amp;B17,""price"")"),259.95)</f>
        <v>259.95</v>
      </c>
      <c r="D17" s="74">
        <v>-1.96</v>
      </c>
      <c r="E17" s="76">
        <v>43334</v>
      </c>
      <c r="F17" s="78">
        <v>18336</v>
      </c>
      <c r="G17" s="115">
        <v>973</v>
      </c>
      <c r="H17" s="79"/>
      <c r="I17" s="79"/>
      <c r="J17" s="79"/>
      <c r="K17" s="79">
        <f>(F17/CAPACITE!G6)^(1/5)-1</f>
        <v>0.50944658286149158</v>
      </c>
      <c r="L17" s="79"/>
      <c r="M17" s="79">
        <f>(G17/CAPACITE!G27)^(1/5)-1</f>
        <v>0.57624081197503707</v>
      </c>
      <c r="N17" s="79">
        <f>(418/414)^(1/1)-1</f>
        <v>9.6618357487923134E-3</v>
      </c>
      <c r="O17" s="79">
        <f>(23.6/22.9)^(1/1)-1</f>
        <v>3.0567685589519833E-2</v>
      </c>
      <c r="P17" s="80">
        <v>14.33</v>
      </c>
      <c r="Q17" s="81">
        <f t="shared" si="4"/>
        <v>14.76803493449782</v>
      </c>
      <c r="R17" s="82">
        <f t="shared" ca="1" si="5"/>
        <v>17.602206465043107</v>
      </c>
      <c r="S17" s="103">
        <f>(100*23.6)/418</f>
        <v>5.6459330143540667</v>
      </c>
      <c r="T17" s="103">
        <f>CAPACITE!C27/CAPACITE!C55</f>
        <v>1.1718556701030929</v>
      </c>
      <c r="U17" s="103">
        <f>(418-381)/15</f>
        <v>2.4666666666666668</v>
      </c>
      <c r="V17" s="79"/>
      <c r="W17" s="79"/>
      <c r="X17" s="74"/>
      <c r="Y17" s="84" t="e">
        <f>(100*1)/#REF!</f>
        <v>#REF!</v>
      </c>
      <c r="Z17" s="85">
        <f t="shared" ca="1" si="6"/>
        <v>5.6811059567216084E-2</v>
      </c>
    </row>
    <row r="18" spans="1:26" ht="15.75" customHeight="1" x14ac:dyDescent="0.25">
      <c r="A18" s="86">
        <f ca="1">IFERROR(__xludf.DUMMYFUNCTION("GOOGLEFINANCE(""nse:""&amp;B18,""marketcap"")"),104755308393)</f>
        <v>104755308393</v>
      </c>
      <c r="B18" s="116" t="s">
        <v>18</v>
      </c>
      <c r="C18" s="88">
        <f ca="1">IFERROR(__xludf.DUMMYFUNCTION("GOOGLEFINANCE(""nse:""&amp;B18,""price"")"),306.4)</f>
        <v>306.39999999999998</v>
      </c>
      <c r="D18" s="116">
        <v>-0.6</v>
      </c>
      <c r="E18" s="101">
        <v>43734</v>
      </c>
      <c r="F18" s="116">
        <v>5238</v>
      </c>
      <c r="G18" s="116">
        <v>665</v>
      </c>
      <c r="H18" s="102"/>
      <c r="I18" s="102"/>
      <c r="J18" s="102"/>
      <c r="K18" s="102"/>
      <c r="L18" s="102"/>
      <c r="M18" s="102"/>
      <c r="N18" s="102">
        <f>(101/102)^(1/1)-1</f>
        <v>-9.8039215686274161E-3</v>
      </c>
      <c r="O18" s="102">
        <f>(8/4)^(1/1)-1</f>
        <v>1</v>
      </c>
      <c r="P18" s="95">
        <v>2.33</v>
      </c>
      <c r="Q18" s="95">
        <f t="shared" si="4"/>
        <v>4.66</v>
      </c>
      <c r="R18" s="96">
        <f t="shared" ca="1" si="5"/>
        <v>65.751072961373382</v>
      </c>
      <c r="S18" s="97">
        <f>(100*8)/101</f>
        <v>7.9207920792079207</v>
      </c>
      <c r="T18" s="97">
        <f>Realty!$G13/590</f>
        <v>1.6847457627118645</v>
      </c>
      <c r="U18" s="109">
        <f>(101-93)/13</f>
        <v>0.61538461538461542</v>
      </c>
      <c r="V18" s="102"/>
      <c r="W18" s="102">
        <f ca="1">(Realty!$C13/44)^(1/9)-1</f>
        <v>0.29187548494750515</v>
      </c>
      <c r="X18" s="116"/>
      <c r="Y18" s="98">
        <f>(100*0.24)/Realty!$P13</f>
        <v>2.4120603015075379</v>
      </c>
    </row>
    <row r="19" spans="1:26" ht="15.75" customHeight="1" x14ac:dyDescent="0.25">
      <c r="A19" s="73">
        <f ca="1">IFERROR(__xludf.DUMMYFUNCTION("GOOGLEFINANCE(""nse:""&amp;B19,""marketcap"")"),12105527000)</f>
        <v>12105527000</v>
      </c>
      <c r="B19" s="117" t="s">
        <v>225</v>
      </c>
      <c r="C19" s="75">
        <f ca="1">IFERROR(__xludf.DUMMYFUNCTION("GOOGLEFINANCE(""nse:""&amp;B19,""price"")"),95)</f>
        <v>95</v>
      </c>
      <c r="D19" s="117">
        <v>-0.8</v>
      </c>
      <c r="E19" s="117" t="s">
        <v>259</v>
      </c>
      <c r="F19" s="117"/>
      <c r="G19" s="117"/>
      <c r="H19" s="79"/>
      <c r="I19" s="79"/>
      <c r="J19" s="79"/>
      <c r="K19" s="79"/>
      <c r="L19" s="79"/>
      <c r="M19" s="79"/>
      <c r="N19" s="79"/>
      <c r="O19" s="79"/>
      <c r="P19" s="80"/>
      <c r="Q19" s="81">
        <f t="shared" si="4"/>
        <v>0</v>
      </c>
      <c r="R19" s="115"/>
      <c r="S19" s="117"/>
      <c r="T19" s="115"/>
      <c r="U19" s="115"/>
      <c r="V19" s="79"/>
      <c r="W19" s="79"/>
      <c r="X19" s="117"/>
      <c r="Y19" s="117"/>
    </row>
    <row r="20" spans="1:26" ht="15.75" customHeight="1" x14ac:dyDescent="0.25">
      <c r="A20" s="86">
        <f ca="1">IFERROR(__xludf.DUMMYFUNCTION("GOOGLEFINANCE(""nse:""&amp;B20,""marketcap"")"),27764950987)</f>
        <v>27764950987</v>
      </c>
      <c r="B20" s="110" t="s">
        <v>79</v>
      </c>
      <c r="C20" s="88">
        <f ca="1">IFERROR(__xludf.DUMMYFUNCTION("GOOGLEFINANCE(""nse:""&amp;B20,""price"")"),276)</f>
        <v>276</v>
      </c>
      <c r="D20" s="110">
        <v>0.16</v>
      </c>
      <c r="E20" s="105">
        <v>43734</v>
      </c>
      <c r="F20" s="106">
        <v>3506</v>
      </c>
      <c r="G20" s="106">
        <v>138</v>
      </c>
      <c r="H20" s="107"/>
      <c r="I20" s="107"/>
      <c r="J20" s="107">
        <f>(ASHIANA!C4/ASHIANA!V6)^(1/19)-1</f>
        <v>0.20507963485200564</v>
      </c>
      <c r="K20" s="107">
        <f>(ASHIANA!C4/ASHIANA!K5)^(1/9)-1</f>
        <v>0.14175202162113298</v>
      </c>
      <c r="L20" s="107">
        <f>(ASHIANA!C13/ASHIANA!V15)^(1/19)-1</f>
        <v>0.29044083760235351</v>
      </c>
      <c r="M20" s="107">
        <f>(ASHIANA!C13/ASHIANA!K15)^(1/9)-1</f>
        <v>7.3602930139149425E-2</v>
      </c>
      <c r="N20" s="107">
        <f>(67/140)^(1/1)-1</f>
        <v>-0.52142857142857135</v>
      </c>
      <c r="O20" s="107">
        <f>(-6/16)^(1/1)-1</f>
        <v>-1.375</v>
      </c>
      <c r="P20" s="108">
        <v>1.87</v>
      </c>
      <c r="Q20" s="95">
        <f t="shared" si="4"/>
        <v>-0.70124999999999993</v>
      </c>
      <c r="R20" s="106">
        <f t="shared" ref="R20:R22" ca="1" si="7">C20/Q20</f>
        <v>-393.5828877005348</v>
      </c>
      <c r="S20" s="118">
        <f>(100*5.5)/67</f>
        <v>8.2089552238805972</v>
      </c>
      <c r="T20" s="118">
        <f>Realty!$G16/205</f>
        <v>5.7902439024390242</v>
      </c>
      <c r="U20" s="119">
        <f>(67-75)/3.4</f>
        <v>-2.3529411764705883</v>
      </c>
      <c r="V20" s="107">
        <f ca="1">((C20*10)/ASHIANA!Z11)^(1/18)-1</f>
        <v>0.49429976110938822</v>
      </c>
      <c r="W20" s="107">
        <f ca="1">(Realty!$C16/5.83)^(1/9)-1</f>
        <v>0.65602568754279744</v>
      </c>
      <c r="X20" s="110">
        <f>ASHIANA!Z31</f>
        <v>2575</v>
      </c>
      <c r="Y20" s="98">
        <f>(100*0.25)/Realty!$P16</f>
        <v>1.0720411663807889</v>
      </c>
    </row>
    <row r="21" spans="1:26" ht="15.75" customHeight="1" x14ac:dyDescent="0.25">
      <c r="A21" s="73" t="str">
        <f ca="1">IFERROR(__xludf.DUMMYFUNCTION("GOOGLEFINANCE(""nse:""&amp;B21,""marketcap"")"),"#N/A")</f>
        <v>#N/A</v>
      </c>
      <c r="B21" s="117" t="s">
        <v>82</v>
      </c>
      <c r="C21" s="75" t="str">
        <f ca="1">IFERROR(__xludf.DUMMYFUNCTION("GOOGLEFINANCE(""nse:""&amp;B21,""price"")"),"#N/A")</f>
        <v>#N/A</v>
      </c>
      <c r="D21" s="117">
        <v>-0.86</v>
      </c>
      <c r="E21" s="76">
        <v>43734</v>
      </c>
      <c r="F21" s="120">
        <v>13710</v>
      </c>
      <c r="G21" s="117">
        <v>-7929</v>
      </c>
      <c r="H21" s="79"/>
      <c r="I21" s="79"/>
      <c r="J21" s="79"/>
      <c r="K21" s="79"/>
      <c r="L21" s="79"/>
      <c r="M21" s="79"/>
      <c r="N21" s="79">
        <f>(317/222)^(1/1)-1</f>
        <v>0.427927927927928</v>
      </c>
      <c r="O21" s="79">
        <v>-0.21</v>
      </c>
      <c r="P21" s="80">
        <v>-3.06</v>
      </c>
      <c r="Q21" s="81">
        <f t="shared" si="4"/>
        <v>-2.4174000000000002</v>
      </c>
      <c r="R21" s="115" t="e">
        <f t="shared" ca="1" si="7"/>
        <v>#VALUE!</v>
      </c>
      <c r="S21" s="121">
        <f>(100*-112)/317</f>
        <v>-35.331230283911673</v>
      </c>
      <c r="T21" s="121">
        <f>Realty!$G3/5233</f>
        <v>2.5048729218421557</v>
      </c>
      <c r="U21" s="121">
        <f>(317-427)/1248</f>
        <v>-8.8141025641025647E-2</v>
      </c>
      <c r="V21" s="79"/>
      <c r="W21" s="79">
        <f ca="1">(Realty!$C3/28)^(1/9)-1</f>
        <v>0.46221935139288939</v>
      </c>
      <c r="X21" s="117"/>
      <c r="Y21" s="84"/>
      <c r="Z21" s="122">
        <f ca="1">(100*Realty!$Q3)/Realty!$C3</f>
        <v>1.9255903870209619</v>
      </c>
    </row>
    <row r="22" spans="1:26" ht="15.75" customHeight="1" x14ac:dyDescent="0.25">
      <c r="A22" s="86">
        <f ca="1">IFERROR(__xludf.DUMMYFUNCTION("GOOGLEFINANCE(""nse:""&amp;B22,""marketcap"")"),24952688051)</f>
        <v>24952688051</v>
      </c>
      <c r="B22" s="104" t="s">
        <v>81</v>
      </c>
      <c r="C22" s="88">
        <f ca="1">IFERROR(__xludf.DUMMYFUNCTION("GOOGLEFINANCE(""nse:""&amp;B22,""price"")"),706.5)</f>
        <v>706.5</v>
      </c>
      <c r="D22" s="104">
        <v>-2.68</v>
      </c>
      <c r="E22" s="105">
        <v>43734</v>
      </c>
      <c r="F22" s="104">
        <v>4010</v>
      </c>
      <c r="G22" s="104">
        <v>747</v>
      </c>
      <c r="H22" s="107"/>
      <c r="I22" s="107"/>
      <c r="J22" s="107"/>
      <c r="K22" s="107"/>
      <c r="L22" s="107"/>
      <c r="M22" s="107"/>
      <c r="N22" s="107">
        <f>(96/40)^(1/1)-1</f>
        <v>1.4</v>
      </c>
      <c r="O22" s="107">
        <f>(10/12)^(1/1)-1</f>
        <v>-0.16666666666666663</v>
      </c>
      <c r="P22" s="108">
        <v>21.05</v>
      </c>
      <c r="Q22" s="95">
        <f t="shared" si="4"/>
        <v>17.541666666666668</v>
      </c>
      <c r="R22" s="106">
        <f t="shared" ca="1" si="7"/>
        <v>40.27553444180522</v>
      </c>
      <c r="S22" s="91">
        <f>(100*10.3)/96</f>
        <v>10.729166666666666</v>
      </c>
      <c r="T22" s="118">
        <f>Realty!$G15/355</f>
        <v>3.2225352112676058</v>
      </c>
      <c r="U22" s="119">
        <f>(96-82)/20</f>
        <v>0.7</v>
      </c>
      <c r="V22" s="107"/>
      <c r="W22" s="107">
        <f ca="1">(Realty!$C15/96)^(1/9)-1</f>
        <v>8.6766116572867036E-2</v>
      </c>
      <c r="X22" s="104"/>
      <c r="Y22" s="98">
        <f>(100*3.3)/Realty!$P15</f>
        <v>68.46473029045643</v>
      </c>
      <c r="Z22" s="37">
        <f ca="1">(100*Realty!$Q15)/Realty!$C15</f>
        <v>3.8693669038496625</v>
      </c>
    </row>
    <row r="23" spans="1:26" ht="15.75" customHeight="1" x14ac:dyDescent="0.25">
      <c r="A23" s="73">
        <f ca="1">IFERROR(__xludf.DUMMYFUNCTION("GOOGLEFINANCE(""nse:""&amp;B23,""marketcap"")"),26928909160)</f>
        <v>26928909160</v>
      </c>
      <c r="B23" s="117" t="s">
        <v>80</v>
      </c>
      <c r="C23" s="75">
        <f ca="1">IFERROR(__xludf.DUMMYFUNCTION("GOOGLEFINANCE(""nse:""&amp;B23,""price"")"),594.3)</f>
        <v>594.29999999999995</v>
      </c>
      <c r="D23" s="117">
        <v>0.3</v>
      </c>
      <c r="E23" s="117" t="s">
        <v>259</v>
      </c>
      <c r="F23" s="117"/>
      <c r="G23" s="117"/>
      <c r="H23" s="79"/>
      <c r="I23" s="79"/>
      <c r="J23" s="79"/>
      <c r="K23" s="79"/>
      <c r="L23" s="79"/>
      <c r="M23" s="79"/>
      <c r="N23" s="79"/>
      <c r="O23" s="79"/>
      <c r="P23" s="80"/>
      <c r="Q23" s="80"/>
      <c r="R23" s="115"/>
      <c r="S23" s="115"/>
      <c r="T23" s="115"/>
      <c r="U23" s="115"/>
      <c r="V23" s="79"/>
      <c r="W23" s="79"/>
      <c r="X23" s="117"/>
      <c r="Y23" s="84"/>
    </row>
    <row r="24" spans="1:26" ht="15.75" customHeight="1" x14ac:dyDescent="0.25">
      <c r="A24" s="86" t="str">
        <f ca="1">IFERROR(__xludf.DUMMYFUNCTION("GOOGLEFINANCE(""nse:""&amp;B24,""marketcap"")"),"#N/A")</f>
        <v>#N/A</v>
      </c>
      <c r="B24" s="104" t="s">
        <v>223</v>
      </c>
      <c r="C24" s="88" t="str">
        <f ca="1">IFERROR(__xludf.DUMMYFUNCTION("GOOGLEFINANCE(""nse:""&amp;B24,""price"")"),"#N/A")</f>
        <v>#N/A</v>
      </c>
      <c r="D24" s="104">
        <v>-1.86</v>
      </c>
      <c r="E24" s="104" t="s">
        <v>259</v>
      </c>
      <c r="F24" s="104"/>
      <c r="G24" s="104"/>
      <c r="H24" s="107"/>
      <c r="I24" s="107"/>
      <c r="J24" s="107"/>
      <c r="K24" s="107"/>
      <c r="L24" s="107"/>
      <c r="M24" s="107"/>
      <c r="N24" s="107"/>
      <c r="O24" s="107"/>
      <c r="P24" s="108"/>
      <c r="Q24" s="108"/>
      <c r="R24" s="106"/>
      <c r="S24" s="106"/>
      <c r="T24" s="106"/>
      <c r="U24" s="106"/>
      <c r="V24" s="107"/>
      <c r="W24" s="107"/>
      <c r="X24" s="104"/>
      <c r="Y24" s="104"/>
    </row>
    <row r="25" spans="1:26" ht="15.75" customHeight="1" x14ac:dyDescent="0.25">
      <c r="A25" s="73">
        <f ca="1">IFERROR(__xludf.DUMMYFUNCTION("GOOGLEFINANCE(""nse:""&amp;B25,""marketcap"")"),24306358000)</f>
        <v>24306358000</v>
      </c>
      <c r="B25" s="117" t="s">
        <v>83</v>
      </c>
      <c r="C25" s="75">
        <f ca="1">IFERROR(__xludf.DUMMYFUNCTION("GOOGLEFINANCE(""nse:""&amp;B25,""price"")"),475)</f>
        <v>475</v>
      </c>
      <c r="D25" s="117">
        <v>-0.74</v>
      </c>
      <c r="E25" s="117" t="s">
        <v>259</v>
      </c>
      <c r="F25" s="117"/>
      <c r="G25" s="117"/>
      <c r="H25" s="79"/>
      <c r="I25" s="79"/>
      <c r="J25" s="79"/>
      <c r="K25" s="79"/>
      <c r="L25" s="79"/>
      <c r="M25" s="79"/>
      <c r="N25" s="79"/>
      <c r="O25" s="79"/>
      <c r="P25" s="80"/>
      <c r="Q25" s="80"/>
      <c r="R25" s="115"/>
      <c r="S25" s="115"/>
      <c r="T25" s="115"/>
      <c r="U25" s="115"/>
      <c r="V25" s="79"/>
      <c r="W25" s="79"/>
      <c r="X25" s="117"/>
      <c r="Y25" s="84"/>
    </row>
    <row r="26" spans="1:26" ht="15.75" customHeight="1" x14ac:dyDescent="0.25">
      <c r="A26" s="86" t="str">
        <f ca="1">IFERROR(__xludf.DUMMYFUNCTION("GOOGLEFINANCE(""nse:""&amp;B26,""marketcap"")"),"#N/A")</f>
        <v>#N/A</v>
      </c>
      <c r="B26" s="104" t="s">
        <v>219</v>
      </c>
      <c r="C26" s="88" t="str">
        <f ca="1">IFERROR(__xludf.DUMMYFUNCTION("GOOGLEFINANCE(""nse:""&amp;B26,""price"")"),"#N/A")</f>
        <v>#N/A</v>
      </c>
      <c r="D26" s="104">
        <v>-2.0099999999999998</v>
      </c>
      <c r="E26" s="104" t="s">
        <v>259</v>
      </c>
      <c r="F26" s="104"/>
      <c r="G26" s="104"/>
      <c r="H26" s="107"/>
      <c r="I26" s="107"/>
      <c r="J26" s="107"/>
      <c r="K26" s="107"/>
      <c r="L26" s="107"/>
      <c r="M26" s="107"/>
      <c r="N26" s="107"/>
      <c r="O26" s="107"/>
      <c r="P26" s="108"/>
      <c r="Q26" s="108"/>
      <c r="R26" s="106"/>
      <c r="S26" s="106"/>
      <c r="T26" s="106"/>
      <c r="U26" s="106"/>
      <c r="V26" s="107"/>
      <c r="W26" s="107"/>
      <c r="X26" s="104"/>
      <c r="Y26" s="98"/>
    </row>
    <row r="27" spans="1:26" ht="15.75" customHeight="1" x14ac:dyDescent="0.25">
      <c r="A27" s="73">
        <f ca="1">IFERROR(__xludf.DUMMYFUNCTION("GOOGLEFINANCE(""nse:""&amp;B27,""marketcap"")"),110005086529)</f>
        <v>110005086529</v>
      </c>
      <c r="B27" s="117" t="s">
        <v>20</v>
      </c>
      <c r="C27" s="75">
        <f ca="1">IFERROR(__xludf.DUMMYFUNCTION("GOOGLEFINANCE(""nse:""&amp;B27,""price"")"),204.05)</f>
        <v>204.05</v>
      </c>
      <c r="D27" s="117">
        <v>-5.81</v>
      </c>
      <c r="E27" s="117" t="s">
        <v>259</v>
      </c>
      <c r="F27" s="117"/>
      <c r="G27" s="117"/>
      <c r="H27" s="79"/>
      <c r="I27" s="79"/>
      <c r="J27" s="79"/>
      <c r="K27" s="79"/>
      <c r="L27" s="79"/>
      <c r="M27" s="79"/>
      <c r="N27" s="79"/>
      <c r="O27" s="79"/>
      <c r="P27" s="80"/>
      <c r="Q27" s="80"/>
      <c r="R27" s="115"/>
      <c r="S27" s="115"/>
      <c r="T27" s="115"/>
      <c r="U27" s="115"/>
      <c r="V27" s="79"/>
      <c r="W27" s="79"/>
      <c r="X27" s="117"/>
      <c r="Y27" s="84"/>
    </row>
    <row r="28" spans="1:26" ht="15.75" customHeight="1" x14ac:dyDescent="0.25">
      <c r="A28" s="86">
        <f ca="1">IFERROR(__xludf.DUMMYFUNCTION("GOOGLEFINANCE(""nse:""&amp;B28,""marketcap"")"),13478205637)</f>
        <v>13478205637</v>
      </c>
      <c r="B28" s="104" t="s">
        <v>217</v>
      </c>
      <c r="C28" s="88">
        <f ca="1">IFERROR(__xludf.DUMMYFUNCTION("GOOGLEFINANCE(""nse:""&amp;B28,""price"")"),60.9)</f>
        <v>60.9</v>
      </c>
      <c r="D28" s="104">
        <v>-3.09</v>
      </c>
      <c r="E28" s="105">
        <v>43734</v>
      </c>
      <c r="F28" s="106">
        <v>5604</v>
      </c>
      <c r="G28" s="106">
        <v>53</v>
      </c>
      <c r="H28" s="107"/>
      <c r="I28" s="107"/>
      <c r="J28" s="107"/>
      <c r="K28" s="107"/>
      <c r="L28" s="107"/>
      <c r="M28" s="107"/>
      <c r="N28" s="107">
        <f>(141/143)^(1/1)-1</f>
        <v>-1.3986013986013957E-2</v>
      </c>
      <c r="O28" s="107">
        <v>4</v>
      </c>
      <c r="P28" s="108">
        <v>0.39</v>
      </c>
      <c r="Q28" s="108">
        <f>(Realty!$P11*Realty!$O11)+Realty!$P11</f>
        <v>53.79301886792453</v>
      </c>
      <c r="R28" s="106">
        <f ca="1">C28/Q28</f>
        <v>1.1321171646738195</v>
      </c>
      <c r="S28" s="118">
        <f>(100*6)/141</f>
        <v>4.2553191489361701</v>
      </c>
      <c r="T28" s="119">
        <f>Realty!$G11/1782</f>
        <v>1.6672278338945006</v>
      </c>
      <c r="U28" s="119">
        <f>(142-136)/6</f>
        <v>1</v>
      </c>
      <c r="V28" s="107"/>
      <c r="W28" s="107">
        <f ca="1">(Realty!$C11/170)^(1/9)-1</f>
        <v>0.26418609823648209</v>
      </c>
      <c r="X28" s="104"/>
      <c r="Y28" s="98"/>
    </row>
    <row r="29" spans="1:26" ht="15.75" customHeight="1" x14ac:dyDescent="0.25">
      <c r="A29" s="73" t="str">
        <f ca="1">IFERROR(__xludf.DUMMYFUNCTION("GOOGLEFINANCE(""nse:""&amp;B29,""marketcap"")"),"#N/A")</f>
        <v>#N/A</v>
      </c>
      <c r="B29" s="117" t="s">
        <v>224</v>
      </c>
      <c r="C29" s="75" t="str">
        <f ca="1">IFERROR(__xludf.DUMMYFUNCTION("GOOGLEFINANCE(""nse:""&amp;B29,""price"")"),"#N/A")</f>
        <v>#N/A</v>
      </c>
      <c r="D29" s="117">
        <v>4.99</v>
      </c>
      <c r="E29" s="117" t="s">
        <v>259</v>
      </c>
      <c r="F29" s="117"/>
      <c r="G29" s="117"/>
      <c r="H29" s="79"/>
      <c r="I29" s="79"/>
      <c r="J29" s="79"/>
      <c r="K29" s="79"/>
      <c r="L29" s="79"/>
      <c r="M29" s="79"/>
      <c r="N29" s="79"/>
      <c r="O29" s="79"/>
      <c r="P29" s="80"/>
      <c r="Q29" s="80"/>
      <c r="R29" s="115"/>
      <c r="S29" s="117"/>
      <c r="T29" s="115"/>
      <c r="U29" s="115"/>
      <c r="V29" s="79"/>
      <c r="W29" s="79"/>
      <c r="X29" s="117"/>
      <c r="Y29" s="117"/>
    </row>
    <row r="30" spans="1:26" ht="15.75" customHeight="1" x14ac:dyDescent="0.25">
      <c r="A30" s="86">
        <f ca="1">IFERROR(__xludf.DUMMYFUNCTION("GOOGLEFINANCE(""nse:""&amp;B30,""marketcap"")"),60338896288)</f>
        <v>60338896288</v>
      </c>
      <c r="B30" s="104" t="s">
        <v>24</v>
      </c>
      <c r="C30" s="88">
        <f ca="1">IFERROR(__xludf.DUMMYFUNCTION("GOOGLEFINANCE(""nse:""&amp;B30,""price"")"),723.6)</f>
        <v>723.6</v>
      </c>
      <c r="D30" s="104">
        <v>-2.71</v>
      </c>
      <c r="E30" s="104" t="s">
        <v>259</v>
      </c>
      <c r="F30" s="104"/>
      <c r="G30" s="104"/>
      <c r="H30" s="107"/>
      <c r="I30" s="107"/>
      <c r="J30" s="107"/>
      <c r="K30" s="107"/>
      <c r="L30" s="107"/>
      <c r="M30" s="107"/>
      <c r="N30" s="107"/>
      <c r="O30" s="107"/>
      <c r="P30" s="108"/>
      <c r="Q30" s="108"/>
      <c r="R30" s="106"/>
      <c r="S30" s="106"/>
      <c r="T30" s="106"/>
      <c r="U30" s="106"/>
      <c r="V30" s="107"/>
      <c r="W30" s="107"/>
      <c r="X30" s="104"/>
      <c r="Y30" s="98"/>
    </row>
    <row r="31" spans="1:26" ht="15.75" customHeight="1" x14ac:dyDescent="0.25">
      <c r="A31" s="73">
        <f ca="1">IFERROR(__xludf.DUMMYFUNCTION("GOOGLEFINANCE(""nse:""&amp;B31,""marketcap"")"),14829899103)</f>
        <v>14829899103</v>
      </c>
      <c r="B31" s="117" t="s">
        <v>211</v>
      </c>
      <c r="C31" s="75">
        <f ca="1">IFERROR(__xludf.DUMMYFUNCTION("GOOGLEFINANCE(""nse:""&amp;B31,""price"")"),66)</f>
        <v>66</v>
      </c>
      <c r="D31" s="117">
        <v>-3.93</v>
      </c>
      <c r="E31" s="76">
        <v>43734</v>
      </c>
      <c r="F31" s="115">
        <v>7779</v>
      </c>
      <c r="G31" s="115">
        <v>-63</v>
      </c>
      <c r="H31" s="79"/>
      <c r="I31" s="79"/>
      <c r="J31" s="79"/>
      <c r="K31" s="79"/>
      <c r="L31" s="79"/>
      <c r="M31" s="79"/>
      <c r="N31" s="79">
        <f>(180/215)^(1/1)-1</f>
        <v>-0.16279069767441856</v>
      </c>
      <c r="O31" s="79">
        <v>-0.6</v>
      </c>
      <c r="P31" s="80">
        <v>-0.28999999999999998</v>
      </c>
      <c r="Q31" s="80">
        <f>(Realty!$P8*Realty!$O8)+Realty!$P8</f>
        <v>4.4666666666666668</v>
      </c>
      <c r="R31" s="115">
        <f t="shared" ref="R31:R32" ca="1" si="8">C31/Q31</f>
        <v>14.776119402985074</v>
      </c>
      <c r="S31" s="121">
        <f>(100*-24)/180</f>
        <v>-13.333333333333334</v>
      </c>
      <c r="T31" s="121">
        <f>Realty!$G8/225</f>
        <v>2.1644444444444444</v>
      </c>
      <c r="U31" s="121">
        <f>(180-188)/166</f>
        <v>-4.8192771084337352E-2</v>
      </c>
      <c r="V31" s="79"/>
      <c r="W31" s="79">
        <f ca="1">(Realty!$C8/12.2)^(1/9)-1</f>
        <v>0.2483146180246647</v>
      </c>
      <c r="X31" s="117"/>
      <c r="Y31" s="84"/>
      <c r="Z31" s="122">
        <f ca="1">(100*Realty!$Q8)/Realty!$C8</f>
        <v>4.974016332590943</v>
      </c>
    </row>
    <row r="32" spans="1:26" ht="15.75" customHeight="1" x14ac:dyDescent="0.25">
      <c r="A32" s="86">
        <f ca="1">IFERROR(__xludf.DUMMYFUNCTION("GOOGLEFINANCE(""nse:""&amp;B32,""marketcap"")"),5493199470)</f>
        <v>5493199470</v>
      </c>
      <c r="B32" s="110" t="s">
        <v>99</v>
      </c>
      <c r="C32" s="88">
        <f ca="1">IFERROR(__xludf.DUMMYFUNCTION("GOOGLEFINANCE(""nse:""&amp;B32,""price"")"),262.9)</f>
        <v>262.89999999999998</v>
      </c>
      <c r="D32" s="110">
        <v>-3.54</v>
      </c>
      <c r="E32" s="110" t="s">
        <v>259</v>
      </c>
      <c r="F32" s="106">
        <v>1565</v>
      </c>
      <c r="G32" s="106">
        <v>362</v>
      </c>
      <c r="H32" s="107"/>
      <c r="I32" s="107"/>
      <c r="J32" s="107">
        <f>(GEECEE!C4/GEECEE!P5)^(1/12)-1</f>
        <v>-8.8201259311282421E-3</v>
      </c>
      <c r="K32" s="107">
        <f>(GEECEE!C4/GEECEE!L5)^(1/9)-1</f>
        <v>3.8680401547735555E-2</v>
      </c>
      <c r="L32" s="107">
        <f>(GEECEE!C13/GEECEE!P17)^(1/12)-1</f>
        <v>4.024718130716165E-2</v>
      </c>
      <c r="M32" s="107">
        <f>(GEECEE!C13/GEECEE!L15)^(1/9)-1</f>
        <v>-0.12511204463348602</v>
      </c>
      <c r="N32" s="107">
        <f>(19/21)^(1/1)-1</f>
        <v>-9.5238095238095233E-2</v>
      </c>
      <c r="O32" s="107">
        <f>(63/60)^(1/1)-1</f>
        <v>5.0000000000000044E-2</v>
      </c>
      <c r="P32" s="108">
        <v>16.670000000000002</v>
      </c>
      <c r="Q32" s="108">
        <f>(Realty!$P18*Realty!$O18)+Realty!$P18</f>
        <v>4.66</v>
      </c>
      <c r="R32" s="106">
        <f t="shared" ca="1" si="8"/>
        <v>56.41630901287553</v>
      </c>
      <c r="S32" s="91">
        <f>(100*6.3)/19</f>
        <v>33.157894736842103</v>
      </c>
      <c r="T32" s="118">
        <f>GEECEE!C13/GEECEE!C14</f>
        <v>1.3844985501910065</v>
      </c>
      <c r="U32" s="118">
        <f>(19-10)</f>
        <v>9</v>
      </c>
      <c r="V32" s="107">
        <f ca="1">(C32/GEECEE!T3)^(1/12)-1</f>
        <v>9.3441802543530184E-2</v>
      </c>
      <c r="W32" s="107">
        <f ca="1">(C32/GEECEE!T7)^(1/8)-1</f>
        <v>0.14102769702932627</v>
      </c>
      <c r="X32" s="110">
        <f>GEECEE!AJ14</f>
        <v>15.15</v>
      </c>
      <c r="Y32" s="98"/>
    </row>
    <row r="33" spans="1:26" ht="15.75" customHeight="1" x14ac:dyDescent="0.25">
      <c r="A33" s="73">
        <f ca="1">IFERROR(__xludf.DUMMYFUNCTION("GOOGLEFINANCE(""nse:""&amp;B33,""marketcap"")"),14805202138)</f>
        <v>14805202138</v>
      </c>
      <c r="B33" s="117" t="s">
        <v>87</v>
      </c>
      <c r="C33" s="75">
        <f ca="1">IFERROR(__xludf.DUMMYFUNCTION("GOOGLEFINANCE(""nse:""&amp;B33,""price"")"),48.05)</f>
        <v>48.05</v>
      </c>
      <c r="D33" s="117">
        <v>-2.86</v>
      </c>
      <c r="E33" s="117" t="s">
        <v>259</v>
      </c>
      <c r="F33" s="117"/>
      <c r="G33" s="117"/>
      <c r="H33" s="79"/>
      <c r="I33" s="79"/>
      <c r="J33" s="79"/>
      <c r="K33" s="79"/>
      <c r="L33" s="79"/>
      <c r="M33" s="79"/>
      <c r="N33" s="79"/>
      <c r="O33" s="79"/>
      <c r="P33" s="80"/>
      <c r="Q33" s="80"/>
      <c r="R33" s="115"/>
      <c r="S33" s="115"/>
      <c r="T33" s="115"/>
      <c r="U33" s="115"/>
      <c r="V33" s="79"/>
      <c r="W33" s="79"/>
      <c r="X33" s="117"/>
      <c r="Y33" s="117"/>
    </row>
    <row r="34" spans="1:26" ht="15.75" customHeight="1" x14ac:dyDescent="0.25">
      <c r="A34" s="86">
        <f ca="1">IFERROR(__xludf.DUMMYFUNCTION("GOOGLEFINANCE(""nse:""&amp;B34,""marketcap"")"),1503217000)</f>
        <v>1503217000</v>
      </c>
      <c r="B34" s="104" t="s">
        <v>209</v>
      </c>
      <c r="C34" s="88">
        <f ca="1">IFERROR(__xludf.DUMMYFUNCTION("GOOGLEFINANCE(""nse:""&amp;B34,""price"")"),9.55)</f>
        <v>9.5500000000000007</v>
      </c>
      <c r="D34" s="104">
        <v>-4.59</v>
      </c>
      <c r="E34" s="105">
        <v>43734</v>
      </c>
      <c r="F34" s="106">
        <v>8544</v>
      </c>
      <c r="G34" s="106">
        <v>-1402</v>
      </c>
      <c r="H34" s="107"/>
      <c r="I34" s="107"/>
      <c r="J34" s="107"/>
      <c r="K34" s="107"/>
      <c r="L34" s="107"/>
      <c r="M34" s="107"/>
      <c r="N34" s="107">
        <f>(245/117)^(1/1)-1</f>
        <v>1.0940170940170941</v>
      </c>
      <c r="O34" s="107">
        <f>(31/33)^(1/1)-1</f>
        <v>-6.0606060606060552E-2</v>
      </c>
      <c r="P34" s="108">
        <v>-8.91</v>
      </c>
      <c r="Q34" s="108">
        <f>(Realty!$P7*Realty!$O7)+Realty!$P7</f>
        <v>10.568615384615386</v>
      </c>
      <c r="R34" s="106">
        <f ca="1">C34/Q34</f>
        <v>0.9036188424362408</v>
      </c>
      <c r="S34" s="119">
        <f>(100*-31)/245</f>
        <v>-12.653061224489797</v>
      </c>
      <c r="T34" s="119">
        <f>Realty!$G7/787</f>
        <v>5.6149936467598476</v>
      </c>
      <c r="U34" s="119">
        <f>(245-275)/41</f>
        <v>-0.73170731707317072</v>
      </c>
      <c r="V34" s="107"/>
      <c r="W34" s="107">
        <f ca="1">(Realty!$C7/24)^(1/9)-1</f>
        <v>0.51927561596129723</v>
      </c>
      <c r="X34" s="104"/>
      <c r="Y34" s="98">
        <v>0</v>
      </c>
      <c r="Z34" s="122">
        <f ca="1">(100*Realty!$Q7)/Realty!$C7</f>
        <v>1.0211222593831291</v>
      </c>
    </row>
    <row r="35" spans="1:26" ht="15.75" customHeight="1" x14ac:dyDescent="0.25">
      <c r="A35" s="73">
        <f ca="1">IFERROR(__xludf.DUMMYFUNCTION("GOOGLEFINANCE(""nse:""&amp;B35,""marketcap"")"),5115626653)</f>
        <v>5115626653</v>
      </c>
      <c r="B35" s="117" t="s">
        <v>100</v>
      </c>
      <c r="C35" s="75">
        <f ca="1">IFERROR(__xludf.DUMMYFUNCTION("GOOGLEFINANCE(""nse:""&amp;B35,""price"")"),11.85)</f>
        <v>11.85</v>
      </c>
      <c r="D35" s="117">
        <v>-1.1100000000000001</v>
      </c>
      <c r="E35" s="117" t="s">
        <v>259</v>
      </c>
      <c r="F35" s="117"/>
      <c r="G35" s="117"/>
      <c r="H35" s="79"/>
      <c r="I35" s="79"/>
      <c r="J35" s="79"/>
      <c r="K35" s="79"/>
      <c r="L35" s="79"/>
      <c r="M35" s="79"/>
      <c r="N35" s="79"/>
      <c r="O35" s="79"/>
      <c r="P35" s="80"/>
      <c r="Q35" s="80"/>
      <c r="R35" s="115"/>
      <c r="S35" s="115"/>
      <c r="T35" s="115"/>
      <c r="U35" s="115"/>
      <c r="V35" s="79"/>
      <c r="W35" s="79"/>
      <c r="X35" s="117"/>
      <c r="Y35" s="84"/>
    </row>
    <row r="36" spans="1:26" ht="15.75" customHeight="1" x14ac:dyDescent="0.25">
      <c r="A36" s="86">
        <f ca="1">IFERROR(__xludf.DUMMYFUNCTION("GOOGLEFINANCE(""nse:""&amp;B36,""marketcap"")"),2180418000)</f>
        <v>2180418000</v>
      </c>
      <c r="B36" s="110" t="s">
        <v>218</v>
      </c>
      <c r="C36" s="88">
        <f ca="1">IFERROR(__xludf.DUMMYFUNCTION("GOOGLEFINANCE(""nse:""&amp;B36,""price"")"),4.6)</f>
        <v>4.5999999999999996</v>
      </c>
      <c r="D36" s="110">
        <v>-0.18</v>
      </c>
      <c r="E36" s="105">
        <v>43734</v>
      </c>
      <c r="F36" s="106">
        <v>7358</v>
      </c>
      <c r="G36" s="106">
        <v>1063</v>
      </c>
      <c r="H36" s="107"/>
      <c r="I36" s="107"/>
      <c r="J36" s="107">
        <f>(HDIL!C4/HDIL!O5)^(1/11)-1</f>
        <v>-0.10405233512268164</v>
      </c>
      <c r="K36" s="107">
        <f>(HDIL!C4/HDIL!L5)^(1/9)-1</f>
        <v>-7.908224459017632E-2</v>
      </c>
      <c r="L36" s="107">
        <f>(HDIL!C13/HDIL!O14)^(1/11)-1</f>
        <v>-0.17266624210156278</v>
      </c>
      <c r="M36" s="107">
        <f>(HDIL!C13/HDIL!L15)^(1/9)-1</f>
        <v>-0.12726570489099542</v>
      </c>
      <c r="N36" s="107">
        <f>(97/172)^(1/1)-1</f>
        <v>-0.43604651162790697</v>
      </c>
      <c r="O36" s="107">
        <f>(8/25)^(1/1)-1</f>
        <v>-0.67999999999999994</v>
      </c>
      <c r="P36" s="108">
        <v>2.33</v>
      </c>
      <c r="Q36" s="108">
        <f>(Realty!$P9*Realty!$O9)+Realty!$P9</f>
        <v>8.3809634809634801</v>
      </c>
      <c r="R36" s="106">
        <f ca="1">C36/Q36</f>
        <v>0.54886290943140836</v>
      </c>
      <c r="S36" s="118">
        <f>(100*8)/97</f>
        <v>8.2474226804123703</v>
      </c>
      <c r="T36" s="119">
        <f>Realty!$G9/4740</f>
        <v>0.50864978902953584</v>
      </c>
      <c r="U36" s="119">
        <f>(97-86)/65</f>
        <v>0.16923076923076924</v>
      </c>
      <c r="V36" s="107"/>
      <c r="W36" s="107">
        <f ca="1">(Realty!$C9/73)^(1/9)-1</f>
        <v>0.20401181259875334</v>
      </c>
      <c r="X36" s="110">
        <f>HDIL!S16</f>
        <v>0.88105726872246692</v>
      </c>
      <c r="Y36" s="98"/>
      <c r="Z36" s="122">
        <f ca="1">(100*Realty!$Q9)/Realty!$C9</f>
        <v>2.1592073891442691</v>
      </c>
    </row>
    <row r="37" spans="1:26" ht="15.75" customHeight="1" x14ac:dyDescent="0.25">
      <c r="A37" s="73">
        <f ca="1">IFERROR(__xludf.DUMMYFUNCTION("GOOGLEFINANCE(""nse:""&amp;B37,""marketcap"")"),9748179102)</f>
        <v>9748179102</v>
      </c>
      <c r="B37" s="117" t="s">
        <v>95</v>
      </c>
      <c r="C37" s="75">
        <f ca="1">IFERROR(__xludf.DUMMYFUNCTION("GOOGLEFINANCE(""nse:""&amp;B37,""price"")"),121.95)</f>
        <v>121.95</v>
      </c>
      <c r="D37" s="117">
        <v>-2.4300000000000002</v>
      </c>
      <c r="E37" s="117" t="s">
        <v>259</v>
      </c>
      <c r="F37" s="117"/>
      <c r="G37" s="117"/>
      <c r="H37" s="79"/>
      <c r="I37" s="79"/>
      <c r="J37" s="79"/>
      <c r="K37" s="79"/>
      <c r="L37" s="79"/>
      <c r="M37" s="79"/>
      <c r="N37" s="79"/>
      <c r="O37" s="79"/>
      <c r="P37" s="80"/>
      <c r="Q37" s="80"/>
      <c r="R37" s="115"/>
      <c r="S37" s="115"/>
      <c r="T37" s="115"/>
      <c r="U37" s="115"/>
      <c r="V37" s="79"/>
      <c r="W37" s="79"/>
      <c r="X37" s="117"/>
      <c r="Y37" s="84"/>
    </row>
    <row r="38" spans="1:26" ht="15.75" customHeight="1" x14ac:dyDescent="0.25">
      <c r="A38" s="86" t="str">
        <f ca="1">IFERROR(__xludf.DUMMYFUNCTION("GOOGLEFINANCE(""nse:""&amp;B38,""marketcap"")"),"#N/A")</f>
        <v>#N/A</v>
      </c>
      <c r="B38" s="104" t="s">
        <v>210</v>
      </c>
      <c r="C38" s="88" t="str">
        <f ca="1">IFERROR(__xludf.DUMMYFUNCTION("GOOGLEFINANCE(""nse:""&amp;B38,""price"")"),"#N/A")</f>
        <v>#N/A</v>
      </c>
      <c r="D38" s="104">
        <v>3.19</v>
      </c>
      <c r="E38" s="104" t="s">
        <v>259</v>
      </c>
      <c r="F38" s="104"/>
      <c r="G38" s="104"/>
      <c r="H38" s="107"/>
      <c r="I38" s="107"/>
      <c r="J38" s="107"/>
      <c r="K38" s="107"/>
      <c r="L38" s="107"/>
      <c r="M38" s="107"/>
      <c r="N38" s="107"/>
      <c r="O38" s="107"/>
      <c r="P38" s="108"/>
      <c r="Q38" s="108"/>
      <c r="R38" s="106"/>
      <c r="S38" s="106"/>
      <c r="T38" s="106"/>
      <c r="U38" s="106"/>
      <c r="V38" s="107"/>
      <c r="W38" s="107"/>
      <c r="X38" s="104"/>
      <c r="Y38" s="98"/>
    </row>
    <row r="39" spans="1:26" ht="15.75" customHeight="1" x14ac:dyDescent="0.25">
      <c r="A39" s="73">
        <f ca="1">IFERROR(__xludf.DUMMYFUNCTION("GOOGLEFINANCE(""nse:""&amp;B39,""marketcap"")"),1384974976)</f>
        <v>1384974976</v>
      </c>
      <c r="B39" s="117" t="s">
        <v>127</v>
      </c>
      <c r="C39" s="75">
        <f ca="1">IFERROR(__xludf.DUMMYFUNCTION("GOOGLEFINANCE(""nse:""&amp;B39,""price"")"),34)</f>
        <v>34</v>
      </c>
      <c r="D39" s="117">
        <v>-2.58</v>
      </c>
      <c r="E39" s="117" t="s">
        <v>259</v>
      </c>
      <c r="F39" s="117"/>
      <c r="G39" s="117"/>
      <c r="H39" s="79"/>
      <c r="I39" s="79"/>
      <c r="J39" s="79"/>
      <c r="K39" s="79"/>
      <c r="L39" s="79"/>
      <c r="M39" s="79"/>
      <c r="N39" s="79">
        <v>0.19</v>
      </c>
      <c r="O39" s="79">
        <v>0.14000000000000001</v>
      </c>
      <c r="P39" s="80"/>
      <c r="Q39" s="80"/>
      <c r="R39" s="115"/>
      <c r="S39" s="115"/>
      <c r="T39" s="115"/>
      <c r="U39" s="115"/>
      <c r="V39" s="79"/>
      <c r="W39" s="79"/>
      <c r="X39" s="117"/>
      <c r="Y39" s="84"/>
    </row>
    <row r="40" spans="1:26" ht="15.75" customHeight="1" x14ac:dyDescent="0.25">
      <c r="A40" s="86">
        <f ca="1">IFERROR(__xludf.DUMMYFUNCTION("GOOGLEFINANCE(""nse:""&amp;B40,""marketcap"")"),1678458842)</f>
        <v>1678458842</v>
      </c>
      <c r="B40" s="104" t="s">
        <v>120</v>
      </c>
      <c r="C40" s="88">
        <f ca="1">IFERROR(__xludf.DUMMYFUNCTION("GOOGLEFINANCE(""nse:""&amp;B40,""price"")"),23.55)</f>
        <v>23.55</v>
      </c>
      <c r="D40" s="104">
        <v>-0.1</v>
      </c>
      <c r="E40" s="104" t="s">
        <v>259</v>
      </c>
      <c r="F40" s="104"/>
      <c r="G40" s="104"/>
      <c r="H40" s="107"/>
      <c r="I40" s="107"/>
      <c r="J40" s="107"/>
      <c r="K40" s="107"/>
      <c r="L40" s="107"/>
      <c r="M40" s="107"/>
      <c r="N40" s="107"/>
      <c r="O40" s="107"/>
      <c r="P40" s="108"/>
      <c r="Q40" s="108"/>
      <c r="R40" s="106"/>
      <c r="S40" s="106"/>
      <c r="T40" s="106"/>
      <c r="U40" s="106"/>
      <c r="V40" s="107"/>
      <c r="W40" s="107"/>
      <c r="X40" s="104"/>
      <c r="Y40" s="104"/>
    </row>
    <row r="41" spans="1:26" ht="15.75" customHeight="1" x14ac:dyDescent="0.25">
      <c r="A41" s="73" t="str">
        <f ca="1">IFERROR(__xludf.DUMMYFUNCTION("GOOGLEFINANCE(""nse:""&amp;B41,""marketcap"")"),"#N/A")</f>
        <v>#N/A</v>
      </c>
      <c r="B41" s="117" t="s">
        <v>141</v>
      </c>
      <c r="C41" s="75" t="str">
        <f ca="1">IFERROR(__xludf.DUMMYFUNCTION("GOOGLEFINANCE(""nse:""&amp;B41,""price"")"),"#N/A")</f>
        <v>#N/A</v>
      </c>
      <c r="D41" s="117">
        <v>-0.57999999999999996</v>
      </c>
      <c r="E41" s="117" t="s">
        <v>259</v>
      </c>
      <c r="F41" s="117"/>
      <c r="G41" s="117"/>
      <c r="H41" s="79"/>
      <c r="I41" s="79"/>
      <c r="J41" s="79"/>
      <c r="K41" s="79"/>
      <c r="L41" s="79"/>
      <c r="M41" s="79"/>
      <c r="N41" s="79"/>
      <c r="O41" s="79"/>
      <c r="P41" s="80"/>
      <c r="Q41" s="80"/>
      <c r="R41" s="115"/>
      <c r="S41" s="115"/>
      <c r="T41" s="115"/>
      <c r="U41" s="115"/>
      <c r="V41" s="79"/>
      <c r="W41" s="79"/>
      <c r="X41" s="117"/>
      <c r="Y41" s="84"/>
    </row>
    <row r="42" spans="1:26" ht="15.75" customHeight="1" x14ac:dyDescent="0.25">
      <c r="A42" s="86">
        <f ca="1">IFERROR(__xludf.DUMMYFUNCTION("GOOGLEFINANCE(""nse:""&amp;B42,""marketcap"")"),1167752528)</f>
        <v>1167752528</v>
      </c>
      <c r="B42" s="104" t="s">
        <v>130</v>
      </c>
      <c r="C42" s="88">
        <f ca="1">IFERROR(__xludf.DUMMYFUNCTION("GOOGLEFINANCE(""nse:""&amp;B42,""price"")"),8.85)</f>
        <v>8.85</v>
      </c>
      <c r="D42" s="104">
        <v>-1.18</v>
      </c>
      <c r="E42" s="104" t="s">
        <v>259</v>
      </c>
      <c r="F42" s="104"/>
      <c r="G42" s="104"/>
      <c r="H42" s="107"/>
      <c r="I42" s="107"/>
      <c r="J42" s="107"/>
      <c r="K42" s="107"/>
      <c r="L42" s="107"/>
      <c r="M42" s="107"/>
      <c r="N42" s="107"/>
      <c r="O42" s="107"/>
      <c r="P42" s="108"/>
      <c r="Q42" s="108"/>
      <c r="R42" s="106"/>
      <c r="S42" s="106"/>
      <c r="T42" s="106"/>
      <c r="U42" s="106"/>
      <c r="V42" s="107"/>
      <c r="W42" s="107"/>
      <c r="X42" s="104"/>
      <c r="Y42" s="98"/>
      <c r="Z42" s="37">
        <f ca="1">(100*Realty!$Q30)/Realty!$C30</f>
        <v>0</v>
      </c>
    </row>
    <row r="43" spans="1:26" ht="15.75" customHeight="1" x14ac:dyDescent="0.25">
      <c r="A43" s="73" t="str">
        <f ca="1">IFERROR(__xludf.DUMMYFUNCTION("GOOGLEFINANCE(""nse:""&amp;B43,""marketcap"")"),"#N/A")</f>
        <v>#N/A</v>
      </c>
      <c r="B43" s="117" t="s">
        <v>214</v>
      </c>
      <c r="C43" s="75" t="str">
        <f ca="1">IFERROR(__xludf.DUMMYFUNCTION("GOOGLEFINANCE(""nse:""&amp;B43,""price"")"),"#N/A")</f>
        <v>#N/A</v>
      </c>
      <c r="D43" s="117">
        <v>-6.93</v>
      </c>
      <c r="E43" s="76">
        <v>43734</v>
      </c>
      <c r="F43" s="115">
        <v>4973</v>
      </c>
      <c r="G43" s="115">
        <v>-756</v>
      </c>
      <c r="H43" s="79"/>
      <c r="I43" s="79"/>
      <c r="J43" s="79"/>
      <c r="K43" s="79"/>
      <c r="L43" s="79"/>
      <c r="M43" s="79"/>
      <c r="N43" s="79">
        <f>(107/114)^(1/1)-1</f>
        <v>-6.1403508771929793E-2</v>
      </c>
      <c r="O43" s="79">
        <f>(-18/-20)^(1/1)-1</f>
        <v>-9.9999999999999978E-2</v>
      </c>
      <c r="P43" s="80">
        <v>-1.9</v>
      </c>
      <c r="Q43" s="80">
        <f>(Realty!$P14*Realty!$O14)+Realty!$P14</f>
        <v>13.082163699043964</v>
      </c>
      <c r="R43" s="115" t="e">
        <f ca="1">C43/Q43</f>
        <v>#VALUE!</v>
      </c>
      <c r="S43" s="121">
        <f>(100*-18)/107</f>
        <v>-16.822429906542055</v>
      </c>
      <c r="T43" s="121">
        <f>Realty!$G14/797</f>
        <v>1.4705144291091594</v>
      </c>
      <c r="U43" s="121">
        <f>(107-124)/26</f>
        <v>-0.65384615384615385</v>
      </c>
      <c r="V43" s="79"/>
      <c r="W43" s="79"/>
      <c r="X43" s="117"/>
      <c r="Y43" s="84"/>
    </row>
    <row r="44" spans="1:26" ht="15.75" customHeight="1" x14ac:dyDescent="0.25">
      <c r="A44" s="86" t="str">
        <f ca="1">IFERROR(__xludf.DUMMYFUNCTION("GOOGLEFINANCE(""nse:""&amp;B44,""marketcap"")"),"#N/A")</f>
        <v>#N/A</v>
      </c>
      <c r="B44" s="104" t="s">
        <v>138</v>
      </c>
      <c r="C44" s="88" t="str">
        <f ca="1">IFERROR(__xludf.DUMMYFUNCTION("GOOGLEFINANCE(""nse:""&amp;B44,""price"")"),"#N/A")</f>
        <v>#N/A</v>
      </c>
      <c r="D44" s="104">
        <v>3.8</v>
      </c>
      <c r="E44" s="104" t="s">
        <v>260</v>
      </c>
      <c r="F44" s="104"/>
      <c r="G44" s="104"/>
      <c r="H44" s="107"/>
      <c r="I44" s="107"/>
      <c r="J44" s="107"/>
      <c r="K44" s="107"/>
      <c r="L44" s="107"/>
      <c r="M44" s="107"/>
      <c r="N44" s="107"/>
      <c r="O44" s="108"/>
      <c r="P44" s="108"/>
      <c r="Q44" s="108"/>
      <c r="R44" s="106"/>
      <c r="S44" s="106"/>
      <c r="T44" s="106"/>
      <c r="U44" s="106"/>
      <c r="V44" s="107"/>
      <c r="W44" s="107"/>
      <c r="X44" s="104"/>
      <c r="Y44" s="98"/>
      <c r="Z44" s="37" t="e">
        <f ca="1">(100*Realty!$Q21)/Realty!$C21</f>
        <v>#VALUE!</v>
      </c>
    </row>
    <row r="45" spans="1:26" ht="15.75" customHeight="1" x14ac:dyDescent="0.25">
      <c r="A45" s="73">
        <f ca="1">IFERROR(__xludf.DUMMYFUNCTION("GOOGLEFINANCE(""nse:""&amp;B45,""marketcap"")"),382540548)</f>
        <v>382540548</v>
      </c>
      <c r="B45" s="117" t="s">
        <v>161</v>
      </c>
      <c r="C45" s="75">
        <f ca="1">IFERROR(__xludf.DUMMYFUNCTION("GOOGLEFINANCE(""nse:""&amp;B45,""price"")"),4.95)</f>
        <v>4.95</v>
      </c>
      <c r="D45" s="117">
        <v>-5.41</v>
      </c>
      <c r="E45" s="117" t="s">
        <v>259</v>
      </c>
      <c r="F45" s="117"/>
      <c r="G45" s="117"/>
      <c r="H45" s="79"/>
      <c r="I45" s="79"/>
      <c r="J45" s="79"/>
      <c r="K45" s="79"/>
      <c r="L45" s="79"/>
      <c r="M45" s="79"/>
      <c r="N45" s="79"/>
      <c r="O45" s="79"/>
      <c r="P45" s="80"/>
      <c r="Q45" s="80"/>
      <c r="R45" s="115"/>
      <c r="S45" s="115"/>
      <c r="T45" s="115"/>
      <c r="U45" s="115"/>
      <c r="V45" s="79"/>
      <c r="W45" s="79"/>
      <c r="X45" s="117"/>
      <c r="Y45" s="84"/>
    </row>
    <row r="46" spans="1:26" ht="15.75" customHeight="1" x14ac:dyDescent="0.25">
      <c r="A46" s="86" t="str">
        <f ca="1">IFERROR(__xludf.DUMMYFUNCTION("GOOGLEFINANCE(""nse:""&amp;B46,""marketcap"")"),"#N/A")</f>
        <v>#N/A</v>
      </c>
      <c r="B46" s="104" t="s">
        <v>213</v>
      </c>
      <c r="C46" s="88" t="str">
        <f ca="1">IFERROR(__xludf.DUMMYFUNCTION("GOOGLEFINANCE(""nse:""&amp;B46,""price"")"),"#N/A")</f>
        <v>#N/A</v>
      </c>
      <c r="D46" s="104">
        <v>-1.9</v>
      </c>
      <c r="E46" s="104" t="s">
        <v>259</v>
      </c>
      <c r="F46" s="104"/>
      <c r="G46" s="104"/>
      <c r="H46" s="107"/>
      <c r="I46" s="107"/>
      <c r="J46" s="107"/>
      <c r="K46" s="107"/>
      <c r="L46" s="107"/>
      <c r="M46" s="107"/>
      <c r="N46" s="107"/>
      <c r="O46" s="107"/>
      <c r="P46" s="108"/>
      <c r="Q46" s="108"/>
      <c r="R46" s="106"/>
      <c r="S46" s="106"/>
      <c r="T46" s="106"/>
      <c r="U46" s="106"/>
      <c r="V46" s="107"/>
      <c r="W46" s="107"/>
      <c r="X46" s="104"/>
      <c r="Y46" s="98"/>
    </row>
    <row r="47" spans="1:26" ht="15.75" customHeight="1" x14ac:dyDescent="0.25">
      <c r="K47" s="85"/>
      <c r="L47" s="85"/>
      <c r="M47" s="85"/>
      <c r="N47" s="85"/>
      <c r="O47" s="85"/>
      <c r="P47" s="123"/>
      <c r="Q47" s="123"/>
      <c r="R47" s="57"/>
      <c r="T47" s="57"/>
      <c r="V47" s="85"/>
      <c r="W47" s="85"/>
    </row>
    <row r="48" spans="1:26" ht="15.75" customHeight="1" x14ac:dyDescent="0.25">
      <c r="A48" s="124" t="s">
        <v>261</v>
      </c>
      <c r="B48" s="124" t="s">
        <v>239</v>
      </c>
      <c r="C48" s="124"/>
      <c r="D48" s="124"/>
      <c r="E48" s="124"/>
      <c r="F48" s="125">
        <f t="shared" ref="F48:G48" si="9">SUM(F18:F46)</f>
        <v>62287</v>
      </c>
      <c r="G48" s="125">
        <f t="shared" si="9"/>
        <v>-7122</v>
      </c>
      <c r="H48" s="126"/>
      <c r="I48" s="126"/>
      <c r="J48" s="126">
        <f t="shared" ref="J48:O48" si="10">AVERAGE(J18:J46)</f>
        <v>3.0735724599398589E-2</v>
      </c>
      <c r="K48" s="126">
        <f t="shared" si="10"/>
        <v>3.3783392859564075E-2</v>
      </c>
      <c r="L48" s="126">
        <f t="shared" si="10"/>
        <v>5.2673925602650794E-2</v>
      </c>
      <c r="M48" s="126">
        <f t="shared" si="10"/>
        <v>-5.9591606461777337E-2</v>
      </c>
      <c r="N48" s="126">
        <f t="shared" si="10"/>
        <v>0.16465888196813261</v>
      </c>
      <c r="O48" s="126">
        <f t="shared" si="10"/>
        <v>0.18161157024793387</v>
      </c>
      <c r="P48" s="124"/>
      <c r="Q48" s="124"/>
      <c r="R48" s="127" t="e">
        <f t="shared" ref="R48:X48" ca="1" si="11">AVERAGE(R18:R46)</f>
        <v>#VALUE!</v>
      </c>
      <c r="S48" s="127">
        <f t="shared" si="11"/>
        <v>-0.56205042123310311</v>
      </c>
      <c r="T48" s="127">
        <f t="shared" si="11"/>
        <v>2.6012726491689149</v>
      </c>
      <c r="U48" s="127">
        <f t="shared" si="11"/>
        <v>0.76097869405001073</v>
      </c>
      <c r="V48" s="127">
        <f t="shared" ca="1" si="11"/>
        <v>0.2938707818264592</v>
      </c>
      <c r="W48" s="127">
        <f t="shared" ca="1" si="11"/>
        <v>0.31930027581184256</v>
      </c>
      <c r="X48" s="127">
        <f t="shared" si="11"/>
        <v>863.67701908957417</v>
      </c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</sheetData>
  <autoFilter ref="A2:Z46" xr:uid="{00000000-0009-0000-0000-000004000000}">
    <sortState xmlns:xlrd2="http://schemas.microsoft.com/office/spreadsheetml/2017/richdata2" ref="A2:Z46">
      <sortCondition descending="1" ref="A2:A46"/>
    </sortState>
  </autoFilter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U1000"/>
  <sheetViews>
    <sheetView workbookViewId="0"/>
  </sheetViews>
  <sheetFormatPr defaultColWidth="12.59765625" defaultRowHeight="15" customHeight="1" x14ac:dyDescent="0.25"/>
  <cols>
    <col min="1" max="1" width="7.8984375" customWidth="1"/>
    <col min="2" max="2" width="16.3984375" customWidth="1"/>
    <col min="3" max="3" width="10.09765625" customWidth="1"/>
    <col min="4" max="11" width="7.8984375" customWidth="1"/>
    <col min="12" max="12" width="14.09765625" customWidth="1"/>
    <col min="13" max="14" width="11.8984375" customWidth="1"/>
    <col min="15" max="15" width="9.3984375" customWidth="1"/>
    <col min="16" max="16" width="6.09765625" customWidth="1"/>
    <col min="17" max="18" width="7.8984375" customWidth="1"/>
    <col min="19" max="19" width="12.19921875" customWidth="1"/>
    <col min="20" max="20" width="8.09765625" customWidth="1"/>
    <col min="21" max="21" width="20.69921875" customWidth="1"/>
    <col min="22" max="26" width="7.8984375" customWidth="1"/>
  </cols>
  <sheetData>
    <row r="1" spans="2:21" ht="16.8" x14ac:dyDescent="0.3">
      <c r="L1" s="128" t="s">
        <v>5</v>
      </c>
      <c r="M1" s="128" t="s">
        <v>246</v>
      </c>
      <c r="N1" s="128" t="s">
        <v>262</v>
      </c>
      <c r="O1" s="128" t="s">
        <v>263</v>
      </c>
      <c r="P1" s="128" t="s">
        <v>202</v>
      </c>
      <c r="S1" s="129" t="s">
        <v>5</v>
      </c>
      <c r="T1" s="129" t="s">
        <v>255</v>
      </c>
      <c r="U1" s="129" t="s">
        <v>264</v>
      </c>
    </row>
    <row r="2" spans="2:21" ht="19.2" x14ac:dyDescent="0.35">
      <c r="B2" s="130" t="s">
        <v>5</v>
      </c>
      <c r="C2" s="130" t="s">
        <v>243</v>
      </c>
      <c r="L2" s="131" t="s">
        <v>14</v>
      </c>
      <c r="M2" s="45">
        <v>0.69993900522605745</v>
      </c>
      <c r="N2" s="45">
        <v>0.19884713167090817</v>
      </c>
      <c r="O2" s="45">
        <v>0.1525</v>
      </c>
      <c r="P2" s="132">
        <v>8.3437377563014241</v>
      </c>
      <c r="S2" s="133" t="s">
        <v>78</v>
      </c>
      <c r="T2" s="134">
        <v>0.22487958747092107</v>
      </c>
      <c r="U2" s="135">
        <v>8.4772727272727266</v>
      </c>
    </row>
    <row r="3" spans="2:21" ht="13.8" x14ac:dyDescent="0.25">
      <c r="B3" s="37" t="s">
        <v>9</v>
      </c>
      <c r="C3" s="37">
        <v>67067.899999999994</v>
      </c>
      <c r="L3" s="131" t="s">
        <v>26</v>
      </c>
      <c r="M3" s="45">
        <v>0.6472769055485168</v>
      </c>
      <c r="N3" s="45">
        <v>0.5357403221362893</v>
      </c>
      <c r="O3" s="45">
        <v>0.25219999999999998</v>
      </c>
      <c r="P3" s="132">
        <v>15.307955166757793</v>
      </c>
      <c r="S3" s="133" t="s">
        <v>14</v>
      </c>
      <c r="T3" s="134">
        <v>0.16495125526646781</v>
      </c>
      <c r="U3" s="135">
        <v>223.40425531914894</v>
      </c>
    </row>
    <row r="4" spans="2:21" ht="13.8" x14ac:dyDescent="0.25">
      <c r="B4" s="37" t="s">
        <v>25</v>
      </c>
      <c r="C4" s="37">
        <v>59265.32</v>
      </c>
      <c r="L4" s="131" t="s">
        <v>78</v>
      </c>
      <c r="M4" s="45">
        <v>0.32230663065023002</v>
      </c>
      <c r="N4" s="45">
        <v>0.23928367582518284</v>
      </c>
      <c r="O4" s="41">
        <v>0.1095</v>
      </c>
      <c r="P4" s="123">
        <v>1.4638261366885903</v>
      </c>
      <c r="S4" s="133" t="s">
        <v>26</v>
      </c>
      <c r="T4" s="134">
        <v>0.16446053848377717</v>
      </c>
      <c r="U4" s="135">
        <v>1229.5999999999999</v>
      </c>
    </row>
    <row r="5" spans="2:21" ht="13.8" x14ac:dyDescent="0.25">
      <c r="B5" s="37" t="s">
        <v>16</v>
      </c>
      <c r="C5" s="37">
        <v>26337</v>
      </c>
      <c r="L5" s="131" t="s">
        <v>13</v>
      </c>
      <c r="M5" s="45">
        <v>0.31261914603643515</v>
      </c>
      <c r="N5" s="45">
        <v>8.5788021085233312E-2</v>
      </c>
      <c r="O5" s="41">
        <v>0.1244</v>
      </c>
      <c r="P5" s="132">
        <v>2.1707317073170729</v>
      </c>
      <c r="S5" s="133" t="s">
        <v>79</v>
      </c>
      <c r="T5" s="134">
        <v>0.16029486794525649</v>
      </c>
      <c r="U5" s="135">
        <v>2575</v>
      </c>
    </row>
    <row r="6" spans="2:21" ht="13.8" x14ac:dyDescent="0.25">
      <c r="B6" s="37" t="s">
        <v>13</v>
      </c>
      <c r="C6" s="37">
        <v>18892</v>
      </c>
      <c r="L6" s="131" t="s">
        <v>15</v>
      </c>
      <c r="M6" s="45">
        <v>0.18359434378767281</v>
      </c>
      <c r="N6" s="45">
        <v>0.18565517033041989</v>
      </c>
      <c r="O6" s="45">
        <v>0.14269999999999999</v>
      </c>
      <c r="P6" s="123">
        <v>1.3266700962739766</v>
      </c>
      <c r="S6" s="133" t="s">
        <v>13</v>
      </c>
      <c r="T6" s="134">
        <v>0.13913386902357194</v>
      </c>
      <c r="U6" s="135">
        <v>4.6078431372549016</v>
      </c>
    </row>
    <row r="7" spans="2:21" ht="13.8" x14ac:dyDescent="0.25">
      <c r="B7" s="37" t="s">
        <v>14</v>
      </c>
      <c r="C7" s="37">
        <v>16197.51</v>
      </c>
      <c r="L7" s="131" t="s">
        <v>12</v>
      </c>
      <c r="M7" s="45">
        <v>0.18318277455756804</v>
      </c>
      <c r="N7" s="45">
        <v>0.15184042751466831</v>
      </c>
      <c r="O7" s="45">
        <v>0.36259999999999998</v>
      </c>
      <c r="P7" s="132">
        <v>13.533923303834808</v>
      </c>
      <c r="S7" s="133" t="s">
        <v>16</v>
      </c>
      <c r="T7" s="134">
        <v>9.7257952636324863E-2</v>
      </c>
      <c r="U7" s="135">
        <v>4.409448818897638</v>
      </c>
    </row>
    <row r="8" spans="2:21" ht="13.8" x14ac:dyDescent="0.25">
      <c r="B8" s="37" t="s">
        <v>207</v>
      </c>
      <c r="C8" s="37">
        <v>14265.21</v>
      </c>
      <c r="L8" s="37" t="s">
        <v>79</v>
      </c>
      <c r="M8" s="41">
        <v>0.16082903672087157</v>
      </c>
      <c r="N8" s="136">
        <v>8.3176300258146929E-2</v>
      </c>
      <c r="O8" s="45">
        <v>0.1885</v>
      </c>
      <c r="P8" s="132">
        <v>3.2774792379091355</v>
      </c>
      <c r="S8" s="133" t="s">
        <v>207</v>
      </c>
      <c r="T8" s="134">
        <v>8.7102381696605669E-2</v>
      </c>
      <c r="U8" s="135">
        <v>2.8571428571428572</v>
      </c>
    </row>
    <row r="9" spans="2:21" ht="13.8" x14ac:dyDescent="0.25">
      <c r="B9" s="37" t="s">
        <v>75</v>
      </c>
      <c r="C9" s="37">
        <v>14149</v>
      </c>
      <c r="L9" s="37" t="s">
        <v>16</v>
      </c>
      <c r="M9" s="41">
        <v>0.11355106884082233</v>
      </c>
      <c r="N9" s="137">
        <v>4.4662876674187224E-2</v>
      </c>
      <c r="O9" s="41">
        <v>7.3599999999999999E-2</v>
      </c>
      <c r="P9" s="123">
        <v>2.0453586497890295</v>
      </c>
      <c r="S9" s="133" t="s">
        <v>15</v>
      </c>
      <c r="T9" s="134">
        <v>7.833418976950135E-2</v>
      </c>
      <c r="U9" s="135">
        <v>4.2501221299462628</v>
      </c>
    </row>
    <row r="10" spans="2:21" ht="13.8" x14ac:dyDescent="0.25">
      <c r="B10" s="37" t="s">
        <v>78</v>
      </c>
      <c r="C10" s="37">
        <v>14027.2</v>
      </c>
      <c r="L10" s="37" t="s">
        <v>99</v>
      </c>
      <c r="M10" s="41">
        <v>4.3619485649802003E-2</v>
      </c>
      <c r="N10" s="137">
        <v>-0.13960774504853102</v>
      </c>
      <c r="O10" s="45">
        <v>0.16259999999999999</v>
      </c>
      <c r="P10" s="123">
        <v>1.3844985501910065</v>
      </c>
      <c r="S10" s="133" t="s">
        <v>12</v>
      </c>
      <c r="T10" s="134">
        <v>7.2730015592410435E-2</v>
      </c>
      <c r="U10" s="135">
        <v>5.3571428571428568</v>
      </c>
    </row>
    <row r="11" spans="2:21" ht="13.8" x14ac:dyDescent="0.25">
      <c r="B11" s="37" t="s">
        <v>208</v>
      </c>
      <c r="C11" s="37">
        <v>13410.76</v>
      </c>
      <c r="L11" s="37" t="s">
        <v>207</v>
      </c>
      <c r="M11" s="48">
        <v>-1.172604172584546E-2</v>
      </c>
      <c r="N11" s="138">
        <v>6.3089155630740024E-3</v>
      </c>
      <c r="O11" s="48">
        <v>6.0299999999999999E-2</v>
      </c>
      <c r="P11" s="132">
        <v>6.4190924018510227</v>
      </c>
      <c r="S11" s="133" t="s">
        <v>99</v>
      </c>
      <c r="T11" s="134">
        <v>6.0329354737258312E-2</v>
      </c>
      <c r="U11" s="135">
        <v>15.15</v>
      </c>
    </row>
    <row r="12" spans="2:21" ht="13.8" x14ac:dyDescent="0.25">
      <c r="B12" s="37" t="s">
        <v>12</v>
      </c>
      <c r="C12" s="37">
        <v>12654.3</v>
      </c>
      <c r="L12" s="37" t="s">
        <v>208</v>
      </c>
      <c r="M12" s="123"/>
      <c r="N12" s="123"/>
      <c r="O12" s="48">
        <v>5.9299999999999999E-2</v>
      </c>
      <c r="P12" s="139">
        <v>1</v>
      </c>
      <c r="S12" s="133" t="s">
        <v>75</v>
      </c>
      <c r="T12" s="134">
        <v>4.0197743687353737E-2</v>
      </c>
      <c r="U12" s="135">
        <v>3.7598997493734339</v>
      </c>
    </row>
    <row r="13" spans="2:21" ht="13.8" x14ac:dyDescent="0.25">
      <c r="B13" s="37" t="s">
        <v>15</v>
      </c>
      <c r="C13" s="37">
        <v>12651.2</v>
      </c>
      <c r="S13" s="133" t="s">
        <v>25</v>
      </c>
      <c r="T13" s="134">
        <v>-2.4592959795718183E-2</v>
      </c>
      <c r="U13" s="135">
        <v>4.9467175371661618</v>
      </c>
    </row>
    <row r="14" spans="2:21" ht="13.8" x14ac:dyDescent="0.25">
      <c r="B14" s="37" t="s">
        <v>26</v>
      </c>
      <c r="C14" s="37">
        <v>8882.86</v>
      </c>
      <c r="S14" s="133" t="s">
        <v>9</v>
      </c>
      <c r="T14" s="134">
        <v>-7.3227414481918496E-2</v>
      </c>
      <c r="U14" s="135">
        <v>4.3298969072164946</v>
      </c>
    </row>
    <row r="15" spans="2:21" ht="13.8" x14ac:dyDescent="0.25">
      <c r="B15" s="37" t="s">
        <v>218</v>
      </c>
      <c r="C15" s="37">
        <v>7108.1</v>
      </c>
      <c r="S15" s="133" t="s">
        <v>218</v>
      </c>
      <c r="T15" s="134">
        <v>-0.28037779543685182</v>
      </c>
      <c r="U15" s="135">
        <v>0.88105726872246692</v>
      </c>
    </row>
    <row r="16" spans="2:21" ht="13.8" x14ac:dyDescent="0.25">
      <c r="B16" s="37" t="s">
        <v>79</v>
      </c>
      <c r="C16" s="37">
        <v>3559.4</v>
      </c>
      <c r="T16" s="41"/>
      <c r="U16" s="57"/>
    </row>
    <row r="17" spans="2:21" ht="13.8" x14ac:dyDescent="0.25">
      <c r="B17" s="37" t="s">
        <v>99</v>
      </c>
      <c r="C17" s="37">
        <v>1846.52</v>
      </c>
      <c r="T17" s="41"/>
      <c r="U17" s="57"/>
    </row>
    <row r="18" spans="2:21" ht="13.8" x14ac:dyDescent="0.25">
      <c r="T18" s="41"/>
      <c r="U18" s="57"/>
    </row>
    <row r="19" spans="2:21" ht="13.8" x14ac:dyDescent="0.25">
      <c r="B19" s="37" t="s">
        <v>265</v>
      </c>
      <c r="C19" s="37">
        <v>290314.28000000003</v>
      </c>
      <c r="T19" s="41"/>
      <c r="U19" s="57"/>
    </row>
    <row r="20" spans="2:21" ht="13.8" x14ac:dyDescent="0.25">
      <c r="T20" s="41"/>
      <c r="U20" s="57"/>
    </row>
    <row r="21" spans="2:21" ht="15.75" customHeight="1" x14ac:dyDescent="0.25">
      <c r="T21" s="41"/>
      <c r="U21" s="57"/>
    </row>
    <row r="22" spans="2:21" ht="15.75" customHeight="1" x14ac:dyDescent="0.25">
      <c r="T22" s="41"/>
      <c r="U22" s="57"/>
    </row>
    <row r="23" spans="2:21" ht="15.75" customHeight="1" x14ac:dyDescent="0.25">
      <c r="T23" s="41"/>
      <c r="U23" s="57"/>
    </row>
    <row r="24" spans="2:21" ht="15.75" customHeight="1" x14ac:dyDescent="0.25">
      <c r="T24" s="41"/>
      <c r="U24" s="57"/>
    </row>
    <row r="25" spans="2:21" ht="15.75" customHeight="1" x14ac:dyDescent="0.25">
      <c r="T25" s="41"/>
      <c r="U25" s="57"/>
    </row>
    <row r="26" spans="2:21" ht="15.75" customHeight="1" x14ac:dyDescent="0.25">
      <c r="T26" s="41"/>
      <c r="U26" s="57"/>
    </row>
    <row r="27" spans="2:21" ht="15.75" customHeight="1" x14ac:dyDescent="0.25">
      <c r="T27" s="41"/>
      <c r="U27" s="57"/>
    </row>
    <row r="28" spans="2:21" ht="15.75" customHeight="1" x14ac:dyDescent="0.25">
      <c r="O28" s="122"/>
      <c r="T28" s="41"/>
      <c r="U28" s="57"/>
    </row>
    <row r="29" spans="2:21" ht="15.75" customHeight="1" x14ac:dyDescent="0.25">
      <c r="O29" s="122"/>
      <c r="T29" s="41"/>
      <c r="U29" s="57"/>
    </row>
    <row r="30" spans="2:21" ht="15.75" customHeight="1" x14ac:dyDescent="0.25">
      <c r="T30" s="41"/>
      <c r="U30" s="57"/>
    </row>
    <row r="31" spans="2:21" ht="15.75" customHeight="1" x14ac:dyDescent="0.25">
      <c r="T31" s="41"/>
      <c r="U31" s="57"/>
    </row>
    <row r="32" spans="2:21" ht="15.75" customHeight="1" x14ac:dyDescent="0.25">
      <c r="T32" s="41"/>
      <c r="U32" s="57"/>
    </row>
    <row r="33" spans="20:21" ht="15.75" customHeight="1" x14ac:dyDescent="0.25">
      <c r="T33" s="41"/>
      <c r="U33" s="57"/>
    </row>
    <row r="34" spans="20:21" ht="15.75" customHeight="1" x14ac:dyDescent="0.25">
      <c r="T34" s="41"/>
      <c r="U34" s="57"/>
    </row>
    <row r="35" spans="20:21" ht="15.75" customHeight="1" x14ac:dyDescent="0.25">
      <c r="T35" s="41"/>
      <c r="U35" s="57"/>
    </row>
    <row r="36" spans="20:21" ht="15.75" customHeight="1" x14ac:dyDescent="0.25">
      <c r="T36" s="41"/>
      <c r="U36" s="57"/>
    </row>
    <row r="37" spans="20:21" ht="15.75" customHeight="1" x14ac:dyDescent="0.25">
      <c r="T37" s="41"/>
      <c r="U37" s="57"/>
    </row>
    <row r="38" spans="20:21" ht="15.75" customHeight="1" x14ac:dyDescent="0.25">
      <c r="T38" s="41"/>
      <c r="U38" s="57"/>
    </row>
    <row r="39" spans="20:21" ht="15.75" customHeight="1" x14ac:dyDescent="0.25">
      <c r="T39" s="41"/>
      <c r="U39" s="57"/>
    </row>
    <row r="40" spans="20:21" ht="15.75" customHeight="1" x14ac:dyDescent="0.25">
      <c r="T40" s="41"/>
      <c r="U40" s="57"/>
    </row>
    <row r="41" spans="20:21" ht="15.75" customHeight="1" x14ac:dyDescent="0.25">
      <c r="T41" s="41"/>
      <c r="U41" s="57"/>
    </row>
    <row r="42" spans="20:21" ht="15.75" customHeight="1" x14ac:dyDescent="0.25">
      <c r="T42" s="41"/>
      <c r="U42" s="57"/>
    </row>
    <row r="43" spans="20:21" ht="15.75" customHeight="1" x14ac:dyDescent="0.25">
      <c r="T43" s="41"/>
      <c r="U43" s="57"/>
    </row>
    <row r="44" spans="20:21" ht="15.75" customHeight="1" x14ac:dyDescent="0.25">
      <c r="T44" s="41"/>
      <c r="U44" s="57"/>
    </row>
    <row r="45" spans="20:21" ht="15.75" customHeight="1" x14ac:dyDescent="0.25">
      <c r="T45" s="41"/>
      <c r="U45" s="57"/>
    </row>
    <row r="46" spans="20:21" ht="15.75" customHeight="1" x14ac:dyDescent="0.25">
      <c r="T46" s="41"/>
      <c r="U46" s="57"/>
    </row>
    <row r="47" spans="20:21" ht="15.75" customHeight="1" x14ac:dyDescent="0.25">
      <c r="T47" s="41"/>
      <c r="U47" s="57"/>
    </row>
    <row r="48" spans="20:21" ht="15.75" customHeight="1" x14ac:dyDescent="0.25">
      <c r="T48" s="41"/>
      <c r="U48" s="57"/>
    </row>
    <row r="49" spans="20:21" ht="15.75" customHeight="1" x14ac:dyDescent="0.25">
      <c r="T49" s="41"/>
      <c r="U49" s="57"/>
    </row>
    <row r="50" spans="20:21" ht="15.75" customHeight="1" x14ac:dyDescent="0.25">
      <c r="T50" s="41"/>
      <c r="U50" s="57"/>
    </row>
    <row r="51" spans="20:21" ht="15.75" customHeight="1" x14ac:dyDescent="0.25">
      <c r="T51" s="41"/>
      <c r="U51" s="57"/>
    </row>
    <row r="52" spans="20:21" ht="15.75" customHeight="1" x14ac:dyDescent="0.25">
      <c r="T52" s="41"/>
      <c r="U52" s="57"/>
    </row>
    <row r="53" spans="20:21" ht="15.75" customHeight="1" x14ac:dyDescent="0.25">
      <c r="T53" s="41"/>
      <c r="U53" s="57"/>
    </row>
    <row r="54" spans="20:21" ht="15.75" customHeight="1" x14ac:dyDescent="0.25">
      <c r="T54" s="41"/>
      <c r="U54" s="57"/>
    </row>
    <row r="55" spans="20:21" ht="15.75" customHeight="1" x14ac:dyDescent="0.25">
      <c r="T55" s="41"/>
      <c r="U55" s="57"/>
    </row>
    <row r="56" spans="20:21" ht="15.75" customHeight="1" x14ac:dyDescent="0.25">
      <c r="T56" s="41"/>
      <c r="U56" s="57"/>
    </row>
    <row r="57" spans="20:21" ht="15.75" customHeight="1" x14ac:dyDescent="0.25"/>
    <row r="58" spans="20:21" ht="15.75" customHeight="1" x14ac:dyDescent="0.25"/>
    <row r="59" spans="20:21" ht="15.75" customHeight="1" x14ac:dyDescent="0.25"/>
    <row r="60" spans="20:21" ht="15.75" customHeight="1" x14ac:dyDescent="0.25"/>
    <row r="61" spans="20:21" ht="15.75" customHeight="1" x14ac:dyDescent="0.25"/>
    <row r="62" spans="20:21" ht="15.75" customHeight="1" x14ac:dyDescent="0.25"/>
    <row r="63" spans="20:21" ht="15.75" customHeight="1" x14ac:dyDescent="0.25"/>
    <row r="64" spans="20:2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1000"/>
  <sheetViews>
    <sheetView workbookViewId="0"/>
  </sheetViews>
  <sheetFormatPr defaultColWidth="12.59765625" defaultRowHeight="15" customHeight="1" x14ac:dyDescent="0.25"/>
  <cols>
    <col min="1" max="2" width="7.59765625" customWidth="1"/>
    <col min="3" max="3" width="10" customWidth="1"/>
    <col min="4" max="47" width="7.59765625" customWidth="1"/>
  </cols>
  <sheetData>
    <row r="1" spans="1:47" ht="36" x14ac:dyDescent="0.25">
      <c r="W1" s="37" t="s">
        <v>266</v>
      </c>
      <c r="X1" s="37" t="s">
        <v>267</v>
      </c>
      <c r="Y1" s="37" t="s">
        <v>268</v>
      </c>
      <c r="Z1" s="37" t="s">
        <v>269</v>
      </c>
      <c r="AA1" s="37" t="s">
        <v>270</v>
      </c>
      <c r="AB1" s="37" t="s">
        <v>271</v>
      </c>
      <c r="AC1" s="37" t="s">
        <v>272</v>
      </c>
      <c r="AD1" s="37" t="s">
        <v>273</v>
      </c>
      <c r="AE1" s="37" t="s">
        <v>274</v>
      </c>
      <c r="AF1" s="37" t="s">
        <v>275</v>
      </c>
      <c r="AG1" s="37" t="s">
        <v>276</v>
      </c>
      <c r="AH1" s="37" t="s">
        <v>277</v>
      </c>
      <c r="AI1" s="37" t="s">
        <v>278</v>
      </c>
      <c r="AL1" s="140" t="s">
        <v>41</v>
      </c>
      <c r="AM1" s="140" t="s">
        <v>5</v>
      </c>
      <c r="AN1" s="140" t="s">
        <v>279</v>
      </c>
      <c r="AO1" s="140" t="s">
        <v>280</v>
      </c>
      <c r="AP1" s="140" t="s">
        <v>281</v>
      </c>
      <c r="AQ1" s="140" t="s">
        <v>282</v>
      </c>
      <c r="AR1" s="140" t="s">
        <v>283</v>
      </c>
      <c r="AS1" s="140" t="s">
        <v>284</v>
      </c>
      <c r="AT1" s="140" t="s">
        <v>285</v>
      </c>
      <c r="AU1" s="141" t="s">
        <v>286</v>
      </c>
    </row>
    <row r="2" spans="1:47" ht="24.6" x14ac:dyDescent="0.3">
      <c r="B2" s="142" t="s">
        <v>287</v>
      </c>
      <c r="C2" s="142"/>
      <c r="D2" s="143">
        <v>42826</v>
      </c>
      <c r="E2" s="142" t="s">
        <v>287</v>
      </c>
      <c r="F2" s="143">
        <v>42461</v>
      </c>
      <c r="G2" s="142" t="s">
        <v>287</v>
      </c>
      <c r="H2" s="143">
        <v>42095</v>
      </c>
      <c r="I2" s="142" t="s">
        <v>288</v>
      </c>
      <c r="J2" s="143">
        <v>42094</v>
      </c>
      <c r="K2" s="143">
        <v>41729</v>
      </c>
      <c r="L2" s="143">
        <v>41364</v>
      </c>
      <c r="M2" s="143">
        <v>40999</v>
      </c>
      <c r="N2" s="142" t="s">
        <v>288</v>
      </c>
      <c r="O2" s="143">
        <v>40633</v>
      </c>
      <c r="P2" s="143">
        <v>40268</v>
      </c>
      <c r="Q2" s="143">
        <v>39903</v>
      </c>
      <c r="R2" s="143">
        <v>39538</v>
      </c>
      <c r="S2" s="142" t="s">
        <v>287</v>
      </c>
      <c r="T2" s="143">
        <v>38811</v>
      </c>
      <c r="W2" s="37">
        <v>2007</v>
      </c>
      <c r="X2" s="37">
        <v>380.05</v>
      </c>
      <c r="Y2" s="37">
        <v>825.05</v>
      </c>
      <c r="Z2" s="37">
        <v>242.15</v>
      </c>
      <c r="AA2" s="37">
        <v>745.95</v>
      </c>
      <c r="AB2" s="37">
        <v>367521748</v>
      </c>
      <c r="AC2" s="37">
        <v>4060012</v>
      </c>
      <c r="AD2" s="37">
        <v>157382208926</v>
      </c>
      <c r="AE2" s="37">
        <v>91498573</v>
      </c>
      <c r="AF2" s="37">
        <v>24.9</v>
      </c>
      <c r="AG2" s="37">
        <v>582.9</v>
      </c>
      <c r="AH2" s="37">
        <v>365.9</v>
      </c>
      <c r="AL2" s="144">
        <v>532832</v>
      </c>
      <c r="AM2" s="145" t="s">
        <v>25</v>
      </c>
      <c r="AN2" s="146">
        <v>39687</v>
      </c>
      <c r="AO2" s="37">
        <v>13.5</v>
      </c>
      <c r="AP2" s="147" t="s">
        <v>289</v>
      </c>
      <c r="AQ2" s="146">
        <v>39689</v>
      </c>
      <c r="AR2" s="146">
        <v>39696</v>
      </c>
      <c r="AS2" s="146">
        <v>39682</v>
      </c>
      <c r="AT2" s="146">
        <v>39688</v>
      </c>
      <c r="AU2" s="145" t="s">
        <v>290</v>
      </c>
    </row>
    <row r="3" spans="1:47" ht="24.6" x14ac:dyDescent="0.3">
      <c r="B3" s="142" t="s">
        <v>291</v>
      </c>
      <c r="C3" s="142"/>
      <c r="D3" s="143">
        <v>43190</v>
      </c>
      <c r="E3" s="142" t="s">
        <v>291</v>
      </c>
      <c r="F3" s="143">
        <v>42825</v>
      </c>
      <c r="G3" s="142" t="s">
        <v>291</v>
      </c>
      <c r="H3" s="143">
        <v>42460</v>
      </c>
      <c r="I3" s="142" t="s">
        <v>292</v>
      </c>
      <c r="J3" s="148">
        <v>12</v>
      </c>
      <c r="K3" s="148">
        <v>12</v>
      </c>
      <c r="L3" s="148">
        <v>12</v>
      </c>
      <c r="M3" s="148">
        <v>12</v>
      </c>
      <c r="N3" s="142" t="s">
        <v>292</v>
      </c>
      <c r="O3" s="148">
        <v>12</v>
      </c>
      <c r="P3" s="148">
        <v>12</v>
      </c>
      <c r="Q3" s="148">
        <v>12</v>
      </c>
      <c r="R3" s="148">
        <v>12</v>
      </c>
      <c r="S3" s="142" t="s">
        <v>291</v>
      </c>
      <c r="T3" s="143">
        <v>39172</v>
      </c>
      <c r="W3" s="37">
        <v>2008</v>
      </c>
      <c r="X3" s="37">
        <v>755</v>
      </c>
      <c r="Y3" s="37">
        <v>847.8</v>
      </c>
      <c r="Z3" s="37">
        <v>81.8</v>
      </c>
      <c r="AA3" s="37">
        <v>131.15</v>
      </c>
      <c r="AB3" s="37">
        <v>453280486</v>
      </c>
      <c r="AC3" s="37">
        <v>4417192</v>
      </c>
      <c r="AD3" s="37">
        <v>106207215470</v>
      </c>
      <c r="AE3" s="37">
        <v>117802783</v>
      </c>
      <c r="AF3" s="37">
        <v>25.99</v>
      </c>
      <c r="AG3" s="37">
        <v>766</v>
      </c>
      <c r="AH3" s="37">
        <v>-623.85</v>
      </c>
      <c r="AL3" s="144">
        <v>532832</v>
      </c>
      <c r="AM3" s="145" t="s">
        <v>25</v>
      </c>
      <c r="AN3" s="146">
        <v>40808</v>
      </c>
      <c r="AO3" s="37">
        <v>0.3</v>
      </c>
      <c r="AP3" s="147" t="s">
        <v>289</v>
      </c>
      <c r="AQ3" s="146">
        <v>40812</v>
      </c>
      <c r="AR3" s="146">
        <v>40816</v>
      </c>
      <c r="AS3" s="146">
        <v>40805</v>
      </c>
      <c r="AT3" s="146">
        <v>40809</v>
      </c>
      <c r="AU3" s="145" t="s">
        <v>290</v>
      </c>
    </row>
    <row r="4" spans="1:47" ht="36.6" x14ac:dyDescent="0.3">
      <c r="B4" s="149" t="s">
        <v>293</v>
      </c>
      <c r="C4" s="149" t="s">
        <v>294</v>
      </c>
      <c r="D4" s="149" t="s">
        <v>295</v>
      </c>
      <c r="E4" s="149" t="s">
        <v>293</v>
      </c>
      <c r="F4" s="149" t="s">
        <v>295</v>
      </c>
      <c r="G4" s="149" t="s">
        <v>293</v>
      </c>
      <c r="H4" s="149" t="s">
        <v>295</v>
      </c>
      <c r="I4" s="149" t="s">
        <v>293</v>
      </c>
      <c r="J4" s="275" t="s">
        <v>295</v>
      </c>
      <c r="K4" s="276"/>
      <c r="L4" s="276"/>
      <c r="M4" s="277"/>
      <c r="N4" s="149" t="s">
        <v>293</v>
      </c>
      <c r="O4" s="275" t="s">
        <v>295</v>
      </c>
      <c r="P4" s="276"/>
      <c r="Q4" s="276"/>
      <c r="R4" s="277"/>
      <c r="S4" s="149" t="s">
        <v>293</v>
      </c>
      <c r="T4" s="149" t="s">
        <v>295</v>
      </c>
      <c r="W4" s="37">
        <v>2009</v>
      </c>
      <c r="X4" s="37">
        <v>131.4</v>
      </c>
      <c r="Y4" s="37">
        <v>298.10000000000002</v>
      </c>
      <c r="Z4" s="37">
        <v>83.1</v>
      </c>
      <c r="AA4" s="37">
        <v>226.95</v>
      </c>
      <c r="AB4" s="37">
        <v>767399613</v>
      </c>
      <c r="AC4" s="37">
        <v>5226220</v>
      </c>
      <c r="AD4" s="37">
        <v>145075340624</v>
      </c>
      <c r="AE4" s="37">
        <v>210670387</v>
      </c>
      <c r="AF4" s="37">
        <v>27.45</v>
      </c>
      <c r="AG4" s="37">
        <v>215</v>
      </c>
      <c r="AH4" s="37">
        <v>95.55</v>
      </c>
      <c r="AL4" s="144">
        <v>532832</v>
      </c>
      <c r="AM4" s="145" t="s">
        <v>25</v>
      </c>
      <c r="AN4" s="146">
        <v>41401</v>
      </c>
      <c r="AO4" s="37">
        <v>2</v>
      </c>
      <c r="AP4" s="146">
        <v>41402</v>
      </c>
      <c r="AQ4" s="147"/>
      <c r="AR4" s="147"/>
      <c r="AS4" s="146">
        <v>41394</v>
      </c>
      <c r="AT4" s="146">
        <v>41401</v>
      </c>
      <c r="AU4" s="145" t="s">
        <v>296</v>
      </c>
    </row>
    <row r="5" spans="1:47" ht="58.2" x14ac:dyDescent="0.3">
      <c r="B5" s="150" t="s">
        <v>297</v>
      </c>
      <c r="C5" s="150"/>
      <c r="D5" s="151">
        <v>59265.32</v>
      </c>
      <c r="E5" s="150" t="s">
        <v>297</v>
      </c>
      <c r="F5" s="151">
        <v>23203.439999999999</v>
      </c>
      <c r="G5" s="150" t="s">
        <v>297</v>
      </c>
      <c r="H5" s="151">
        <v>26773.35</v>
      </c>
      <c r="I5" s="150" t="s">
        <v>298</v>
      </c>
      <c r="J5" s="152">
        <v>354.99</v>
      </c>
      <c r="K5" s="152">
        <v>848.99</v>
      </c>
      <c r="L5" s="151">
        <v>3548.61</v>
      </c>
      <c r="M5" s="151">
        <v>1420.56</v>
      </c>
      <c r="N5" s="150" t="s">
        <v>298</v>
      </c>
      <c r="O5" s="151">
        <v>1590.96</v>
      </c>
      <c r="P5" s="152">
        <v>339.9</v>
      </c>
      <c r="Q5" s="152">
        <v>450.28</v>
      </c>
      <c r="R5" s="152">
        <v>477.7</v>
      </c>
      <c r="S5" s="150" t="s">
        <v>297</v>
      </c>
      <c r="T5" s="152">
        <v>133.30000000000001</v>
      </c>
      <c r="W5" s="37">
        <v>2010</v>
      </c>
      <c r="X5" s="37">
        <v>227</v>
      </c>
      <c r="Y5" s="37">
        <v>236.3</v>
      </c>
      <c r="Z5" s="37">
        <v>118.15</v>
      </c>
      <c r="AA5" s="37">
        <v>139.55000000000001</v>
      </c>
      <c r="AB5" s="37">
        <v>263540343</v>
      </c>
      <c r="AC5" s="37">
        <v>2150998</v>
      </c>
      <c r="AD5" s="37">
        <v>44391693930</v>
      </c>
      <c r="AE5" s="37">
        <v>75346371</v>
      </c>
      <c r="AF5" s="37">
        <v>28.59</v>
      </c>
      <c r="AG5" s="37">
        <v>118.15</v>
      </c>
      <c r="AH5" s="37">
        <v>-87.45</v>
      </c>
      <c r="AL5" s="144">
        <v>532832</v>
      </c>
      <c r="AM5" s="145" t="s">
        <v>25</v>
      </c>
      <c r="AN5" s="146">
        <v>41491</v>
      </c>
      <c r="AO5" s="37">
        <v>1</v>
      </c>
      <c r="AP5" s="146">
        <v>41492</v>
      </c>
      <c r="AQ5" s="147"/>
      <c r="AR5" s="147"/>
      <c r="AS5" s="146">
        <v>41485</v>
      </c>
      <c r="AT5" s="146">
        <v>41491</v>
      </c>
      <c r="AU5" s="145" t="s">
        <v>296</v>
      </c>
    </row>
    <row r="6" spans="1:47" ht="58.2" x14ac:dyDescent="0.3">
      <c r="B6" s="150" t="s">
        <v>299</v>
      </c>
      <c r="C6" s="150"/>
      <c r="D6" s="151">
        <v>2291.7600000000002</v>
      </c>
      <c r="E6" s="150" t="s">
        <v>299</v>
      </c>
      <c r="F6" s="151">
        <v>5239.5600000000004</v>
      </c>
      <c r="G6" s="150" t="s">
        <v>300</v>
      </c>
      <c r="H6" s="151">
        <v>26146.18</v>
      </c>
      <c r="I6" s="150" t="s">
        <v>299</v>
      </c>
      <c r="J6" s="151">
        <v>2831.89</v>
      </c>
      <c r="K6" s="151">
        <v>3026.95</v>
      </c>
      <c r="L6" s="151">
        <v>2338.02</v>
      </c>
      <c r="M6" s="152">
        <v>804.43</v>
      </c>
      <c r="N6" s="150" t="s">
        <v>299</v>
      </c>
      <c r="O6" s="152">
        <v>146.31</v>
      </c>
      <c r="P6" s="152">
        <v>994.47</v>
      </c>
      <c r="Q6" s="152">
        <v>947.35</v>
      </c>
      <c r="R6" s="151">
        <v>6011.1</v>
      </c>
      <c r="S6" s="150" t="s">
        <v>299</v>
      </c>
      <c r="T6" s="152">
        <v>137.30000000000001</v>
      </c>
      <c r="W6" s="37">
        <v>2011</v>
      </c>
      <c r="X6" s="37">
        <v>139</v>
      </c>
      <c r="Y6" s="37">
        <v>152.75</v>
      </c>
      <c r="Z6" s="37">
        <v>40.1</v>
      </c>
      <c r="AA6" s="37">
        <v>46.75</v>
      </c>
      <c r="AB6" s="37">
        <v>214935334</v>
      </c>
      <c r="AC6" s="37">
        <v>1374448</v>
      </c>
      <c r="AD6" s="37">
        <v>19945565291</v>
      </c>
      <c r="AE6" s="37">
        <v>68484035</v>
      </c>
      <c r="AF6" s="37">
        <v>31.86</v>
      </c>
      <c r="AG6" s="37">
        <v>112.65</v>
      </c>
      <c r="AH6" s="37">
        <v>-92.25</v>
      </c>
      <c r="AL6" s="144">
        <v>532832</v>
      </c>
      <c r="AM6" s="145" t="s">
        <v>25</v>
      </c>
      <c r="AN6" s="146">
        <v>41578</v>
      </c>
      <c r="AO6" s="37">
        <v>1</v>
      </c>
      <c r="AP6" s="146">
        <v>41579</v>
      </c>
      <c r="AQ6" s="147"/>
      <c r="AR6" s="147"/>
      <c r="AS6" s="146">
        <v>41572</v>
      </c>
      <c r="AT6" s="146">
        <v>41578</v>
      </c>
      <c r="AU6" s="145" t="s">
        <v>296</v>
      </c>
    </row>
    <row r="7" spans="1:47" ht="35.4" x14ac:dyDescent="0.3">
      <c r="A7" s="41">
        <f t="shared" ref="A7:A8" si="0">(C7/D7)^(1/1)-1</f>
        <v>0.10378714231370734</v>
      </c>
      <c r="B7" s="150" t="s">
        <v>301</v>
      </c>
      <c r="C7" s="150">
        <v>52229</v>
      </c>
      <c r="D7" s="151">
        <v>47318</v>
      </c>
      <c r="E7" s="150" t="s">
        <v>301</v>
      </c>
      <c r="F7" s="151">
        <v>28442.99</v>
      </c>
      <c r="G7" s="150" t="s">
        <v>302</v>
      </c>
      <c r="H7" s="152">
        <v>627.16999999999996</v>
      </c>
      <c r="I7" s="150" t="s">
        <v>303</v>
      </c>
      <c r="J7" s="152">
        <v>-312.48</v>
      </c>
      <c r="K7" s="152">
        <v>-604.74</v>
      </c>
      <c r="L7" s="151">
        <v>-1093.02</v>
      </c>
      <c r="M7" s="152">
        <v>-722.46</v>
      </c>
      <c r="N7" s="150" t="s">
        <v>301</v>
      </c>
      <c r="O7" s="151">
        <v>1737.27</v>
      </c>
      <c r="P7" s="151">
        <v>1334.37</v>
      </c>
      <c r="Q7" s="151">
        <v>1397.63</v>
      </c>
      <c r="R7" s="151">
        <v>6488.8</v>
      </c>
      <c r="S7" s="150" t="s">
        <v>301</v>
      </c>
      <c r="T7" s="152">
        <v>270.60000000000002</v>
      </c>
      <c r="W7" s="37">
        <v>2012</v>
      </c>
      <c r="X7" s="37">
        <v>47.2</v>
      </c>
      <c r="Y7" s="37">
        <v>83.9</v>
      </c>
      <c r="Z7" s="37">
        <v>41.75</v>
      </c>
      <c r="AA7" s="37">
        <v>74.8</v>
      </c>
      <c r="AB7" s="37">
        <v>287730673</v>
      </c>
      <c r="AC7" s="37">
        <v>1473315</v>
      </c>
      <c r="AD7" s="37">
        <v>18472811827</v>
      </c>
      <c r="AE7" s="37">
        <v>76123328</v>
      </c>
      <c r="AF7" s="37">
        <v>26.46</v>
      </c>
      <c r="AG7" s="37">
        <v>42.15</v>
      </c>
      <c r="AH7" s="37">
        <v>27.6</v>
      </c>
      <c r="AL7" s="144">
        <v>532832</v>
      </c>
      <c r="AM7" s="145" t="s">
        <v>25</v>
      </c>
      <c r="AN7" s="146">
        <v>41765</v>
      </c>
      <c r="AO7" s="37">
        <v>1</v>
      </c>
      <c r="AP7" s="146">
        <v>41766</v>
      </c>
      <c r="AQ7" s="147"/>
      <c r="AR7" s="147"/>
      <c r="AS7" s="146">
        <v>41758</v>
      </c>
      <c r="AT7" s="146">
        <v>41765</v>
      </c>
      <c r="AU7" s="145" t="s">
        <v>296</v>
      </c>
    </row>
    <row r="8" spans="1:47" ht="24" x14ac:dyDescent="0.25">
      <c r="A8" s="41">
        <f t="shared" si="0"/>
        <v>1.1564006690937716</v>
      </c>
      <c r="B8" s="153" t="s">
        <v>303</v>
      </c>
      <c r="C8" s="153">
        <v>43831</v>
      </c>
      <c r="D8" s="151">
        <v>20326</v>
      </c>
      <c r="E8" s="153" t="s">
        <v>303</v>
      </c>
      <c r="F8" s="151">
        <v>-23072.11</v>
      </c>
      <c r="G8" s="150" t="s">
        <v>299</v>
      </c>
      <c r="H8" s="151">
        <v>1085.07</v>
      </c>
      <c r="I8" s="150" t="s">
        <v>304</v>
      </c>
      <c r="J8" s="151">
        <v>-2736.51</v>
      </c>
      <c r="K8" s="151">
        <v>-1666.55</v>
      </c>
      <c r="L8" s="151">
        <v>-1347.04</v>
      </c>
      <c r="M8" s="151">
        <v>-1263.05</v>
      </c>
      <c r="N8" s="150" t="s">
        <v>303</v>
      </c>
      <c r="O8" s="152">
        <v>-485.59</v>
      </c>
      <c r="P8" s="152">
        <v>-518.24</v>
      </c>
      <c r="Q8" s="152">
        <v>-339.71</v>
      </c>
      <c r="R8" s="152">
        <v>-396.6</v>
      </c>
      <c r="S8" s="150" t="s">
        <v>303</v>
      </c>
      <c r="T8" s="152">
        <v>-75.8</v>
      </c>
      <c r="W8" s="37">
        <v>2013</v>
      </c>
      <c r="X8" s="37">
        <v>75.75</v>
      </c>
      <c r="Y8" s="37">
        <v>87.3</v>
      </c>
      <c r="Z8" s="37">
        <v>50.15</v>
      </c>
      <c r="AA8" s="37">
        <v>68.849999999999994</v>
      </c>
      <c r="AB8" s="37">
        <v>312126971</v>
      </c>
      <c r="AC8" s="37">
        <v>1569314</v>
      </c>
      <c r="AD8" s="37">
        <v>21239010110</v>
      </c>
      <c r="AE8" s="37">
        <v>78109645</v>
      </c>
      <c r="AF8" s="37">
        <v>25.02</v>
      </c>
      <c r="AG8" s="37">
        <v>37.15</v>
      </c>
      <c r="AH8" s="37">
        <v>-6.9</v>
      </c>
      <c r="AO8" s="37">
        <f>SUM(AO2:AO7)</f>
        <v>18.8</v>
      </c>
    </row>
    <row r="9" spans="1:47" ht="57.6" x14ac:dyDescent="0.25">
      <c r="B9" s="150" t="s">
        <v>305</v>
      </c>
      <c r="C9" s="150"/>
      <c r="D9" s="151">
        <v>-22438.6</v>
      </c>
      <c r="E9" s="150" t="s">
        <v>306</v>
      </c>
      <c r="F9" s="151">
        <v>-1160.93</v>
      </c>
      <c r="G9" s="150" t="s">
        <v>307</v>
      </c>
      <c r="H9" s="151">
        <v>-2089.09</v>
      </c>
      <c r="I9" s="150" t="s">
        <v>308</v>
      </c>
      <c r="J9" s="152">
        <v>137.88999999999999</v>
      </c>
      <c r="K9" s="151">
        <v>1604.65</v>
      </c>
      <c r="L9" s="151">
        <v>3446.57</v>
      </c>
      <c r="M9" s="152">
        <v>239.48</v>
      </c>
      <c r="N9" s="150" t="s">
        <v>304</v>
      </c>
      <c r="O9" s="152">
        <v>-542.38</v>
      </c>
      <c r="P9" s="152">
        <v>-531.04</v>
      </c>
      <c r="Q9" s="152">
        <v>-798.26</v>
      </c>
      <c r="R9" s="152">
        <v>-38.4</v>
      </c>
      <c r="S9" s="150" t="s">
        <v>309</v>
      </c>
      <c r="T9" s="152">
        <v>194.8</v>
      </c>
      <c r="W9" s="37">
        <v>2014</v>
      </c>
      <c r="X9" s="37">
        <v>68.400000000000006</v>
      </c>
      <c r="Y9" s="37">
        <v>109.45</v>
      </c>
      <c r="Z9" s="37">
        <v>45.1</v>
      </c>
      <c r="AA9" s="37">
        <v>68.849999999999994</v>
      </c>
      <c r="AB9" s="37">
        <v>362696695</v>
      </c>
      <c r="AC9" s="37">
        <v>2444884</v>
      </c>
      <c r="AD9" s="37">
        <v>27649520852</v>
      </c>
      <c r="AE9" s="37">
        <v>114493029</v>
      </c>
      <c r="AF9" s="37">
        <v>31.57</v>
      </c>
      <c r="AG9" s="37">
        <v>64.349999999999994</v>
      </c>
      <c r="AH9" s="37">
        <v>0.45</v>
      </c>
    </row>
    <row r="10" spans="1:47" ht="57.6" x14ac:dyDescent="0.25">
      <c r="A10" s="41">
        <f>(C10/D10)^(1/1)-1</f>
        <v>-0.37610857296425693</v>
      </c>
      <c r="B10" s="150" t="s">
        <v>310</v>
      </c>
      <c r="C10" s="150">
        <v>4643</v>
      </c>
      <c r="D10" s="151">
        <v>7442</v>
      </c>
      <c r="E10" s="150" t="s">
        <v>310</v>
      </c>
      <c r="F10" s="151">
        <v>-5608.12</v>
      </c>
      <c r="G10" s="150" t="s">
        <v>311</v>
      </c>
      <c r="H10" s="152">
        <v>-725.32</v>
      </c>
      <c r="I10" s="150" t="s">
        <v>312</v>
      </c>
      <c r="J10" s="152">
        <v>-46.57</v>
      </c>
      <c r="K10" s="152">
        <v>-32.14</v>
      </c>
      <c r="L10" s="152">
        <v>-33.33</v>
      </c>
      <c r="M10" s="152">
        <v>-31.95</v>
      </c>
      <c r="N10" s="150" t="s">
        <v>308</v>
      </c>
      <c r="O10" s="152">
        <v>709.3</v>
      </c>
      <c r="P10" s="152">
        <v>285.08999999999997</v>
      </c>
      <c r="Q10" s="152">
        <v>259.66000000000003</v>
      </c>
      <c r="R10" s="151">
        <v>6053.8</v>
      </c>
      <c r="S10" s="150" t="s">
        <v>304</v>
      </c>
      <c r="T10" s="152">
        <v>-1.2</v>
      </c>
      <c r="W10" s="37">
        <v>2015</v>
      </c>
      <c r="X10" s="37">
        <v>68.7</v>
      </c>
      <c r="Y10" s="37">
        <v>86.9</v>
      </c>
      <c r="Z10" s="37">
        <v>41</v>
      </c>
      <c r="AA10" s="37">
        <v>62.4</v>
      </c>
      <c r="AB10" s="37">
        <v>327528996</v>
      </c>
      <c r="AC10" s="37">
        <v>1500148</v>
      </c>
      <c r="AD10" s="37">
        <v>20934830016</v>
      </c>
      <c r="AE10" s="37">
        <v>80398757</v>
      </c>
      <c r="AF10" s="37">
        <v>24.55</v>
      </c>
      <c r="AG10" s="37">
        <v>45.9</v>
      </c>
      <c r="AH10" s="37">
        <v>-6.3</v>
      </c>
    </row>
    <row r="11" spans="1:47" ht="91.8" x14ac:dyDescent="0.25">
      <c r="B11" s="150" t="s">
        <v>313</v>
      </c>
      <c r="C11" s="150"/>
      <c r="D11" s="152">
        <v>-965.08</v>
      </c>
      <c r="E11" s="150" t="s">
        <v>313</v>
      </c>
      <c r="F11" s="152">
        <v>-714.31</v>
      </c>
      <c r="G11" s="150" t="s">
        <v>314</v>
      </c>
      <c r="H11" s="151">
        <v>-16444.740000000002</v>
      </c>
      <c r="I11" s="150" t="s">
        <v>315</v>
      </c>
      <c r="J11" s="152">
        <v>91.33</v>
      </c>
      <c r="K11" s="151">
        <v>1572.51</v>
      </c>
      <c r="L11" s="151">
        <v>3413.23</v>
      </c>
      <c r="M11" s="152">
        <v>207.54</v>
      </c>
      <c r="N11" s="150" t="s">
        <v>312</v>
      </c>
      <c r="O11" s="152">
        <v>-30.34</v>
      </c>
      <c r="P11" s="152">
        <v>-29.06</v>
      </c>
      <c r="Q11" s="152">
        <v>-25.5</v>
      </c>
      <c r="R11" s="152">
        <v>-20.8</v>
      </c>
      <c r="S11" s="150" t="s">
        <v>316</v>
      </c>
      <c r="T11" s="152">
        <v>193.6</v>
      </c>
      <c r="W11" s="37">
        <v>2016</v>
      </c>
      <c r="X11" s="37">
        <v>64.099999999999994</v>
      </c>
      <c r="Y11" s="37">
        <v>105.25</v>
      </c>
      <c r="Z11" s="37">
        <v>42.25</v>
      </c>
      <c r="AA11" s="37">
        <v>71.3</v>
      </c>
      <c r="AB11" s="37">
        <v>344287054</v>
      </c>
      <c r="AC11" s="37">
        <v>1248060</v>
      </c>
      <c r="AD11" s="37">
        <v>26767609464</v>
      </c>
      <c r="AE11" s="37">
        <v>71209667</v>
      </c>
      <c r="AF11" s="37">
        <v>20.68</v>
      </c>
      <c r="AG11" s="37">
        <v>63</v>
      </c>
      <c r="AH11" s="37">
        <v>7.2</v>
      </c>
    </row>
    <row r="12" spans="1:47" ht="57.6" x14ac:dyDescent="0.25">
      <c r="B12" s="150" t="s">
        <v>307</v>
      </c>
      <c r="C12" s="150"/>
      <c r="D12" s="151">
        <v>-6886.95</v>
      </c>
      <c r="E12" s="150" t="s">
        <v>307</v>
      </c>
      <c r="F12" s="151">
        <v>-3674.88</v>
      </c>
      <c r="G12" s="150" t="s">
        <v>317</v>
      </c>
      <c r="H12" s="152">
        <v>-94.55</v>
      </c>
      <c r="I12" s="150" t="s">
        <v>318</v>
      </c>
      <c r="J12" s="152">
        <v>139.25</v>
      </c>
      <c r="K12" s="152">
        <v>-126.98</v>
      </c>
      <c r="L12" s="152">
        <v>-727.62</v>
      </c>
      <c r="M12" s="152">
        <v>-63.01</v>
      </c>
      <c r="N12" s="150" t="s">
        <v>315</v>
      </c>
      <c r="O12" s="152">
        <v>678.96</v>
      </c>
      <c r="P12" s="152">
        <v>256.04000000000002</v>
      </c>
      <c r="Q12" s="152">
        <v>234.16</v>
      </c>
      <c r="R12" s="151">
        <v>6033</v>
      </c>
      <c r="S12" s="150" t="s">
        <v>312</v>
      </c>
      <c r="T12" s="152">
        <v>-7.1</v>
      </c>
      <c r="W12" s="37">
        <v>2017</v>
      </c>
      <c r="X12" s="37">
        <v>72.150000000000006</v>
      </c>
      <c r="Y12" s="37">
        <v>269.5</v>
      </c>
      <c r="Z12" s="37">
        <v>71.75</v>
      </c>
      <c r="AA12" s="37">
        <v>223.2</v>
      </c>
      <c r="AB12" s="37">
        <v>494958079</v>
      </c>
      <c r="AC12" s="37">
        <v>2080750</v>
      </c>
      <c r="AD12" s="37">
        <v>88027646178</v>
      </c>
      <c r="AE12" s="37">
        <v>133154156</v>
      </c>
      <c r="AF12" s="37">
        <v>26.9</v>
      </c>
      <c r="AG12" s="37">
        <v>197.75</v>
      </c>
      <c r="AH12" s="37">
        <v>151.05000000000001</v>
      </c>
    </row>
    <row r="13" spans="1:47" ht="91.8" x14ac:dyDescent="0.25">
      <c r="B13" s="150" t="s">
        <v>319</v>
      </c>
      <c r="C13" s="150"/>
      <c r="D13" s="151">
        <v>-1280.8599999999999</v>
      </c>
      <c r="E13" s="150" t="s">
        <v>314</v>
      </c>
      <c r="F13" s="151">
        <v>-11913.88</v>
      </c>
      <c r="G13" s="153" t="s">
        <v>303</v>
      </c>
      <c r="H13" s="151">
        <v>-19353.7</v>
      </c>
      <c r="I13" s="150" t="s">
        <v>320</v>
      </c>
      <c r="J13" s="152">
        <v>230.58</v>
      </c>
      <c r="K13" s="151">
        <v>1445.53</v>
      </c>
      <c r="L13" s="151">
        <v>2685.61</v>
      </c>
      <c r="M13" s="152">
        <v>144.53</v>
      </c>
      <c r="N13" s="150" t="s">
        <v>318</v>
      </c>
      <c r="O13" s="152">
        <v>-220.91</v>
      </c>
      <c r="P13" s="152">
        <v>-31.59</v>
      </c>
      <c r="Q13" s="152">
        <v>-68.540000000000006</v>
      </c>
      <c r="R13" s="151">
        <v>-1355.9</v>
      </c>
      <c r="S13" s="150" t="s">
        <v>315</v>
      </c>
      <c r="T13" s="152">
        <v>186.5</v>
      </c>
      <c r="W13" s="37">
        <v>2018</v>
      </c>
      <c r="X13" s="37">
        <v>224</v>
      </c>
      <c r="Y13" s="37">
        <v>263.64999999999998</v>
      </c>
      <c r="Z13" s="37">
        <v>170.2</v>
      </c>
      <c r="AA13" s="37">
        <v>187.1</v>
      </c>
      <c r="AB13" s="37">
        <v>122934824</v>
      </c>
      <c r="AC13" s="37">
        <v>658469</v>
      </c>
      <c r="AD13" s="37">
        <v>25805883406</v>
      </c>
      <c r="AE13" s="37">
        <v>45074655</v>
      </c>
      <c r="AF13" s="37">
        <v>36.67</v>
      </c>
      <c r="AG13" s="37">
        <v>93.45</v>
      </c>
      <c r="AH13" s="37">
        <v>-36.9</v>
      </c>
    </row>
    <row r="14" spans="1:47" ht="69" x14ac:dyDescent="0.25">
      <c r="B14" s="150" t="s">
        <v>321</v>
      </c>
      <c r="C14" s="150"/>
      <c r="D14" s="151">
        <v>22543.32</v>
      </c>
      <c r="E14" s="150" t="s">
        <v>322</v>
      </c>
      <c r="F14" s="151">
        <v>5370.88</v>
      </c>
      <c r="G14" s="150" t="s">
        <v>304</v>
      </c>
      <c r="H14" s="151">
        <v>-3483.74</v>
      </c>
      <c r="I14" s="150" t="s">
        <v>323</v>
      </c>
      <c r="J14" s="152">
        <v>849.96</v>
      </c>
      <c r="K14" s="152">
        <v>848.02</v>
      </c>
      <c r="L14" s="152">
        <v>848.02</v>
      </c>
      <c r="M14" s="152">
        <v>948.02</v>
      </c>
      <c r="N14" s="150" t="s">
        <v>320</v>
      </c>
      <c r="O14" s="152">
        <v>458.05</v>
      </c>
      <c r="P14" s="152">
        <v>224.45</v>
      </c>
      <c r="Q14" s="152">
        <v>165.62</v>
      </c>
      <c r="R14" s="151">
        <v>4677.1000000000004</v>
      </c>
      <c r="S14" s="150" t="s">
        <v>318</v>
      </c>
      <c r="T14" s="152">
        <v>-55.3</v>
      </c>
    </row>
    <row r="15" spans="1:47" ht="23.4" x14ac:dyDescent="0.25">
      <c r="B15" s="150" t="s">
        <v>318</v>
      </c>
      <c r="C15" s="150"/>
      <c r="D15" s="151">
        <v>-2692.92</v>
      </c>
      <c r="E15" s="150" t="s">
        <v>324</v>
      </c>
      <c r="F15" s="152">
        <v>0</v>
      </c>
      <c r="G15" s="150" t="s">
        <v>299</v>
      </c>
      <c r="H15" s="152">
        <v>546.15</v>
      </c>
      <c r="I15" s="150" t="s">
        <v>325</v>
      </c>
      <c r="J15" s="151">
        <v>54239.360000000001</v>
      </c>
      <c r="K15" s="151">
        <v>54190.559999999998</v>
      </c>
      <c r="L15" s="151">
        <v>54128.800000000003</v>
      </c>
      <c r="M15" s="151">
        <v>56274.47</v>
      </c>
      <c r="N15" s="150" t="s">
        <v>323</v>
      </c>
      <c r="O15" s="152">
        <v>804.48</v>
      </c>
      <c r="P15" s="152">
        <v>803.08</v>
      </c>
      <c r="Q15" s="152">
        <v>515.04</v>
      </c>
      <c r="R15" s="152">
        <v>481.7</v>
      </c>
      <c r="S15" s="150" t="s">
        <v>326</v>
      </c>
      <c r="T15" s="152">
        <v>131.19999999999999</v>
      </c>
      <c r="X15" s="37">
        <f>(100*AO8)/X2</f>
        <v>4.9467175371661618</v>
      </c>
    </row>
    <row r="16" spans="1:47" ht="69" x14ac:dyDescent="0.25">
      <c r="B16" s="150" t="s">
        <v>327</v>
      </c>
      <c r="C16" s="150"/>
      <c r="D16" s="151">
        <v>19850.400000000001</v>
      </c>
      <c r="E16" s="150" t="s">
        <v>321</v>
      </c>
      <c r="F16" s="151">
        <v>5370.88</v>
      </c>
      <c r="G16" s="150" t="s">
        <v>328</v>
      </c>
      <c r="H16" s="152">
        <v>538.91999999999996</v>
      </c>
      <c r="I16" s="150" t="s">
        <v>329</v>
      </c>
      <c r="J16" s="152">
        <v>0.54</v>
      </c>
      <c r="K16" s="152" t="s">
        <v>289</v>
      </c>
      <c r="L16" s="152" t="s">
        <v>289</v>
      </c>
      <c r="M16" s="152" t="s">
        <v>289</v>
      </c>
      <c r="N16" s="150" t="s">
        <v>325</v>
      </c>
      <c r="O16" s="151">
        <v>58139.9</v>
      </c>
      <c r="P16" s="151">
        <v>64142.37</v>
      </c>
      <c r="Q16" s="151">
        <v>35058.42</v>
      </c>
      <c r="R16" s="151">
        <v>23750.7</v>
      </c>
      <c r="S16" s="150" t="s">
        <v>320</v>
      </c>
      <c r="T16" s="152">
        <v>131.19999999999999</v>
      </c>
    </row>
    <row r="17" spans="1:20" ht="69" x14ac:dyDescent="0.25">
      <c r="A17" s="41">
        <f>(C17/D17)^(1/1)-1</f>
        <v>-0.7862773351415494</v>
      </c>
      <c r="B17" s="150" t="s">
        <v>320</v>
      </c>
      <c r="C17" s="150">
        <v>5043</v>
      </c>
      <c r="D17" s="151">
        <v>23596</v>
      </c>
      <c r="E17" s="150" t="s">
        <v>318</v>
      </c>
      <c r="F17" s="151">
        <v>-1826.15</v>
      </c>
      <c r="G17" s="150" t="s">
        <v>321</v>
      </c>
      <c r="H17" s="151">
        <v>5020.99</v>
      </c>
      <c r="I17" s="150" t="s">
        <v>330</v>
      </c>
      <c r="J17" s="152" t="s">
        <v>289</v>
      </c>
      <c r="K17" s="152">
        <v>3.41</v>
      </c>
      <c r="L17" s="152">
        <v>6.08</v>
      </c>
      <c r="M17" s="152">
        <v>0.34</v>
      </c>
      <c r="N17" s="150" t="s">
        <v>330</v>
      </c>
      <c r="O17" s="152">
        <v>1.1399999999999999</v>
      </c>
      <c r="P17" s="152">
        <v>0.38</v>
      </c>
      <c r="Q17" s="152">
        <v>0.02</v>
      </c>
      <c r="R17" s="152">
        <v>20.72</v>
      </c>
      <c r="S17" s="150" t="s">
        <v>323</v>
      </c>
      <c r="T17" s="152">
        <v>359.4</v>
      </c>
    </row>
    <row r="18" spans="1:20" ht="46.2" x14ac:dyDescent="0.25">
      <c r="B18" s="150" t="s">
        <v>331</v>
      </c>
      <c r="C18" s="150"/>
      <c r="D18" s="151">
        <v>-1339.09</v>
      </c>
      <c r="E18" s="150" t="s">
        <v>331</v>
      </c>
      <c r="F18" s="151">
        <v>-1137.28</v>
      </c>
      <c r="G18" s="150" t="s">
        <v>318</v>
      </c>
      <c r="H18" s="151">
        <v>-1607.61</v>
      </c>
      <c r="I18" s="150" t="s">
        <v>332</v>
      </c>
      <c r="J18" s="152" t="s">
        <v>289</v>
      </c>
      <c r="K18" s="152">
        <v>3.41</v>
      </c>
      <c r="L18" s="152">
        <v>6.07</v>
      </c>
      <c r="M18" s="152">
        <v>0.34</v>
      </c>
      <c r="N18" s="150" t="s">
        <v>332</v>
      </c>
      <c r="O18" s="152">
        <v>1.1299999999999999</v>
      </c>
      <c r="P18" s="152">
        <v>0.37</v>
      </c>
      <c r="Q18" s="152">
        <v>0.02</v>
      </c>
      <c r="R18" s="152">
        <v>18.72</v>
      </c>
      <c r="S18" s="150" t="s">
        <v>325</v>
      </c>
      <c r="T18" s="151">
        <v>4957.7</v>
      </c>
    </row>
    <row r="19" spans="1:20" ht="69" x14ac:dyDescent="0.25">
      <c r="B19" s="150" t="s">
        <v>333</v>
      </c>
      <c r="C19" s="150"/>
      <c r="D19" s="151">
        <v>-1457.73</v>
      </c>
      <c r="E19" s="150" t="s">
        <v>333</v>
      </c>
      <c r="F19" s="152">
        <v>-688.87</v>
      </c>
      <c r="G19" s="150" t="s">
        <v>327</v>
      </c>
      <c r="H19" s="151">
        <v>3413.38</v>
      </c>
      <c r="I19" s="150" t="s">
        <v>334</v>
      </c>
      <c r="J19" s="152" t="s">
        <v>335</v>
      </c>
      <c r="K19" s="152" t="s">
        <v>336</v>
      </c>
      <c r="L19" s="152" t="s">
        <v>337</v>
      </c>
      <c r="M19" s="152" t="s">
        <v>338</v>
      </c>
      <c r="N19" s="150" t="s">
        <v>334</v>
      </c>
      <c r="O19" s="152" t="s">
        <v>339</v>
      </c>
      <c r="P19" s="152" t="s">
        <v>340</v>
      </c>
      <c r="Q19" s="152" t="s">
        <v>341</v>
      </c>
      <c r="R19" s="152" t="s">
        <v>342</v>
      </c>
      <c r="S19" s="150" t="s">
        <v>329</v>
      </c>
      <c r="T19" s="152">
        <v>0.11</v>
      </c>
    </row>
    <row r="20" spans="1:20" ht="69" x14ac:dyDescent="0.25">
      <c r="B20" s="150" t="s">
        <v>343</v>
      </c>
      <c r="C20" s="150"/>
      <c r="D20" s="152">
        <v>103.9</v>
      </c>
      <c r="E20" s="150" t="s">
        <v>327</v>
      </c>
      <c r="F20" s="151">
        <v>3544.73</v>
      </c>
      <c r="G20" s="150" t="s">
        <v>344</v>
      </c>
      <c r="H20" s="152">
        <v>0</v>
      </c>
      <c r="I20" s="150" t="s">
        <v>345</v>
      </c>
      <c r="J20" s="152">
        <v>62.27</v>
      </c>
      <c r="K20" s="152">
        <v>50.68</v>
      </c>
      <c r="L20" s="152">
        <v>55.62</v>
      </c>
      <c r="M20" s="152">
        <v>61.53</v>
      </c>
      <c r="N20" s="150" t="s">
        <v>345</v>
      </c>
      <c r="O20" s="152">
        <v>77.040000000000006</v>
      </c>
      <c r="P20" s="152">
        <v>78.819999999999993</v>
      </c>
      <c r="Q20" s="152">
        <v>66.040000000000006</v>
      </c>
      <c r="R20" s="152">
        <v>63.88</v>
      </c>
      <c r="S20" s="150" t="s">
        <v>346</v>
      </c>
      <c r="T20" s="152" t="s">
        <v>347</v>
      </c>
    </row>
    <row r="21" spans="1:20" ht="15.75" customHeight="1" x14ac:dyDescent="0.25">
      <c r="B21" s="150" t="s">
        <v>348</v>
      </c>
      <c r="C21" s="150"/>
      <c r="D21" s="152">
        <v>0</v>
      </c>
      <c r="E21" s="150" t="s">
        <v>349</v>
      </c>
      <c r="F21" s="152">
        <v>0</v>
      </c>
      <c r="G21" s="150" t="s">
        <v>350</v>
      </c>
      <c r="H21" s="152">
        <v>0</v>
      </c>
      <c r="I21" s="150" t="s">
        <v>351</v>
      </c>
      <c r="J21" s="152">
        <v>809.71</v>
      </c>
      <c r="K21" s="152">
        <v>385.3</v>
      </c>
      <c r="L21" s="152">
        <v>135.08000000000001</v>
      </c>
      <c r="M21" s="152">
        <v>105.77</v>
      </c>
      <c r="N21" s="150" t="s">
        <v>351</v>
      </c>
      <c r="O21" s="152">
        <v>78.67</v>
      </c>
      <c r="P21" s="152">
        <v>240.11</v>
      </c>
      <c r="Q21" s="152">
        <v>234.95</v>
      </c>
      <c r="R21" s="151">
        <v>1275.32</v>
      </c>
      <c r="S21" s="150" t="s">
        <v>352</v>
      </c>
      <c r="T21" s="152">
        <v>65.75</v>
      </c>
    </row>
    <row r="22" spans="1:20" ht="15.75" customHeight="1" x14ac:dyDescent="0.25">
      <c r="B22" s="150" t="s">
        <v>353</v>
      </c>
      <c r="C22" s="150"/>
      <c r="D22" s="152">
        <v>0</v>
      </c>
      <c r="E22" s="150" t="s">
        <v>354</v>
      </c>
      <c r="F22" s="151">
        <v>3544.73</v>
      </c>
      <c r="G22" s="150" t="s">
        <v>320</v>
      </c>
      <c r="H22" s="151">
        <v>3413.38</v>
      </c>
      <c r="I22" s="150" t="s">
        <v>355</v>
      </c>
      <c r="J22" s="152">
        <v>64.95</v>
      </c>
      <c r="K22" s="152">
        <v>170.26</v>
      </c>
      <c r="L22" s="152">
        <v>75.680000000000007</v>
      </c>
      <c r="M22" s="152">
        <v>10.17</v>
      </c>
      <c r="N22" s="150" t="s">
        <v>355</v>
      </c>
      <c r="O22" s="152">
        <v>28.79</v>
      </c>
      <c r="P22" s="152">
        <v>66.03</v>
      </c>
      <c r="Q22" s="152">
        <v>36.78</v>
      </c>
      <c r="R22" s="152">
        <v>979.09</v>
      </c>
      <c r="S22" s="150" t="s">
        <v>356</v>
      </c>
      <c r="T22" s="152" t="s">
        <v>357</v>
      </c>
    </row>
    <row r="23" spans="1:20" ht="15.75" customHeight="1" x14ac:dyDescent="0.3">
      <c r="B23" s="150" t="s">
        <v>358</v>
      </c>
      <c r="C23" s="150"/>
      <c r="D23" s="151">
        <v>19801.97</v>
      </c>
      <c r="E23" s="150" t="s">
        <v>359</v>
      </c>
      <c r="F23" s="152">
        <v>0</v>
      </c>
      <c r="G23" s="150" t="s">
        <v>348</v>
      </c>
      <c r="H23" s="152">
        <v>-340.97</v>
      </c>
      <c r="I23" s="150" t="s">
        <v>360</v>
      </c>
      <c r="J23" s="152">
        <v>0.65</v>
      </c>
      <c r="K23" s="152">
        <v>3.48</v>
      </c>
      <c r="L23" s="152">
        <v>6.41</v>
      </c>
      <c r="M23" s="152">
        <v>0.37</v>
      </c>
      <c r="N23" s="150" t="s">
        <v>360</v>
      </c>
      <c r="O23" s="152">
        <v>1.21</v>
      </c>
      <c r="P23" s="152">
        <v>0.63</v>
      </c>
      <c r="Q23" s="152">
        <v>0.74</v>
      </c>
      <c r="R23" s="152">
        <v>19.510000000000002</v>
      </c>
      <c r="S23" s="150" t="s">
        <v>361</v>
      </c>
      <c r="T23" s="154" t="s">
        <v>362</v>
      </c>
    </row>
    <row r="24" spans="1:20" ht="15.75" customHeight="1" x14ac:dyDescent="0.3">
      <c r="B24" s="150" t="s">
        <v>363</v>
      </c>
      <c r="C24" s="150"/>
      <c r="D24" s="152">
        <v>0</v>
      </c>
      <c r="E24" s="150" t="s">
        <v>364</v>
      </c>
      <c r="F24" s="152">
        <v>0</v>
      </c>
      <c r="G24" s="150" t="s">
        <v>365</v>
      </c>
      <c r="H24" s="151">
        <v>-1607.61</v>
      </c>
      <c r="I24" s="150" t="s">
        <v>361</v>
      </c>
      <c r="J24" s="154" t="s">
        <v>361</v>
      </c>
      <c r="K24" s="154" t="s">
        <v>361</v>
      </c>
      <c r="L24" s="154" t="s">
        <v>361</v>
      </c>
      <c r="M24" s="154" t="s">
        <v>361</v>
      </c>
      <c r="N24" s="150" t="s">
        <v>361</v>
      </c>
      <c r="O24" s="154" t="s">
        <v>361</v>
      </c>
      <c r="P24" s="154" t="s">
        <v>361</v>
      </c>
      <c r="Q24" s="154" t="s">
        <v>361</v>
      </c>
      <c r="R24" s="154" t="s">
        <v>362</v>
      </c>
    </row>
    <row r="25" spans="1:20" ht="15.75" customHeight="1" x14ac:dyDescent="0.25">
      <c r="B25" s="150" t="s">
        <v>366</v>
      </c>
      <c r="C25" s="150"/>
      <c r="D25" s="151">
        <v>19801.97</v>
      </c>
      <c r="E25" s="150" t="s">
        <v>367</v>
      </c>
      <c r="F25" s="152">
        <v>0</v>
      </c>
      <c r="G25" s="150" t="s">
        <v>353</v>
      </c>
      <c r="H25" s="152">
        <v>-21.93</v>
      </c>
    </row>
    <row r="26" spans="1:20" ht="15.75" customHeight="1" x14ac:dyDescent="0.25">
      <c r="B26" s="153" t="s">
        <v>368</v>
      </c>
      <c r="C26" s="153"/>
      <c r="D26" s="152"/>
      <c r="E26" s="150" t="s">
        <v>369</v>
      </c>
      <c r="F26" s="152">
        <v>22.01</v>
      </c>
      <c r="G26" s="150" t="s">
        <v>358</v>
      </c>
      <c r="H26" s="151">
        <v>3050.48</v>
      </c>
    </row>
    <row r="27" spans="1:20" ht="15.75" customHeight="1" x14ac:dyDescent="0.25">
      <c r="B27" s="150" t="s">
        <v>324</v>
      </c>
      <c r="C27" s="150"/>
      <c r="D27" s="152">
        <v>0</v>
      </c>
      <c r="E27" s="150" t="s">
        <v>320</v>
      </c>
      <c r="F27" s="151">
        <v>3566.74</v>
      </c>
      <c r="G27" s="150" t="s">
        <v>363</v>
      </c>
      <c r="H27" s="152">
        <v>0</v>
      </c>
    </row>
    <row r="28" spans="1:20" ht="15.75" customHeight="1" x14ac:dyDescent="0.25">
      <c r="B28" s="150" t="s">
        <v>322</v>
      </c>
      <c r="C28" s="150"/>
      <c r="D28" s="151">
        <v>22543.32</v>
      </c>
      <c r="E28" s="150" t="s">
        <v>348</v>
      </c>
      <c r="F28" s="152">
        <v>0</v>
      </c>
      <c r="G28" s="150" t="s">
        <v>366</v>
      </c>
      <c r="H28" s="151">
        <v>3050.48</v>
      </c>
    </row>
    <row r="29" spans="1:20" ht="15.75" customHeight="1" x14ac:dyDescent="0.25">
      <c r="B29" s="150" t="s">
        <v>354</v>
      </c>
      <c r="C29" s="150"/>
      <c r="D29" s="151">
        <v>19850.400000000001</v>
      </c>
      <c r="E29" s="150" t="s">
        <v>353</v>
      </c>
      <c r="F29" s="152">
        <v>0</v>
      </c>
      <c r="G29" s="150" t="s">
        <v>370</v>
      </c>
      <c r="H29" s="152">
        <v>0</v>
      </c>
    </row>
    <row r="30" spans="1:20" ht="15.75" customHeight="1" x14ac:dyDescent="0.25">
      <c r="B30" s="150" t="s">
        <v>359</v>
      </c>
      <c r="C30" s="150"/>
      <c r="D30" s="152">
        <v>0</v>
      </c>
      <c r="E30" s="150" t="s">
        <v>358</v>
      </c>
      <c r="F30" s="151">
        <v>3566.74</v>
      </c>
      <c r="G30" s="150" t="s">
        <v>323</v>
      </c>
      <c r="H30" s="152">
        <v>923.36</v>
      </c>
    </row>
    <row r="31" spans="1:20" ht="15.75" customHeight="1" x14ac:dyDescent="0.25">
      <c r="B31" s="150" t="s">
        <v>364</v>
      </c>
      <c r="C31" s="150"/>
      <c r="D31" s="152">
        <v>0</v>
      </c>
      <c r="E31" s="150" t="s">
        <v>363</v>
      </c>
      <c r="F31" s="152">
        <v>0</v>
      </c>
      <c r="G31" s="150" t="s">
        <v>325</v>
      </c>
      <c r="H31" s="151">
        <v>74599.86</v>
      </c>
    </row>
    <row r="32" spans="1:20" ht="15.75" customHeight="1" x14ac:dyDescent="0.25">
      <c r="B32" s="150" t="s">
        <v>367</v>
      </c>
      <c r="C32" s="150"/>
      <c r="D32" s="152">
        <v>0</v>
      </c>
      <c r="E32" s="150" t="s">
        <v>366</v>
      </c>
      <c r="F32" s="151">
        <v>3566.74</v>
      </c>
      <c r="G32" s="153" t="s">
        <v>368</v>
      </c>
      <c r="H32" s="152"/>
    </row>
    <row r="33" spans="1:8" ht="15.75" customHeight="1" x14ac:dyDescent="0.25">
      <c r="B33" s="150" t="s">
        <v>371</v>
      </c>
      <c r="C33" s="150"/>
      <c r="D33" s="152">
        <v>538.91</v>
      </c>
      <c r="E33" s="150" t="s">
        <v>371</v>
      </c>
      <c r="F33" s="151">
        <v>-1728</v>
      </c>
      <c r="G33" s="150" t="s">
        <v>324</v>
      </c>
      <c r="H33" s="152">
        <v>0</v>
      </c>
    </row>
    <row r="34" spans="1:8" ht="15.75" customHeight="1" x14ac:dyDescent="0.25">
      <c r="B34" s="150" t="s">
        <v>372</v>
      </c>
      <c r="C34" s="150"/>
      <c r="D34" s="152">
        <v>0</v>
      </c>
      <c r="E34" s="150" t="s">
        <v>373</v>
      </c>
      <c r="F34" s="152">
        <v>0</v>
      </c>
      <c r="G34" s="150" t="s">
        <v>374</v>
      </c>
      <c r="H34" s="152">
        <v>2</v>
      </c>
    </row>
    <row r="35" spans="1:8" ht="15.75" customHeight="1" x14ac:dyDescent="0.25">
      <c r="B35" s="150" t="s">
        <v>375</v>
      </c>
      <c r="C35" s="150"/>
      <c r="D35" s="151">
        <v>20340.88</v>
      </c>
      <c r="E35" s="150" t="s">
        <v>376</v>
      </c>
      <c r="F35" s="152">
        <v>0</v>
      </c>
      <c r="G35" s="153" t="s">
        <v>377</v>
      </c>
      <c r="H35" s="152"/>
    </row>
    <row r="36" spans="1:8" ht="15.75" customHeight="1" x14ac:dyDescent="0.25">
      <c r="B36" s="150" t="s">
        <v>373</v>
      </c>
      <c r="C36" s="150"/>
      <c r="D36" s="152">
        <v>0</v>
      </c>
      <c r="E36" s="150" t="s">
        <v>378</v>
      </c>
      <c r="F36" s="152">
        <v>0</v>
      </c>
      <c r="G36" s="150" t="s">
        <v>379</v>
      </c>
      <c r="H36" s="151">
        <v>7419.65</v>
      </c>
    </row>
    <row r="37" spans="1:8" ht="15.75" customHeight="1" x14ac:dyDescent="0.25">
      <c r="B37" s="150" t="s">
        <v>376</v>
      </c>
      <c r="C37" s="150"/>
      <c r="D37" s="152">
        <v>0</v>
      </c>
      <c r="E37" s="150" t="s">
        <v>380</v>
      </c>
      <c r="F37" s="152">
        <v>0</v>
      </c>
      <c r="G37" s="150" t="s">
        <v>381</v>
      </c>
      <c r="H37" s="151">
        <v>8504.73</v>
      </c>
    </row>
    <row r="38" spans="1:8" ht="15.75" customHeight="1" x14ac:dyDescent="0.25">
      <c r="B38" s="150" t="s">
        <v>378</v>
      </c>
      <c r="C38" s="150"/>
      <c r="D38" s="152">
        <v>0</v>
      </c>
      <c r="E38" s="150" t="s">
        <v>372</v>
      </c>
      <c r="F38" s="152">
        <v>0</v>
      </c>
      <c r="G38" s="150" t="s">
        <v>322</v>
      </c>
      <c r="H38" s="151">
        <v>5020.99</v>
      </c>
    </row>
    <row r="39" spans="1:8" ht="15.75" customHeight="1" x14ac:dyDescent="0.25">
      <c r="B39" s="150" t="s">
        <v>380</v>
      </c>
      <c r="C39" s="150"/>
      <c r="D39" s="152">
        <v>0</v>
      </c>
      <c r="E39" s="150" t="s">
        <v>375</v>
      </c>
      <c r="F39" s="151">
        <v>1838.74</v>
      </c>
      <c r="G39" s="150" t="s">
        <v>354</v>
      </c>
      <c r="H39" s="151">
        <v>3413.38</v>
      </c>
    </row>
    <row r="40" spans="1:8" ht="15.75" customHeight="1" x14ac:dyDescent="0.25">
      <c r="B40" s="150" t="s">
        <v>349</v>
      </c>
      <c r="C40" s="150"/>
      <c r="D40" s="152">
        <v>0</v>
      </c>
      <c r="E40" s="153" t="s">
        <v>368</v>
      </c>
      <c r="F40" s="152"/>
      <c r="G40" s="150" t="s">
        <v>359</v>
      </c>
      <c r="H40" s="152">
        <v>0</v>
      </c>
    </row>
    <row r="41" spans="1:8" ht="15.75" customHeight="1" x14ac:dyDescent="0.25">
      <c r="B41" s="150" t="s">
        <v>369</v>
      </c>
      <c r="C41" s="150"/>
      <c r="D41" s="152">
        <v>-48.43</v>
      </c>
      <c r="E41" s="150" t="s">
        <v>382</v>
      </c>
      <c r="F41" s="152">
        <v>8.66</v>
      </c>
      <c r="G41" s="150" t="s">
        <v>364</v>
      </c>
      <c r="H41" s="152">
        <v>0</v>
      </c>
    </row>
    <row r="42" spans="1:8" ht="15.75" customHeight="1" x14ac:dyDescent="0.25">
      <c r="A42" s="41">
        <f t="shared" ref="A42:A43" si="1">(C42/D42)^(1/1)-1</f>
        <v>-0.7792</v>
      </c>
      <c r="B42" s="150" t="s">
        <v>382</v>
      </c>
      <c r="C42" s="150">
        <v>11.04</v>
      </c>
      <c r="D42" s="152">
        <v>50</v>
      </c>
      <c r="E42" s="150" t="s">
        <v>383</v>
      </c>
      <c r="F42" s="152">
        <v>8.6</v>
      </c>
      <c r="G42" s="150" t="s">
        <v>367</v>
      </c>
      <c r="H42" s="152">
        <v>0</v>
      </c>
    </row>
    <row r="43" spans="1:8" ht="15.75" customHeight="1" x14ac:dyDescent="0.3">
      <c r="A43" s="41">
        <f t="shared" si="1"/>
        <v>-0.80637329729131013</v>
      </c>
      <c r="B43" s="150" t="s">
        <v>384</v>
      </c>
      <c r="C43" s="150">
        <f t="shared" ref="C43:D43" si="2">(100*C17)/C7</f>
        <v>9.655555342817209</v>
      </c>
      <c r="D43" s="150">
        <f t="shared" si="2"/>
        <v>49.866858278033732</v>
      </c>
      <c r="E43" s="153"/>
      <c r="F43" s="154" t="s">
        <v>362</v>
      </c>
      <c r="G43" s="150" t="s">
        <v>371</v>
      </c>
      <c r="H43" s="152" t="s">
        <v>289</v>
      </c>
    </row>
    <row r="44" spans="1:8" ht="15.75" customHeight="1" x14ac:dyDescent="0.3">
      <c r="B44" s="153"/>
      <c r="C44" s="153"/>
      <c r="D44" s="155"/>
      <c r="G44" s="150" t="s">
        <v>372</v>
      </c>
      <c r="H44" s="152" t="s">
        <v>289</v>
      </c>
    </row>
    <row r="45" spans="1:8" ht="15.75" customHeight="1" x14ac:dyDescent="0.25">
      <c r="A45" s="41">
        <f t="shared" ref="A45:A46" si="3">(C45/D45)^(1/1)-1</f>
        <v>-5.0579557428872546E-2</v>
      </c>
      <c r="B45" s="150" t="s">
        <v>385</v>
      </c>
      <c r="C45" s="150">
        <v>901</v>
      </c>
      <c r="D45" s="156">
        <v>949</v>
      </c>
      <c r="G45" s="150" t="s">
        <v>375</v>
      </c>
      <c r="H45" s="152" t="s">
        <v>289</v>
      </c>
    </row>
    <row r="46" spans="1:8" ht="15.75" customHeight="1" x14ac:dyDescent="0.25">
      <c r="A46" s="41">
        <f t="shared" si="3"/>
        <v>-0.50130870534337846</v>
      </c>
      <c r="B46" s="150" t="s">
        <v>34</v>
      </c>
      <c r="C46" s="37">
        <f t="shared" ref="C46:D46" si="4">(C7-C8)/C10</f>
        <v>1.8087443463278052</v>
      </c>
      <c r="D46" s="37">
        <f t="shared" si="4"/>
        <v>3.6269819940876107</v>
      </c>
      <c r="G46" s="150" t="s">
        <v>386</v>
      </c>
      <c r="H46" s="152" t="s">
        <v>289</v>
      </c>
    </row>
    <row r="47" spans="1:8" ht="15.75" customHeight="1" x14ac:dyDescent="0.25">
      <c r="G47" s="150" t="s">
        <v>387</v>
      </c>
      <c r="H47" s="152" t="s">
        <v>289</v>
      </c>
    </row>
    <row r="48" spans="1:8" ht="15.75" customHeight="1" x14ac:dyDescent="0.25">
      <c r="G48" s="150" t="s">
        <v>388</v>
      </c>
      <c r="H48" s="152" t="s">
        <v>289</v>
      </c>
    </row>
    <row r="49" spans="7:8" ht="15.75" customHeight="1" x14ac:dyDescent="0.25">
      <c r="G49" s="150" t="s">
        <v>389</v>
      </c>
      <c r="H49" s="152">
        <v>6.77</v>
      </c>
    </row>
    <row r="50" spans="7:8" ht="15.75" customHeight="1" x14ac:dyDescent="0.25">
      <c r="G50" s="150" t="s">
        <v>390</v>
      </c>
      <c r="H50" s="152">
        <v>6.76</v>
      </c>
    </row>
    <row r="51" spans="7:8" ht="15.75" customHeight="1" x14ac:dyDescent="0.25">
      <c r="G51" s="150" t="s">
        <v>391</v>
      </c>
      <c r="H51" s="152" t="s">
        <v>289</v>
      </c>
    </row>
    <row r="52" spans="7:8" ht="15.75" customHeight="1" x14ac:dyDescent="0.25">
      <c r="G52" s="150" t="s">
        <v>330</v>
      </c>
      <c r="H52" s="152">
        <v>6.77</v>
      </c>
    </row>
    <row r="53" spans="7:8" ht="15.75" customHeight="1" x14ac:dyDescent="0.25">
      <c r="G53" s="150" t="s">
        <v>332</v>
      </c>
      <c r="H53" s="152">
        <v>6.76</v>
      </c>
    </row>
    <row r="54" spans="7:8" ht="15.75" customHeight="1" x14ac:dyDescent="0.3">
      <c r="G54" s="153"/>
      <c r="H54" s="154" t="s">
        <v>362</v>
      </c>
    </row>
    <row r="55" spans="7:8" ht="15.75" customHeight="1" x14ac:dyDescent="0.25"/>
    <row r="56" spans="7:8" ht="15.75" customHeight="1" x14ac:dyDescent="0.25"/>
    <row r="57" spans="7:8" ht="15.75" customHeight="1" x14ac:dyDescent="0.25"/>
    <row r="58" spans="7:8" ht="15.75" customHeight="1" x14ac:dyDescent="0.25"/>
    <row r="59" spans="7:8" ht="15.75" customHeight="1" x14ac:dyDescent="0.25"/>
    <row r="60" spans="7:8" ht="15.75" customHeight="1" x14ac:dyDescent="0.25"/>
    <row r="61" spans="7:8" ht="15.75" customHeight="1" x14ac:dyDescent="0.25"/>
    <row r="62" spans="7:8" ht="15.75" customHeight="1" x14ac:dyDescent="0.25"/>
    <row r="63" spans="7:8" ht="15.75" customHeight="1" x14ac:dyDescent="0.25"/>
    <row r="64" spans="7:8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J4:M4"/>
    <mergeCell ref="O4:R4"/>
  </mergeCells>
  <hyperlinks>
    <hyperlink ref="AL2" r:id="rId1" display="https://www.bseindia.com/corporates/ScripWiseCorpAction.aspx?scrip_cd=532832" xr:uid="{00000000-0004-0000-0600-000000000000}"/>
    <hyperlink ref="AL3" r:id="rId2" display="https://www.bseindia.com/corporates/ScripWiseCorpAction.aspx?scrip_cd=532832" xr:uid="{00000000-0004-0000-0600-000001000000}"/>
    <hyperlink ref="AL4" r:id="rId3" display="https://www.bseindia.com/corporates/ScripWiseCorpAction.aspx?scrip_cd=532832" xr:uid="{00000000-0004-0000-0600-000002000000}"/>
    <hyperlink ref="AL5" r:id="rId4" display="https://www.bseindia.com/corporates/ScripWiseCorpAction.aspx?scrip_cd=532832" xr:uid="{00000000-0004-0000-0600-000003000000}"/>
    <hyperlink ref="AL6" r:id="rId5" display="https://www.bseindia.com/corporates/ScripWiseCorpAction.aspx?scrip_cd=532832" xr:uid="{00000000-0004-0000-0600-000004000000}"/>
    <hyperlink ref="AL7" r:id="rId6" display="https://www.bseindia.com/corporates/ScripWiseCorpAction.aspx?scrip_cd=532832" xr:uid="{00000000-0004-0000-0600-000005000000}"/>
  </hyperlink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V1000"/>
  <sheetViews>
    <sheetView workbookViewId="0"/>
  </sheetViews>
  <sheetFormatPr defaultColWidth="12.59765625" defaultRowHeight="15" customHeight="1" x14ac:dyDescent="0.25"/>
  <cols>
    <col min="1" max="5" width="7.59765625" customWidth="1"/>
    <col min="6" max="6" width="10.09765625" customWidth="1"/>
    <col min="7" max="7" width="8.19921875" customWidth="1"/>
    <col min="8" max="48" width="7.59765625" customWidth="1"/>
  </cols>
  <sheetData>
    <row r="2" spans="1:48" ht="36" x14ac:dyDescent="0.25">
      <c r="E2" s="157" t="s">
        <v>287</v>
      </c>
      <c r="F2" s="157"/>
      <c r="G2" s="158">
        <v>42826</v>
      </c>
      <c r="H2" s="142" t="s">
        <v>287</v>
      </c>
      <c r="I2" s="143">
        <v>42461</v>
      </c>
      <c r="J2" s="142" t="s">
        <v>392</v>
      </c>
      <c r="K2" s="143">
        <v>42095</v>
      </c>
      <c r="L2" s="157" t="s">
        <v>288</v>
      </c>
      <c r="M2" s="158">
        <v>42094</v>
      </c>
      <c r="N2" s="158">
        <v>41729</v>
      </c>
      <c r="O2" s="158">
        <v>41364</v>
      </c>
      <c r="P2" s="158">
        <v>40999</v>
      </c>
      <c r="Q2" s="142" t="s">
        <v>288</v>
      </c>
      <c r="R2" s="143">
        <v>40633</v>
      </c>
      <c r="U2" s="37" t="s">
        <v>266</v>
      </c>
      <c r="V2" s="37" t="s">
        <v>267</v>
      </c>
      <c r="W2" s="37" t="s">
        <v>268</v>
      </c>
      <c r="X2" s="37" t="s">
        <v>269</v>
      </c>
      <c r="Y2" s="37" t="s">
        <v>270</v>
      </c>
      <c r="Z2" s="37" t="s">
        <v>271</v>
      </c>
      <c r="AA2" s="37" t="s">
        <v>272</v>
      </c>
      <c r="AB2" s="37" t="s">
        <v>273</v>
      </c>
      <c r="AC2" s="37" t="s">
        <v>274</v>
      </c>
      <c r="AD2" s="37" t="s">
        <v>275</v>
      </c>
      <c r="AE2" s="37" t="s">
        <v>276</v>
      </c>
      <c r="AF2" s="37" t="s">
        <v>277</v>
      </c>
      <c r="AG2" s="37" t="s">
        <v>278</v>
      </c>
      <c r="AJ2" s="140" t="s">
        <v>393</v>
      </c>
      <c r="AK2" s="140" t="s">
        <v>5</v>
      </c>
      <c r="AL2" s="140" t="s">
        <v>279</v>
      </c>
      <c r="AM2" s="140" t="s">
        <v>280</v>
      </c>
      <c r="AN2" s="140" t="s">
        <v>281</v>
      </c>
      <c r="AO2" s="140" t="s">
        <v>282</v>
      </c>
      <c r="AP2" s="140" t="s">
        <v>283</v>
      </c>
      <c r="AQ2" s="140" t="s">
        <v>284</v>
      </c>
      <c r="AR2" s="140" t="s">
        <v>285</v>
      </c>
      <c r="AS2" s="141" t="s">
        <v>286</v>
      </c>
    </row>
    <row r="3" spans="1:48" ht="24.6" x14ac:dyDescent="0.3">
      <c r="A3" s="37" t="s">
        <v>29</v>
      </c>
      <c r="B3" s="37" t="s">
        <v>394</v>
      </c>
      <c r="C3" s="37" t="s">
        <v>294</v>
      </c>
      <c r="E3" s="157" t="s">
        <v>291</v>
      </c>
      <c r="F3" s="157" t="s">
        <v>294</v>
      </c>
      <c r="G3" s="158">
        <v>43190</v>
      </c>
      <c r="H3" s="142" t="s">
        <v>291</v>
      </c>
      <c r="I3" s="143">
        <v>42825</v>
      </c>
      <c r="J3" s="142" t="s">
        <v>291</v>
      </c>
      <c r="K3" s="143">
        <v>42460</v>
      </c>
      <c r="L3" s="157" t="s">
        <v>292</v>
      </c>
      <c r="M3" s="159">
        <v>12</v>
      </c>
      <c r="N3" s="159">
        <v>12</v>
      </c>
      <c r="O3" s="159">
        <v>12</v>
      </c>
      <c r="P3" s="159">
        <v>12</v>
      </c>
      <c r="Q3" s="142" t="s">
        <v>292</v>
      </c>
      <c r="R3" s="148">
        <v>12</v>
      </c>
      <c r="U3" s="37">
        <v>2010</v>
      </c>
      <c r="V3" s="37">
        <v>280</v>
      </c>
      <c r="W3" s="37">
        <v>306.60000000000002</v>
      </c>
      <c r="X3" s="37">
        <v>240</v>
      </c>
      <c r="Y3" s="37">
        <v>256.35000000000002</v>
      </c>
      <c r="Z3" s="37">
        <v>36500690</v>
      </c>
      <c r="AA3" s="37">
        <v>361905</v>
      </c>
      <c r="AB3" s="37">
        <v>10525736960</v>
      </c>
      <c r="AC3" s="37">
        <v>7489557</v>
      </c>
      <c r="AD3" s="37">
        <v>20.52</v>
      </c>
      <c r="AE3" s="37">
        <v>66.599999999999994</v>
      </c>
      <c r="AF3" s="37">
        <v>-23.65</v>
      </c>
      <c r="AJ3" s="144">
        <v>533273</v>
      </c>
      <c r="AK3" s="145" t="s">
        <v>395</v>
      </c>
      <c r="AL3" s="146">
        <v>40710</v>
      </c>
      <c r="AM3" s="37">
        <v>1</v>
      </c>
      <c r="AN3" s="147" t="s">
        <v>289</v>
      </c>
      <c r="AO3" s="146">
        <v>40712</v>
      </c>
      <c r="AP3" s="146">
        <v>40724</v>
      </c>
      <c r="AQ3" s="146">
        <v>40707</v>
      </c>
      <c r="AR3" s="146">
        <v>40710</v>
      </c>
      <c r="AS3" s="145" t="s">
        <v>396</v>
      </c>
      <c r="AT3" s="37" t="s">
        <v>289</v>
      </c>
      <c r="AU3" s="37" t="s">
        <v>397</v>
      </c>
      <c r="AV3" s="37" t="s">
        <v>289</v>
      </c>
    </row>
    <row r="4" spans="1:48" ht="36.6" x14ac:dyDescent="0.3">
      <c r="E4" s="149" t="s">
        <v>293</v>
      </c>
      <c r="F4" s="149"/>
      <c r="G4" s="149" t="s">
        <v>295</v>
      </c>
      <c r="H4" s="149" t="s">
        <v>293</v>
      </c>
      <c r="I4" s="149" t="s">
        <v>295</v>
      </c>
      <c r="J4" s="149" t="s">
        <v>293</v>
      </c>
      <c r="K4" s="149" t="s">
        <v>295</v>
      </c>
      <c r="L4" s="149" t="s">
        <v>293</v>
      </c>
      <c r="M4" s="275" t="s">
        <v>295</v>
      </c>
      <c r="N4" s="276"/>
      <c r="O4" s="276"/>
      <c r="P4" s="277"/>
      <c r="Q4" s="149" t="s">
        <v>293</v>
      </c>
      <c r="R4" s="149" t="s">
        <v>295</v>
      </c>
      <c r="U4" s="37">
        <v>2011</v>
      </c>
      <c r="V4" s="37">
        <v>259.89999999999998</v>
      </c>
      <c r="W4" s="37">
        <v>273</v>
      </c>
      <c r="X4" s="37">
        <v>205.1</v>
      </c>
      <c r="Y4" s="37">
        <v>208.5</v>
      </c>
      <c r="Z4" s="37">
        <v>1768627</v>
      </c>
      <c r="AA4" s="37">
        <v>51887</v>
      </c>
      <c r="AB4" s="37">
        <v>417726622</v>
      </c>
      <c r="AC4" s="37">
        <v>986233</v>
      </c>
      <c r="AD4" s="37">
        <v>55.76</v>
      </c>
      <c r="AE4" s="37">
        <v>67.900000000000006</v>
      </c>
      <c r="AF4" s="37">
        <v>-51.4</v>
      </c>
      <c r="AJ4" s="144">
        <v>533273</v>
      </c>
      <c r="AK4" s="145" t="s">
        <v>395</v>
      </c>
      <c r="AL4" s="146">
        <v>41081</v>
      </c>
      <c r="AM4" s="37">
        <v>2</v>
      </c>
      <c r="AN4" s="147" t="s">
        <v>289</v>
      </c>
      <c r="AO4" s="146">
        <v>41083</v>
      </c>
      <c r="AP4" s="146">
        <v>41089</v>
      </c>
      <c r="AQ4" s="146">
        <v>41078</v>
      </c>
      <c r="AR4" s="146">
        <v>41081</v>
      </c>
      <c r="AS4" s="145" t="s">
        <v>396</v>
      </c>
      <c r="AT4" s="37" t="s">
        <v>289</v>
      </c>
      <c r="AU4" s="37" t="s">
        <v>397</v>
      </c>
      <c r="AV4" s="37" t="s">
        <v>289</v>
      </c>
    </row>
    <row r="5" spans="1:48" ht="58.2" x14ac:dyDescent="0.3">
      <c r="E5" s="150" t="s">
        <v>297</v>
      </c>
      <c r="F5" s="150"/>
      <c r="G5" s="151">
        <v>12654.3</v>
      </c>
      <c r="H5" s="150" t="s">
        <v>297</v>
      </c>
      <c r="I5" s="151">
        <v>11137.4</v>
      </c>
      <c r="J5" s="150" t="s">
        <v>297</v>
      </c>
      <c r="K5" s="151">
        <v>14080.9</v>
      </c>
      <c r="L5" s="150" t="s">
        <v>298</v>
      </c>
      <c r="M5" s="151">
        <v>6992.4</v>
      </c>
      <c r="N5" s="151">
        <v>6225.6</v>
      </c>
      <c r="O5" s="151">
        <v>5950.5</v>
      </c>
      <c r="P5" s="151">
        <v>3913.9</v>
      </c>
      <c r="Q5" s="150" t="s">
        <v>298</v>
      </c>
      <c r="R5" s="151">
        <v>3898.3</v>
      </c>
      <c r="U5" s="37">
        <v>2012</v>
      </c>
      <c r="V5" s="37">
        <v>213</v>
      </c>
      <c r="W5" s="37">
        <v>322.89999999999998</v>
      </c>
      <c r="X5" s="37">
        <v>205.05</v>
      </c>
      <c r="Y5" s="37">
        <v>290.2</v>
      </c>
      <c r="Z5" s="37">
        <v>4174978</v>
      </c>
      <c r="AA5" s="37">
        <v>78349</v>
      </c>
      <c r="AB5" s="37">
        <v>1075069275</v>
      </c>
      <c r="AC5" s="37">
        <v>2685859</v>
      </c>
      <c r="AD5" s="37">
        <v>64.33</v>
      </c>
      <c r="AE5" s="37">
        <v>117.85</v>
      </c>
      <c r="AF5" s="37">
        <v>77.2</v>
      </c>
      <c r="AJ5" s="144">
        <v>533273</v>
      </c>
      <c r="AK5" s="145" t="s">
        <v>395</v>
      </c>
      <c r="AL5" s="146">
        <v>41466</v>
      </c>
      <c r="AM5" s="37">
        <v>2</v>
      </c>
      <c r="AN5" s="147" t="s">
        <v>289</v>
      </c>
      <c r="AO5" s="146">
        <v>41468</v>
      </c>
      <c r="AP5" s="146">
        <v>41470</v>
      </c>
      <c r="AQ5" s="146">
        <v>41463</v>
      </c>
      <c r="AR5" s="146">
        <v>41466</v>
      </c>
      <c r="AS5" s="145" t="s">
        <v>396</v>
      </c>
      <c r="AT5" s="37" t="s">
        <v>289</v>
      </c>
      <c r="AU5" s="37" t="s">
        <v>397</v>
      </c>
      <c r="AV5" s="37" t="s">
        <v>289</v>
      </c>
    </row>
    <row r="6" spans="1:48" ht="58.2" x14ac:dyDescent="0.3">
      <c r="E6" s="150" t="s">
        <v>299</v>
      </c>
      <c r="F6" s="150"/>
      <c r="G6" s="152">
        <v>265.8</v>
      </c>
      <c r="H6" s="150" t="s">
        <v>398</v>
      </c>
      <c r="I6" s="151">
        <v>11137.4</v>
      </c>
      <c r="J6" s="150" t="s">
        <v>300</v>
      </c>
      <c r="K6" s="151">
        <v>13997.1</v>
      </c>
      <c r="L6" s="150" t="s">
        <v>299</v>
      </c>
      <c r="M6" s="152">
        <v>618.1</v>
      </c>
      <c r="N6" s="152">
        <v>833</v>
      </c>
      <c r="O6" s="151">
        <v>1474.5</v>
      </c>
      <c r="P6" s="151">
        <v>1588.7</v>
      </c>
      <c r="Q6" s="150" t="s">
        <v>299</v>
      </c>
      <c r="R6" s="152">
        <v>497</v>
      </c>
      <c r="U6" s="37">
        <v>2013</v>
      </c>
      <c r="V6" s="37">
        <v>293.3</v>
      </c>
      <c r="W6" s="37">
        <v>327.7</v>
      </c>
      <c r="X6" s="37">
        <v>154</v>
      </c>
      <c r="Y6" s="37">
        <v>233.4</v>
      </c>
      <c r="Z6" s="37">
        <v>3389566</v>
      </c>
      <c r="AA6" s="37">
        <v>130192</v>
      </c>
      <c r="AB6" s="37">
        <v>760021608</v>
      </c>
      <c r="AC6" s="37">
        <v>2044948</v>
      </c>
      <c r="AD6" s="37">
        <v>60.33</v>
      </c>
      <c r="AE6" s="37">
        <v>173.7</v>
      </c>
      <c r="AF6" s="37">
        <v>-59.9</v>
      </c>
      <c r="AJ6" s="144">
        <v>533273</v>
      </c>
      <c r="AK6" s="145" t="s">
        <v>395</v>
      </c>
      <c r="AL6" s="146">
        <v>41872</v>
      </c>
      <c r="AM6" s="37">
        <v>2</v>
      </c>
      <c r="AN6" s="147" t="s">
        <v>289</v>
      </c>
      <c r="AO6" s="146">
        <v>41874</v>
      </c>
      <c r="AP6" s="146">
        <v>41878</v>
      </c>
      <c r="AQ6" s="146">
        <v>41865</v>
      </c>
      <c r="AR6" s="146">
        <v>41872</v>
      </c>
      <c r="AS6" s="145" t="s">
        <v>396</v>
      </c>
      <c r="AT6" s="37" t="s">
        <v>289</v>
      </c>
      <c r="AU6" s="37" t="s">
        <v>397</v>
      </c>
      <c r="AV6" s="37" t="s">
        <v>289</v>
      </c>
    </row>
    <row r="7" spans="1:48" ht="35.4" x14ac:dyDescent="0.3">
      <c r="A7" s="41">
        <f t="shared" ref="A7:A9" si="0">(B7/C7)^(1/1)-1</f>
        <v>-0.30969399151217336</v>
      </c>
      <c r="B7" s="37">
        <v>6181</v>
      </c>
      <c r="C7" s="37">
        <v>8954</v>
      </c>
      <c r="D7" s="41">
        <f t="shared" ref="D7:D9" si="1">(F7/G7)^(1/1)-1</f>
        <v>1.0598137785311259</v>
      </c>
      <c r="E7" s="150" t="s">
        <v>301</v>
      </c>
      <c r="F7" s="150">
        <v>26613</v>
      </c>
      <c r="G7" s="151">
        <v>12920.1</v>
      </c>
      <c r="H7" s="150" t="s">
        <v>299</v>
      </c>
      <c r="I7" s="152">
        <v>473</v>
      </c>
      <c r="J7" s="150" t="s">
        <v>302</v>
      </c>
      <c r="K7" s="152">
        <v>83.8</v>
      </c>
      <c r="L7" s="150" t="s">
        <v>303</v>
      </c>
      <c r="M7" s="151">
        <v>-3008</v>
      </c>
      <c r="N7" s="151">
        <v>-2725.2</v>
      </c>
      <c r="O7" s="151">
        <v>-2748.7</v>
      </c>
      <c r="P7" s="151">
        <v>-1848</v>
      </c>
      <c r="Q7" s="150" t="s">
        <v>303</v>
      </c>
      <c r="R7" s="151">
        <v>-1758.6</v>
      </c>
      <c r="U7" s="37">
        <v>2014</v>
      </c>
      <c r="V7" s="37">
        <v>231.4</v>
      </c>
      <c r="W7" s="37">
        <v>298.10000000000002</v>
      </c>
      <c r="X7" s="37">
        <v>181.55</v>
      </c>
      <c r="Y7" s="37">
        <v>279.05</v>
      </c>
      <c r="Z7" s="37">
        <v>17301991</v>
      </c>
      <c r="AA7" s="37">
        <v>338084</v>
      </c>
      <c r="AB7" s="37">
        <v>4134083632</v>
      </c>
      <c r="AC7" s="37">
        <v>10894337</v>
      </c>
      <c r="AD7" s="37">
        <v>62.97</v>
      </c>
      <c r="AE7" s="37">
        <v>116.55</v>
      </c>
      <c r="AF7" s="37">
        <v>47.65</v>
      </c>
      <c r="AJ7" s="144">
        <v>533273</v>
      </c>
      <c r="AK7" s="145" t="s">
        <v>395</v>
      </c>
      <c r="AL7" s="146">
        <v>42180</v>
      </c>
      <c r="AM7" s="37">
        <v>2</v>
      </c>
      <c r="AN7" s="147" t="s">
        <v>289</v>
      </c>
      <c r="AO7" s="146">
        <v>42182</v>
      </c>
      <c r="AP7" s="146">
        <v>42186</v>
      </c>
      <c r="AQ7" s="146">
        <v>42177</v>
      </c>
      <c r="AR7" s="146">
        <v>42180</v>
      </c>
      <c r="AS7" s="145" t="s">
        <v>396</v>
      </c>
      <c r="AT7" s="37" t="s">
        <v>289</v>
      </c>
      <c r="AU7" s="37" t="s">
        <v>397</v>
      </c>
      <c r="AV7" s="37" t="s">
        <v>289</v>
      </c>
    </row>
    <row r="8" spans="1:48" ht="24.6" x14ac:dyDescent="0.3">
      <c r="A8" s="41">
        <f t="shared" si="0"/>
        <v>-8.8235294117647078E-2</v>
      </c>
      <c r="B8" s="37">
        <v>-403</v>
      </c>
      <c r="C8" s="37">
        <v>-442</v>
      </c>
      <c r="D8" s="41">
        <f t="shared" si="1"/>
        <v>1.3069184336789972</v>
      </c>
      <c r="E8" s="153" t="s">
        <v>303</v>
      </c>
      <c r="F8" s="153">
        <v>-14905</v>
      </c>
      <c r="G8" s="151">
        <v>-6461</v>
      </c>
      <c r="H8" s="150" t="s">
        <v>301</v>
      </c>
      <c r="I8" s="151">
        <v>11610.4</v>
      </c>
      <c r="J8" s="153" t="s">
        <v>303</v>
      </c>
      <c r="K8" s="151">
        <v>-7896.4</v>
      </c>
      <c r="L8" s="150" t="s">
        <v>304</v>
      </c>
      <c r="M8" s="152">
        <v>-1.7</v>
      </c>
      <c r="N8" s="152">
        <v>-2.6</v>
      </c>
      <c r="O8" s="152">
        <v>-3.4</v>
      </c>
      <c r="P8" s="152">
        <v>-2.6</v>
      </c>
      <c r="Q8" s="150" t="s">
        <v>304</v>
      </c>
      <c r="R8" s="152">
        <v>-1.6</v>
      </c>
      <c r="U8" s="37">
        <v>2015</v>
      </c>
      <c r="V8" s="37">
        <v>281</v>
      </c>
      <c r="W8" s="37">
        <v>334</v>
      </c>
      <c r="X8" s="37">
        <v>209.05</v>
      </c>
      <c r="Y8" s="37">
        <v>265.95</v>
      </c>
      <c r="Z8" s="37">
        <v>13661985</v>
      </c>
      <c r="AA8" s="37">
        <v>312135</v>
      </c>
      <c r="AB8" s="37">
        <v>3823715948</v>
      </c>
      <c r="AC8" s="37">
        <v>8840286</v>
      </c>
      <c r="AD8" s="37">
        <v>64.709999999999994</v>
      </c>
      <c r="AE8" s="37">
        <v>124.95</v>
      </c>
      <c r="AF8" s="37">
        <v>-15.05</v>
      </c>
      <c r="AJ8" s="144">
        <v>533273</v>
      </c>
      <c r="AK8" s="145" t="s">
        <v>395</v>
      </c>
      <c r="AL8" s="146">
        <v>42446</v>
      </c>
      <c r="AM8" s="37">
        <v>2</v>
      </c>
      <c r="AN8" s="146">
        <v>42448</v>
      </c>
      <c r="AO8" s="147"/>
      <c r="AP8" s="147"/>
      <c r="AQ8" s="146">
        <v>42443</v>
      </c>
      <c r="AR8" s="146">
        <v>42446</v>
      </c>
      <c r="AS8" s="145" t="s">
        <v>399</v>
      </c>
      <c r="AT8" s="37" t="s">
        <v>400</v>
      </c>
      <c r="AU8" s="37" t="s">
        <v>401</v>
      </c>
      <c r="AV8" s="37" t="s">
        <v>402</v>
      </c>
    </row>
    <row r="9" spans="1:48" ht="58.2" x14ac:dyDescent="0.3">
      <c r="A9" s="41">
        <f t="shared" si="0"/>
        <v>3.8979591836734686</v>
      </c>
      <c r="B9" s="37">
        <v>-24</v>
      </c>
      <c r="C9" s="37">
        <v>-4.9000000000000004</v>
      </c>
      <c r="D9" s="41">
        <f t="shared" si="1"/>
        <v>1.8279883381924202</v>
      </c>
      <c r="E9" s="150" t="s">
        <v>310</v>
      </c>
      <c r="F9" s="150">
        <v>-194</v>
      </c>
      <c r="G9" s="152">
        <v>-68.599999999999994</v>
      </c>
      <c r="H9" s="153" t="s">
        <v>303</v>
      </c>
      <c r="I9" s="151">
        <v>-5987.4</v>
      </c>
      <c r="J9" s="150" t="s">
        <v>403</v>
      </c>
      <c r="K9" s="151">
        <v>-6297.1</v>
      </c>
      <c r="L9" s="150" t="s">
        <v>308</v>
      </c>
      <c r="M9" s="151">
        <v>4600.8</v>
      </c>
      <c r="N9" s="151">
        <v>4330.8</v>
      </c>
      <c r="O9" s="151">
        <v>4672.8999999999996</v>
      </c>
      <c r="P9" s="151">
        <v>3652</v>
      </c>
      <c r="Q9" s="150" t="s">
        <v>308</v>
      </c>
      <c r="R9" s="151">
        <v>2635.1</v>
      </c>
      <c r="U9" s="37">
        <v>2016</v>
      </c>
      <c r="V9" s="37">
        <v>267</v>
      </c>
      <c r="W9" s="37">
        <v>377.85</v>
      </c>
      <c r="X9" s="37">
        <v>210.15</v>
      </c>
      <c r="Y9" s="37">
        <v>294.75</v>
      </c>
      <c r="Z9" s="37">
        <v>9089711</v>
      </c>
      <c r="AA9" s="37">
        <v>191381</v>
      </c>
      <c r="AB9" s="37">
        <v>2713912150</v>
      </c>
      <c r="AC9" s="37">
        <v>6145008</v>
      </c>
      <c r="AD9" s="37">
        <v>67.599999999999994</v>
      </c>
      <c r="AE9" s="37">
        <v>167.7</v>
      </c>
      <c r="AF9" s="37">
        <v>27.75</v>
      </c>
      <c r="AJ9" s="144">
        <v>533273</v>
      </c>
      <c r="AK9" s="145" t="s">
        <v>395</v>
      </c>
      <c r="AL9" s="146">
        <v>42991</v>
      </c>
      <c r="AM9" s="37">
        <v>2</v>
      </c>
      <c r="AN9" s="146">
        <v>42992</v>
      </c>
      <c r="AO9" s="147"/>
      <c r="AP9" s="147"/>
      <c r="AQ9" s="146">
        <v>42985</v>
      </c>
      <c r="AR9" s="146">
        <v>42991</v>
      </c>
      <c r="AS9" s="145" t="s">
        <v>396</v>
      </c>
      <c r="AT9" s="37" t="s">
        <v>289</v>
      </c>
      <c r="AU9" s="37" t="s">
        <v>397</v>
      </c>
      <c r="AV9" s="37" t="s">
        <v>289</v>
      </c>
    </row>
    <row r="10" spans="1:48" ht="35.4" x14ac:dyDescent="0.3">
      <c r="E10" s="150" t="s">
        <v>307</v>
      </c>
      <c r="F10" s="150"/>
      <c r="G10" s="152">
        <v>-551.20000000000005</v>
      </c>
      <c r="H10" s="150" t="s">
        <v>306</v>
      </c>
      <c r="I10" s="152">
        <v>-641.6</v>
      </c>
      <c r="J10" s="150" t="s">
        <v>404</v>
      </c>
      <c r="K10" s="152">
        <v>-533.1</v>
      </c>
      <c r="L10" s="150" t="s">
        <v>312</v>
      </c>
      <c r="M10" s="152">
        <v>-335.1</v>
      </c>
      <c r="N10" s="152">
        <v>-223.3</v>
      </c>
      <c r="O10" s="152">
        <v>-236.7</v>
      </c>
      <c r="P10" s="152">
        <v>-223.5</v>
      </c>
      <c r="Q10" s="150" t="s">
        <v>312</v>
      </c>
      <c r="R10" s="152">
        <v>-184.5</v>
      </c>
      <c r="U10" s="37">
        <v>2017</v>
      </c>
      <c r="V10" s="37">
        <v>297.95</v>
      </c>
      <c r="W10" s="37">
        <v>529</v>
      </c>
      <c r="X10" s="37">
        <v>297.95</v>
      </c>
      <c r="Y10" s="37">
        <v>479.8</v>
      </c>
      <c r="Z10" s="37">
        <v>12437602</v>
      </c>
      <c r="AA10" s="37">
        <v>209493</v>
      </c>
      <c r="AB10" s="37">
        <v>4984937681</v>
      </c>
      <c r="AC10" s="37">
        <v>7927800</v>
      </c>
      <c r="AD10" s="37">
        <v>63.74</v>
      </c>
      <c r="AE10" s="37">
        <v>231.05</v>
      </c>
      <c r="AF10" s="37">
        <v>181.85</v>
      </c>
      <c r="AJ10" s="144">
        <v>533273</v>
      </c>
      <c r="AK10" s="145" t="s">
        <v>395</v>
      </c>
      <c r="AL10" s="146">
        <v>43251</v>
      </c>
      <c r="AM10" s="37">
        <v>2</v>
      </c>
      <c r="AN10" s="146">
        <v>43252</v>
      </c>
      <c r="AO10" s="147"/>
      <c r="AP10" s="147"/>
      <c r="AQ10" s="146">
        <v>43245</v>
      </c>
      <c r="AR10" s="146">
        <v>43251</v>
      </c>
      <c r="AS10" s="145" t="s">
        <v>396</v>
      </c>
      <c r="AT10" s="37" t="s">
        <v>289</v>
      </c>
      <c r="AU10" s="37" t="s">
        <v>397</v>
      </c>
      <c r="AV10" s="37" t="s">
        <v>289</v>
      </c>
    </row>
    <row r="11" spans="1:48" ht="34.799999999999997" x14ac:dyDescent="0.25">
      <c r="E11" s="150" t="s">
        <v>319</v>
      </c>
      <c r="F11" s="150"/>
      <c r="G11" s="152">
        <v>-671.5</v>
      </c>
      <c r="H11" s="150" t="s">
        <v>307</v>
      </c>
      <c r="I11" s="152">
        <v>-423.4</v>
      </c>
      <c r="J11" s="150" t="s">
        <v>311</v>
      </c>
      <c r="K11" s="152">
        <v>-576.29999999999995</v>
      </c>
      <c r="L11" s="150" t="s">
        <v>315</v>
      </c>
      <c r="M11" s="151">
        <v>4265.7</v>
      </c>
      <c r="N11" s="151">
        <v>4107.5</v>
      </c>
      <c r="O11" s="151">
        <v>4436.2</v>
      </c>
      <c r="P11" s="151">
        <v>3428.5</v>
      </c>
      <c r="Q11" s="150" t="s">
        <v>315</v>
      </c>
      <c r="R11" s="151">
        <v>2450.6</v>
      </c>
      <c r="U11" s="37">
        <v>2018</v>
      </c>
      <c r="V11" s="37">
        <v>485</v>
      </c>
      <c r="W11" s="37">
        <v>609.4</v>
      </c>
      <c r="X11" s="37">
        <v>437.55</v>
      </c>
      <c r="Y11" s="37">
        <v>510.1</v>
      </c>
      <c r="Z11" s="37">
        <v>4982953</v>
      </c>
      <c r="AA11" s="37">
        <v>145549</v>
      </c>
      <c r="AB11" s="37">
        <v>2622660841</v>
      </c>
      <c r="AC11" s="37">
        <v>2049014</v>
      </c>
      <c r="AD11" s="37">
        <v>41.12</v>
      </c>
      <c r="AE11" s="37">
        <v>171.85</v>
      </c>
      <c r="AF11" s="37">
        <v>25.1</v>
      </c>
      <c r="AJ11" s="278">
        <f>SUM(AM3:AM10)</f>
        <v>15</v>
      </c>
      <c r="AK11" s="279"/>
      <c r="AL11" s="279"/>
      <c r="AM11" s="279"/>
      <c r="AN11" s="279"/>
      <c r="AO11" s="279"/>
      <c r="AP11" s="279"/>
      <c r="AQ11" s="279"/>
      <c r="AR11" s="279"/>
      <c r="AS11" s="280"/>
    </row>
    <row r="12" spans="1:48" ht="57.6" x14ac:dyDescent="0.25">
      <c r="E12" s="150" t="s">
        <v>405</v>
      </c>
      <c r="F12" s="150"/>
      <c r="G12" s="152">
        <v>-0.3</v>
      </c>
      <c r="H12" s="150" t="s">
        <v>405</v>
      </c>
      <c r="I12" s="152">
        <v>-1.2</v>
      </c>
      <c r="J12" s="150" t="s">
        <v>317</v>
      </c>
      <c r="K12" s="152">
        <v>-489.9</v>
      </c>
      <c r="L12" s="150" t="s">
        <v>318</v>
      </c>
      <c r="M12" s="151">
        <v>-1218</v>
      </c>
      <c r="N12" s="151">
        <v>-1156.3</v>
      </c>
      <c r="O12" s="151">
        <v>-1161.5</v>
      </c>
      <c r="P12" s="152">
        <v>-879.2</v>
      </c>
      <c r="Q12" s="150" t="s">
        <v>318</v>
      </c>
      <c r="R12" s="152">
        <v>-745</v>
      </c>
      <c r="V12" s="37">
        <f>(100*AJ11)/V3</f>
        <v>5.3571428571428568</v>
      </c>
    </row>
    <row r="13" spans="1:48" ht="103.2" x14ac:dyDescent="0.25">
      <c r="E13" s="150" t="s">
        <v>406</v>
      </c>
      <c r="F13" s="150"/>
      <c r="G13" s="152">
        <v>-490.7</v>
      </c>
      <c r="H13" s="150" t="s">
        <v>406</v>
      </c>
      <c r="I13" s="152">
        <v>-495</v>
      </c>
      <c r="J13" s="150" t="s">
        <v>379</v>
      </c>
      <c r="K13" s="151">
        <v>6184.5</v>
      </c>
      <c r="L13" s="150" t="s">
        <v>320</v>
      </c>
      <c r="M13" s="151">
        <v>3047.7</v>
      </c>
      <c r="N13" s="151">
        <v>2951.2</v>
      </c>
      <c r="O13" s="151">
        <v>3274.7</v>
      </c>
      <c r="P13" s="151">
        <v>2549.3000000000002</v>
      </c>
      <c r="Q13" s="150" t="s">
        <v>320</v>
      </c>
      <c r="R13" s="151">
        <v>1705.6</v>
      </c>
      <c r="V13" s="37">
        <v>2018</v>
      </c>
      <c r="W13" s="37">
        <v>2017</v>
      </c>
    </row>
    <row r="14" spans="1:48" ht="23.4" x14ac:dyDescent="0.25">
      <c r="E14" s="150" t="s">
        <v>403</v>
      </c>
      <c r="F14" s="150"/>
      <c r="G14" s="151">
        <v>-9503.5</v>
      </c>
      <c r="H14" s="150" t="s">
        <v>407</v>
      </c>
      <c r="I14" s="151">
        <v>-4370.5</v>
      </c>
      <c r="J14" s="150" t="s">
        <v>299</v>
      </c>
      <c r="K14" s="152">
        <v>362.1</v>
      </c>
      <c r="L14" s="150" t="s">
        <v>323</v>
      </c>
      <c r="M14" s="151">
        <v>3282.3</v>
      </c>
      <c r="N14" s="151">
        <v>3282.3</v>
      </c>
      <c r="O14" s="151">
        <v>3282.3</v>
      </c>
      <c r="P14" s="151">
        <v>3282.3</v>
      </c>
      <c r="Q14" s="150" t="s">
        <v>323</v>
      </c>
      <c r="R14" s="151">
        <v>3282.3</v>
      </c>
      <c r="U14" s="37" t="s">
        <v>408</v>
      </c>
      <c r="V14" s="37">
        <v>2064</v>
      </c>
      <c r="W14" s="37">
        <v>939</v>
      </c>
      <c r="X14" s="41">
        <f t="shared" ref="X14:X18" si="2">(V14/W14)^(1/1)-1</f>
        <v>1.1980830670926519</v>
      </c>
    </row>
    <row r="15" spans="1:48" ht="69" x14ac:dyDescent="0.25">
      <c r="E15" s="150" t="s">
        <v>409</v>
      </c>
      <c r="F15" s="150"/>
      <c r="G15" s="151">
        <v>4824.8</v>
      </c>
      <c r="H15" s="150" t="s">
        <v>410</v>
      </c>
      <c r="I15" s="152">
        <v>-55.7</v>
      </c>
      <c r="J15" s="150" t="s">
        <v>381</v>
      </c>
      <c r="K15" s="151">
        <v>6546.6</v>
      </c>
      <c r="L15" s="150" t="s">
        <v>325</v>
      </c>
      <c r="M15" s="152" t="s">
        <v>411</v>
      </c>
      <c r="N15" s="151">
        <v>24058.9</v>
      </c>
      <c r="O15" s="151">
        <v>21781.5</v>
      </c>
      <c r="P15" s="151">
        <v>19168.3</v>
      </c>
      <c r="Q15" s="150" t="s">
        <v>325</v>
      </c>
      <c r="R15" s="151">
        <v>16969.7</v>
      </c>
      <c r="U15" s="37" t="s">
        <v>412</v>
      </c>
      <c r="V15" s="37">
        <v>16</v>
      </c>
      <c r="W15" s="37">
        <v>5</v>
      </c>
      <c r="X15" s="41">
        <f t="shared" si="2"/>
        <v>2.2000000000000002</v>
      </c>
    </row>
    <row r="16" spans="1:48" ht="69" x14ac:dyDescent="0.25">
      <c r="E16" s="150" t="s">
        <v>321</v>
      </c>
      <c r="F16" s="150"/>
      <c r="G16" s="151">
        <v>6459.1</v>
      </c>
      <c r="H16" s="150" t="s">
        <v>322</v>
      </c>
      <c r="I16" s="151">
        <v>5623</v>
      </c>
      <c r="J16" s="150" t="s">
        <v>304</v>
      </c>
      <c r="K16" s="152">
        <v>-1.6</v>
      </c>
      <c r="L16" s="150" t="s">
        <v>330</v>
      </c>
      <c r="M16" s="152">
        <v>9.2899999999999991</v>
      </c>
      <c r="N16" s="152">
        <v>8.99</v>
      </c>
      <c r="O16" s="152">
        <v>9.98</v>
      </c>
      <c r="P16" s="152">
        <v>7.77</v>
      </c>
      <c r="Q16" s="150" t="s">
        <v>330</v>
      </c>
      <c r="R16" s="152">
        <v>5.59</v>
      </c>
      <c r="U16" s="37" t="s">
        <v>413</v>
      </c>
      <c r="V16" s="37">
        <v>661</v>
      </c>
      <c r="W16" s="37">
        <v>316</v>
      </c>
      <c r="X16" s="41">
        <f t="shared" si="2"/>
        <v>1.0917721518987342</v>
      </c>
    </row>
    <row r="17" spans="1:24" ht="46.2" x14ac:dyDescent="0.25">
      <c r="E17" s="150" t="s">
        <v>318</v>
      </c>
      <c r="F17" s="150"/>
      <c r="G17" s="151">
        <v>-1907.3</v>
      </c>
      <c r="H17" s="150" t="s">
        <v>324</v>
      </c>
      <c r="I17" s="152">
        <v>0</v>
      </c>
      <c r="J17" s="150" t="s">
        <v>410</v>
      </c>
      <c r="K17" s="152">
        <v>-1.6</v>
      </c>
      <c r="L17" s="150" t="s">
        <v>332</v>
      </c>
      <c r="M17" s="152">
        <v>9.2799999999999994</v>
      </c>
      <c r="N17" s="152">
        <v>8.99</v>
      </c>
      <c r="O17" s="152">
        <v>9.98</v>
      </c>
      <c r="P17" s="152">
        <v>7.77</v>
      </c>
      <c r="Q17" s="150" t="s">
        <v>332</v>
      </c>
      <c r="R17" s="152">
        <v>5.59</v>
      </c>
      <c r="U17" s="37" t="s">
        <v>414</v>
      </c>
      <c r="V17" s="37">
        <v>18.54</v>
      </c>
      <c r="W17" s="37">
        <v>9.3000000000000007</v>
      </c>
      <c r="X17" s="41">
        <f t="shared" si="2"/>
        <v>0.99354838709677384</v>
      </c>
    </row>
    <row r="18" spans="1:24" ht="69" x14ac:dyDescent="0.25">
      <c r="E18" s="150" t="s">
        <v>327</v>
      </c>
      <c r="F18" s="150"/>
      <c r="G18" s="151">
        <v>4551.8</v>
      </c>
      <c r="H18" s="150" t="s">
        <v>321</v>
      </c>
      <c r="I18" s="151">
        <v>5623</v>
      </c>
      <c r="J18" s="150" t="s">
        <v>322</v>
      </c>
      <c r="K18" s="151">
        <v>6545</v>
      </c>
      <c r="L18" s="150" t="s">
        <v>334</v>
      </c>
      <c r="M18" s="152" t="s">
        <v>415</v>
      </c>
      <c r="N18" s="152" t="s">
        <v>416</v>
      </c>
      <c r="O18" s="152" t="s">
        <v>417</v>
      </c>
      <c r="P18" s="152" t="s">
        <v>417</v>
      </c>
      <c r="Q18" s="150" t="s">
        <v>334</v>
      </c>
      <c r="R18" s="152" t="s">
        <v>417</v>
      </c>
      <c r="U18" s="37" t="s">
        <v>418</v>
      </c>
      <c r="V18" s="37">
        <f t="shared" ref="V18:W18" si="3">(100*V16)/V14</f>
        <v>32.025193798449614</v>
      </c>
      <c r="W18" s="37">
        <f t="shared" si="3"/>
        <v>33.652822151224704</v>
      </c>
      <c r="X18" s="41">
        <f t="shared" si="2"/>
        <v>-4.8365285546069892E-2</v>
      </c>
    </row>
    <row r="19" spans="1:24" ht="34.799999999999997" x14ac:dyDescent="0.25">
      <c r="A19" s="41">
        <f>(B19/C19)^(1/1)-1</f>
        <v>-0.50840336134453779</v>
      </c>
      <c r="B19" s="37">
        <v>1521</v>
      </c>
      <c r="C19" s="37">
        <v>3094</v>
      </c>
      <c r="D19" s="41">
        <f>(F19/G19)^(1/1)-1</f>
        <v>0.78051438535309514</v>
      </c>
      <c r="E19" s="150" t="s">
        <v>320</v>
      </c>
      <c r="F19" s="150">
        <v>8169</v>
      </c>
      <c r="G19" s="151">
        <v>4588</v>
      </c>
      <c r="H19" s="150" t="s">
        <v>318</v>
      </c>
      <c r="I19" s="151">
        <v>-1868.5</v>
      </c>
      <c r="J19" s="150" t="s">
        <v>324</v>
      </c>
      <c r="K19" s="152">
        <v>0</v>
      </c>
      <c r="L19" s="150" t="s">
        <v>345</v>
      </c>
      <c r="M19" s="152">
        <v>25</v>
      </c>
      <c r="N19" s="152">
        <v>25</v>
      </c>
      <c r="O19" s="152">
        <v>21.51</v>
      </c>
      <c r="P19" s="152">
        <v>21.51</v>
      </c>
      <c r="Q19" s="150" t="s">
        <v>345</v>
      </c>
      <c r="R19" s="152">
        <v>21.51</v>
      </c>
    </row>
    <row r="20" spans="1:24" ht="34.799999999999997" x14ac:dyDescent="0.25">
      <c r="E20" s="150" t="s">
        <v>331</v>
      </c>
      <c r="F20" s="150"/>
      <c r="G20" s="151">
        <v>-2209.1999999999998</v>
      </c>
      <c r="H20" s="150" t="s">
        <v>419</v>
      </c>
      <c r="I20" s="151">
        <v>-1868.5</v>
      </c>
      <c r="J20" s="150" t="s">
        <v>350</v>
      </c>
      <c r="K20" s="152">
        <v>0</v>
      </c>
      <c r="L20" s="150" t="s">
        <v>351</v>
      </c>
      <c r="M20" s="152">
        <v>65.819999999999993</v>
      </c>
      <c r="N20" s="152">
        <v>69.61</v>
      </c>
      <c r="O20" s="152">
        <v>78.59</v>
      </c>
      <c r="P20" s="152">
        <v>93.37</v>
      </c>
      <c r="Q20" s="150" t="s">
        <v>351</v>
      </c>
      <c r="R20" s="152">
        <v>67.64</v>
      </c>
    </row>
    <row r="21" spans="1:24" ht="15.75" customHeight="1" x14ac:dyDescent="0.25">
      <c r="E21" s="150" t="s">
        <v>333</v>
      </c>
      <c r="F21" s="150"/>
      <c r="G21" s="152">
        <v>301.89999999999998</v>
      </c>
      <c r="H21" s="150" t="s">
        <v>327</v>
      </c>
      <c r="I21" s="151">
        <v>3754.5</v>
      </c>
      <c r="J21" s="150" t="s">
        <v>321</v>
      </c>
      <c r="K21" s="151">
        <v>6545</v>
      </c>
      <c r="L21" s="150" t="s">
        <v>355</v>
      </c>
      <c r="M21" s="152">
        <v>43.59</v>
      </c>
      <c r="N21" s="152">
        <v>47.4</v>
      </c>
      <c r="O21" s="152">
        <v>55.03</v>
      </c>
      <c r="P21" s="152">
        <v>65.13</v>
      </c>
      <c r="Q21" s="150" t="s">
        <v>355</v>
      </c>
      <c r="R21" s="152">
        <v>43.75</v>
      </c>
    </row>
    <row r="22" spans="1:24" ht="15.75" customHeight="1" x14ac:dyDescent="0.25">
      <c r="E22" s="150" t="s">
        <v>348</v>
      </c>
      <c r="F22" s="150"/>
      <c r="G22" s="152">
        <v>0</v>
      </c>
      <c r="H22" s="150" t="s">
        <v>349</v>
      </c>
      <c r="I22" s="152">
        <v>0</v>
      </c>
      <c r="J22" s="150" t="s">
        <v>318</v>
      </c>
      <c r="K22" s="151">
        <v>-2285.9</v>
      </c>
      <c r="L22" s="150" t="s">
        <v>360</v>
      </c>
      <c r="M22" s="152">
        <v>10.31</v>
      </c>
      <c r="N22" s="152">
        <v>9.67</v>
      </c>
      <c r="O22" s="152">
        <v>10.7</v>
      </c>
      <c r="P22" s="152">
        <v>8.4499999999999993</v>
      </c>
      <c r="Q22" s="150" t="s">
        <v>360</v>
      </c>
      <c r="R22" s="152">
        <v>5.76</v>
      </c>
    </row>
    <row r="23" spans="1:24" ht="15.75" customHeight="1" x14ac:dyDescent="0.3">
      <c r="E23" s="150" t="s">
        <v>353</v>
      </c>
      <c r="F23" s="150"/>
      <c r="G23" s="152">
        <v>0</v>
      </c>
      <c r="H23" s="150" t="s">
        <v>354</v>
      </c>
      <c r="I23" s="151">
        <v>3754.5</v>
      </c>
      <c r="J23" s="150" t="s">
        <v>327</v>
      </c>
      <c r="K23" s="151">
        <v>4259.1000000000004</v>
      </c>
      <c r="L23" s="150" t="s">
        <v>361</v>
      </c>
      <c r="M23" s="154" t="s">
        <v>361</v>
      </c>
      <c r="N23" s="154" t="s">
        <v>361</v>
      </c>
      <c r="O23" s="154" t="s">
        <v>361</v>
      </c>
      <c r="P23" s="154" t="s">
        <v>361</v>
      </c>
      <c r="Q23" s="150" t="s">
        <v>361</v>
      </c>
      <c r="R23" s="154" t="s">
        <v>362</v>
      </c>
    </row>
    <row r="24" spans="1:24" ht="15.75" customHeight="1" x14ac:dyDescent="0.25">
      <c r="E24" s="150" t="s">
        <v>358</v>
      </c>
      <c r="F24" s="150"/>
      <c r="G24" s="151">
        <v>4588</v>
      </c>
      <c r="H24" s="150" t="s">
        <v>359</v>
      </c>
      <c r="I24" s="152">
        <v>0</v>
      </c>
      <c r="J24" s="150" t="s">
        <v>344</v>
      </c>
      <c r="K24" s="152">
        <v>0</v>
      </c>
    </row>
    <row r="25" spans="1:24" ht="15.75" customHeight="1" x14ac:dyDescent="0.25">
      <c r="E25" s="150" t="s">
        <v>363</v>
      </c>
      <c r="F25" s="150"/>
      <c r="G25" s="152">
        <v>0</v>
      </c>
      <c r="H25" s="150" t="s">
        <v>364</v>
      </c>
      <c r="I25" s="152">
        <v>0</v>
      </c>
      <c r="J25" s="150" t="s">
        <v>354</v>
      </c>
      <c r="K25" s="151">
        <v>4259.1000000000004</v>
      </c>
    </row>
    <row r="26" spans="1:24" ht="15.75" customHeight="1" x14ac:dyDescent="0.25">
      <c r="E26" s="150" t="s">
        <v>366</v>
      </c>
      <c r="F26" s="150"/>
      <c r="G26" s="151">
        <v>4588</v>
      </c>
      <c r="H26" s="150" t="s">
        <v>367</v>
      </c>
      <c r="I26" s="152">
        <v>0</v>
      </c>
      <c r="J26" s="150" t="s">
        <v>359</v>
      </c>
      <c r="K26" s="152">
        <v>0</v>
      </c>
    </row>
    <row r="27" spans="1:24" ht="15.75" customHeight="1" x14ac:dyDescent="0.25">
      <c r="E27" s="153" t="s">
        <v>368</v>
      </c>
      <c r="F27" s="153"/>
      <c r="G27" s="152"/>
      <c r="H27" s="150" t="s">
        <v>369</v>
      </c>
      <c r="I27" s="152">
        <v>31.4</v>
      </c>
      <c r="J27" s="150" t="s">
        <v>364</v>
      </c>
      <c r="K27" s="152">
        <v>0</v>
      </c>
    </row>
    <row r="28" spans="1:24" ht="15.75" customHeight="1" x14ac:dyDescent="0.25">
      <c r="E28" s="150" t="s">
        <v>324</v>
      </c>
      <c r="F28" s="150"/>
      <c r="G28" s="152">
        <v>0</v>
      </c>
      <c r="H28" s="150" t="s">
        <v>320</v>
      </c>
      <c r="I28" s="151">
        <v>3785.9</v>
      </c>
      <c r="J28" s="150" t="s">
        <v>367</v>
      </c>
      <c r="K28" s="152">
        <v>0</v>
      </c>
    </row>
    <row r="29" spans="1:24" ht="15.75" customHeight="1" x14ac:dyDescent="0.25">
      <c r="E29" s="150" t="s">
        <v>322</v>
      </c>
      <c r="F29" s="150"/>
      <c r="G29" s="151">
        <v>6459.1</v>
      </c>
      <c r="H29" s="150" t="s">
        <v>348</v>
      </c>
      <c r="I29" s="152">
        <v>0</v>
      </c>
      <c r="J29" s="150" t="s">
        <v>320</v>
      </c>
      <c r="K29" s="151">
        <v>4259.1000000000004</v>
      </c>
    </row>
    <row r="30" spans="1:24" ht="15.75" customHeight="1" x14ac:dyDescent="0.25">
      <c r="E30" s="150" t="s">
        <v>354</v>
      </c>
      <c r="F30" s="150"/>
      <c r="G30" s="151">
        <v>4551.8</v>
      </c>
      <c r="H30" s="150" t="s">
        <v>353</v>
      </c>
      <c r="I30" s="152">
        <v>0</v>
      </c>
      <c r="J30" s="150" t="s">
        <v>348</v>
      </c>
      <c r="K30" s="152">
        <v>0</v>
      </c>
    </row>
    <row r="31" spans="1:24" ht="15.75" customHeight="1" x14ac:dyDescent="0.25">
      <c r="E31" s="150" t="s">
        <v>359</v>
      </c>
      <c r="F31" s="150"/>
      <c r="G31" s="152">
        <v>0</v>
      </c>
      <c r="H31" s="150" t="s">
        <v>358</v>
      </c>
      <c r="I31" s="151">
        <v>3785.9</v>
      </c>
      <c r="J31" s="150" t="s">
        <v>353</v>
      </c>
      <c r="K31" s="152">
        <v>0</v>
      </c>
    </row>
    <row r="32" spans="1:24" ht="15.75" customHeight="1" x14ac:dyDescent="0.25">
      <c r="E32" s="150" t="s">
        <v>364</v>
      </c>
      <c r="F32" s="150"/>
      <c r="G32" s="152">
        <v>0</v>
      </c>
      <c r="H32" s="150" t="s">
        <v>363</v>
      </c>
      <c r="I32" s="152">
        <v>0</v>
      </c>
      <c r="J32" s="150" t="s">
        <v>358</v>
      </c>
      <c r="K32" s="151">
        <v>4259.1000000000004</v>
      </c>
    </row>
    <row r="33" spans="1:11" ht="15.75" customHeight="1" x14ac:dyDescent="0.25">
      <c r="E33" s="150" t="s">
        <v>367</v>
      </c>
      <c r="F33" s="150"/>
      <c r="G33" s="152">
        <v>0</v>
      </c>
      <c r="H33" s="150" t="s">
        <v>366</v>
      </c>
      <c r="I33" s="151">
        <v>3785.9</v>
      </c>
      <c r="J33" s="150" t="s">
        <v>363</v>
      </c>
      <c r="K33" s="152">
        <v>0</v>
      </c>
    </row>
    <row r="34" spans="1:11" ht="15.75" customHeight="1" x14ac:dyDescent="0.25">
      <c r="E34" s="150" t="s">
        <v>371</v>
      </c>
      <c r="F34" s="150"/>
      <c r="G34" s="152">
        <v>11.9</v>
      </c>
      <c r="H34" s="150" t="s">
        <v>371</v>
      </c>
      <c r="I34" s="152">
        <v>2.2000000000000002</v>
      </c>
      <c r="J34" s="150" t="s">
        <v>366</v>
      </c>
      <c r="K34" s="151">
        <v>4259.1000000000004</v>
      </c>
    </row>
    <row r="35" spans="1:11" ht="15.75" customHeight="1" x14ac:dyDescent="0.25">
      <c r="E35" s="150" t="s">
        <v>372</v>
      </c>
      <c r="F35" s="150"/>
      <c r="G35" s="152">
        <v>0</v>
      </c>
      <c r="H35" s="150" t="s">
        <v>373</v>
      </c>
      <c r="I35" s="152">
        <v>0</v>
      </c>
      <c r="J35" s="150" t="s">
        <v>371</v>
      </c>
      <c r="K35" s="152" t="s">
        <v>289</v>
      </c>
    </row>
    <row r="36" spans="1:11" ht="15.75" customHeight="1" x14ac:dyDescent="0.25">
      <c r="E36" s="150" t="s">
        <v>375</v>
      </c>
      <c r="F36" s="150"/>
      <c r="G36" s="151">
        <v>4599.8999999999996</v>
      </c>
      <c r="H36" s="150" t="s">
        <v>376</v>
      </c>
      <c r="I36" s="152">
        <v>0</v>
      </c>
      <c r="J36" s="150" t="s">
        <v>372</v>
      </c>
      <c r="K36" s="152" t="s">
        <v>289</v>
      </c>
    </row>
    <row r="37" spans="1:11" ht="15.75" customHeight="1" x14ac:dyDescent="0.25">
      <c r="E37" s="150" t="s">
        <v>373</v>
      </c>
      <c r="F37" s="150"/>
      <c r="G37" s="152">
        <v>0</v>
      </c>
      <c r="H37" s="150" t="s">
        <v>378</v>
      </c>
      <c r="I37" s="152">
        <v>0</v>
      </c>
      <c r="J37" s="150" t="s">
        <v>375</v>
      </c>
      <c r="K37" s="152" t="s">
        <v>289</v>
      </c>
    </row>
    <row r="38" spans="1:11" ht="15.75" customHeight="1" x14ac:dyDescent="0.25">
      <c r="E38" s="150" t="s">
        <v>376</v>
      </c>
      <c r="F38" s="150"/>
      <c r="G38" s="152">
        <v>0</v>
      </c>
      <c r="H38" s="150" t="s">
        <v>380</v>
      </c>
      <c r="I38" s="152">
        <v>0</v>
      </c>
      <c r="J38" s="150" t="s">
        <v>386</v>
      </c>
      <c r="K38" s="152" t="s">
        <v>289</v>
      </c>
    </row>
    <row r="39" spans="1:11" ht="15.75" customHeight="1" x14ac:dyDescent="0.25">
      <c r="E39" s="150" t="s">
        <v>378</v>
      </c>
      <c r="F39" s="150"/>
      <c r="G39" s="152">
        <v>0</v>
      </c>
      <c r="H39" s="150" t="s">
        <v>372</v>
      </c>
      <c r="I39" s="152">
        <v>0</v>
      </c>
      <c r="J39" s="150" t="s">
        <v>387</v>
      </c>
      <c r="K39" s="152" t="s">
        <v>289</v>
      </c>
    </row>
    <row r="40" spans="1:11" ht="15.75" customHeight="1" x14ac:dyDescent="0.25">
      <c r="E40" s="150" t="s">
        <v>380</v>
      </c>
      <c r="F40" s="150"/>
      <c r="G40" s="152">
        <v>0</v>
      </c>
      <c r="H40" s="150" t="s">
        <v>375</v>
      </c>
      <c r="I40" s="151">
        <v>3788.1</v>
      </c>
      <c r="J40" s="150" t="s">
        <v>388</v>
      </c>
      <c r="K40" s="152" t="s">
        <v>289</v>
      </c>
    </row>
    <row r="41" spans="1:11" ht="15.75" customHeight="1" x14ac:dyDescent="0.25">
      <c r="E41" s="150" t="s">
        <v>349</v>
      </c>
      <c r="F41" s="150"/>
      <c r="G41" s="152">
        <v>0</v>
      </c>
      <c r="H41" s="153" t="s">
        <v>368</v>
      </c>
      <c r="I41" s="152"/>
      <c r="J41" s="150" t="s">
        <v>391</v>
      </c>
      <c r="K41" s="152" t="s">
        <v>289</v>
      </c>
    </row>
    <row r="42" spans="1:11" ht="15.75" customHeight="1" x14ac:dyDescent="0.25">
      <c r="E42" s="150" t="s">
        <v>369</v>
      </c>
      <c r="F42" s="150"/>
      <c r="G42" s="152">
        <v>36.200000000000003</v>
      </c>
      <c r="H42" s="150" t="s">
        <v>420</v>
      </c>
      <c r="I42" s="152">
        <v>11.15</v>
      </c>
      <c r="J42" s="150" t="s">
        <v>370</v>
      </c>
      <c r="K42" s="152">
        <v>0</v>
      </c>
    </row>
    <row r="43" spans="1:11" ht="15.75" customHeight="1" x14ac:dyDescent="0.25">
      <c r="A43" s="41">
        <f t="shared" ref="A43:A45" si="4">(B43/C43)^(1/1)-1</f>
        <v>-0.53761061946902655</v>
      </c>
      <c r="B43" s="37">
        <v>4.18</v>
      </c>
      <c r="C43" s="37">
        <v>9.0399999999999991</v>
      </c>
      <c r="D43" s="41">
        <f>(F43/G43)^(1/1)-1</f>
        <v>0.687638786084382</v>
      </c>
      <c r="E43" s="150" t="s">
        <v>382</v>
      </c>
      <c r="F43" s="150">
        <v>22.8</v>
      </c>
      <c r="G43" s="152">
        <v>13.51</v>
      </c>
      <c r="H43" s="150" t="s">
        <v>421</v>
      </c>
      <c r="I43" s="152">
        <v>11.15</v>
      </c>
      <c r="J43" s="150" t="s">
        <v>323</v>
      </c>
      <c r="K43" s="151">
        <v>3393</v>
      </c>
    </row>
    <row r="44" spans="1:11" ht="15.75" customHeight="1" x14ac:dyDescent="0.25">
      <c r="A44" s="41">
        <f t="shared" si="4"/>
        <v>-0.28785693212732444</v>
      </c>
      <c r="B44" s="160">
        <f t="shared" ref="B44:C44" si="5">(100*B19)/B7</f>
        <v>24.607668662028797</v>
      </c>
      <c r="C44" s="160">
        <f t="shared" si="5"/>
        <v>34.554389099843647</v>
      </c>
      <c r="E44" s="150" t="s">
        <v>422</v>
      </c>
      <c r="F44" s="160">
        <f t="shared" ref="F44:G44" si="6">(100*F19)/F7</f>
        <v>30.695524743546386</v>
      </c>
      <c r="G44" s="160">
        <f t="shared" si="6"/>
        <v>35.510561063768854</v>
      </c>
      <c r="H44" s="153"/>
      <c r="J44" s="150" t="s">
        <v>374</v>
      </c>
      <c r="K44" s="152">
        <v>10</v>
      </c>
    </row>
    <row r="45" spans="1:11" ht="15.75" customHeight="1" x14ac:dyDescent="0.25">
      <c r="A45" s="41">
        <f t="shared" si="4"/>
        <v>-0.86141036184210529</v>
      </c>
      <c r="B45" s="161">
        <f t="shared" ref="B45:C45" si="7">(B7+B8)/(-B9)</f>
        <v>240.75</v>
      </c>
      <c r="C45" s="161">
        <f t="shared" si="7"/>
        <v>1737.1428571428571</v>
      </c>
      <c r="D45" s="41">
        <f>(F45/G45)^(1/1)-1</f>
        <v>-0.35903680685780659</v>
      </c>
      <c r="E45" s="153" t="s">
        <v>423</v>
      </c>
      <c r="F45" s="161">
        <f t="shared" ref="F45:G45" si="8">(F7+F8)/(-F9)</f>
        <v>60.350515463917525</v>
      </c>
      <c r="G45" s="161">
        <f t="shared" si="8"/>
        <v>94.155976676384853</v>
      </c>
      <c r="J45" s="150" t="s">
        <v>325</v>
      </c>
      <c r="K45" s="151">
        <v>49649.8</v>
      </c>
    </row>
    <row r="46" spans="1:11" ht="15.75" customHeight="1" x14ac:dyDescent="0.25">
      <c r="E46" s="150" t="s">
        <v>424</v>
      </c>
      <c r="F46" s="37">
        <v>2</v>
      </c>
      <c r="J46" s="153" t="s">
        <v>377</v>
      </c>
      <c r="K46" s="152"/>
    </row>
    <row r="47" spans="1:11" ht="15.75" customHeight="1" x14ac:dyDescent="0.25">
      <c r="E47" s="162" t="s">
        <v>425</v>
      </c>
      <c r="F47" s="162">
        <f>(100*F46)/F43</f>
        <v>8.7719298245614024</v>
      </c>
      <c r="G47" s="163" t="s">
        <v>426</v>
      </c>
      <c r="J47" s="150" t="s">
        <v>389</v>
      </c>
      <c r="K47" s="152">
        <v>12.68</v>
      </c>
    </row>
    <row r="48" spans="1:11" ht="15.75" customHeight="1" x14ac:dyDescent="0.25">
      <c r="D48" s="37" t="s">
        <v>48</v>
      </c>
      <c r="E48" s="37">
        <v>339</v>
      </c>
      <c r="G48" s="37">
        <v>339</v>
      </c>
      <c r="J48" s="150" t="s">
        <v>390</v>
      </c>
      <c r="K48" s="152">
        <v>12.68</v>
      </c>
    </row>
    <row r="49" spans="10:11" ht="15.75" customHeight="1" x14ac:dyDescent="0.25">
      <c r="J49" s="153" t="s">
        <v>368</v>
      </c>
      <c r="K49" s="152"/>
    </row>
    <row r="50" spans="10:11" ht="15.75" customHeight="1" x14ac:dyDescent="0.25">
      <c r="J50" s="150" t="s">
        <v>330</v>
      </c>
      <c r="K50" s="152">
        <v>12.68</v>
      </c>
    </row>
    <row r="51" spans="10:11" ht="15.75" customHeight="1" x14ac:dyDescent="0.25">
      <c r="J51" s="150" t="s">
        <v>332</v>
      </c>
      <c r="K51" s="152">
        <v>12.68</v>
      </c>
    </row>
    <row r="52" spans="10:11" ht="15.75" customHeight="1" x14ac:dyDescent="0.3">
      <c r="J52" s="153"/>
      <c r="K52" s="154" t="s">
        <v>361</v>
      </c>
    </row>
    <row r="53" spans="10:11" ht="15.75" customHeight="1" x14ac:dyDescent="0.25"/>
    <row r="54" spans="10:11" ht="15.75" customHeight="1" x14ac:dyDescent="0.25"/>
    <row r="55" spans="10:11" ht="15.75" customHeight="1" x14ac:dyDescent="0.25"/>
    <row r="56" spans="10:11" ht="15.75" customHeight="1" x14ac:dyDescent="0.25"/>
    <row r="57" spans="10:11" ht="15.75" customHeight="1" x14ac:dyDescent="0.25"/>
    <row r="58" spans="10:11" ht="15.75" customHeight="1" x14ac:dyDescent="0.25"/>
    <row r="59" spans="10:11" ht="15.75" customHeight="1" x14ac:dyDescent="0.25"/>
    <row r="60" spans="10:11" ht="15.75" customHeight="1" x14ac:dyDescent="0.25"/>
    <row r="61" spans="10:11" ht="15.75" customHeight="1" x14ac:dyDescent="0.25"/>
    <row r="62" spans="10:11" ht="15.75" customHeight="1" x14ac:dyDescent="0.25"/>
    <row r="63" spans="10:11" ht="15.75" customHeight="1" x14ac:dyDescent="0.25"/>
    <row r="64" spans="10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M4:P4"/>
    <mergeCell ref="AJ11:AS11"/>
  </mergeCells>
  <hyperlinks>
    <hyperlink ref="AJ3" r:id="rId1" display="https://www.bseindia.com/corporates/ScripWiseCorpAction.aspx?scrip_cd=533273" xr:uid="{00000000-0004-0000-0700-000000000000}"/>
    <hyperlink ref="AJ4" r:id="rId2" display="https://www.bseindia.com/corporates/ScripWiseCorpAction.aspx?scrip_cd=533273" xr:uid="{00000000-0004-0000-0700-000001000000}"/>
    <hyperlink ref="AJ5" r:id="rId3" display="https://www.bseindia.com/corporates/ScripWiseCorpAction.aspx?scrip_cd=533273" xr:uid="{00000000-0004-0000-0700-000002000000}"/>
    <hyperlink ref="AJ6" r:id="rId4" display="https://www.bseindia.com/corporates/ScripWiseCorpAction.aspx?scrip_cd=533273" xr:uid="{00000000-0004-0000-0700-000003000000}"/>
    <hyperlink ref="AJ7" r:id="rId5" display="https://www.bseindia.com/corporates/ScripWiseCorpAction.aspx?scrip_cd=533273" xr:uid="{00000000-0004-0000-0700-000004000000}"/>
    <hyperlink ref="AJ8" r:id="rId6" display="https://www.bseindia.com/corporates/ScripWiseCorpAction.aspx?scrip_cd=533273" xr:uid="{00000000-0004-0000-0700-000005000000}"/>
    <hyperlink ref="AJ9" r:id="rId7" display="https://www.bseindia.com/corporates/ScripWiseCorpAction.aspx?scrip_cd=533273" xr:uid="{00000000-0004-0000-0700-000006000000}"/>
    <hyperlink ref="AJ10" r:id="rId8" display="https://www.bseindia.com/corporates/ScripWiseCorpAction.aspx?scrip_cd=533273" xr:uid="{00000000-0004-0000-0700-000007000000}"/>
  </hyperlink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S1000"/>
  <sheetViews>
    <sheetView workbookViewId="0"/>
  </sheetViews>
  <sheetFormatPr defaultColWidth="12.59765625" defaultRowHeight="15" customHeight="1" x14ac:dyDescent="0.25"/>
  <cols>
    <col min="1" max="4" width="7.59765625" customWidth="1"/>
    <col min="5" max="6" width="57.59765625" customWidth="1"/>
    <col min="7" max="7" width="17.09765625" customWidth="1"/>
    <col min="8" max="8" width="57.59765625" customWidth="1"/>
    <col min="9" max="9" width="17.09765625" customWidth="1"/>
    <col min="10" max="10" width="83" customWidth="1"/>
    <col min="11" max="11" width="17.09765625" customWidth="1"/>
    <col min="12" max="12" width="37.8984375" customWidth="1"/>
    <col min="13" max="13" width="17.09765625" customWidth="1"/>
    <col min="14" max="15" width="11.69921875" customWidth="1"/>
    <col min="16" max="16" width="37.8984375" customWidth="1"/>
    <col min="17" max="17" width="17.09765625" customWidth="1"/>
    <col min="18" max="18" width="11.69921875" customWidth="1"/>
    <col min="19" max="20" width="7.59765625" customWidth="1"/>
    <col min="21" max="21" width="4.3984375" customWidth="1"/>
    <col min="22" max="22" width="9.3984375" customWidth="1"/>
    <col min="23" max="23" width="8.59765625" customWidth="1"/>
    <col min="24" max="24" width="8.19921875" customWidth="1"/>
    <col min="25" max="25" width="9.3984375" customWidth="1"/>
    <col min="26" max="26" width="10.69921875" customWidth="1"/>
    <col min="27" max="27" width="11.09765625" customWidth="1"/>
    <col min="28" max="28" width="16.19921875" customWidth="1"/>
    <col min="29" max="29" width="17.19921875" customWidth="1"/>
    <col min="30" max="30" width="20.59765625" customWidth="1"/>
    <col min="31" max="31" width="14" customWidth="1"/>
    <col min="32" max="32" width="16" customWidth="1"/>
    <col min="33" max="33" width="12.8984375" customWidth="1"/>
    <col min="34" max="35" width="7.59765625" customWidth="1"/>
    <col min="36" max="36" width="10.59765625" customWidth="1"/>
    <col min="37" max="37" width="12.19921875" customWidth="1"/>
    <col min="38" max="38" width="8.69921875" customWidth="1"/>
    <col min="39" max="39" width="7.19921875" customWidth="1"/>
    <col min="40" max="40" width="10.19921875" customWidth="1"/>
    <col min="41" max="41" width="10.8984375" customWidth="1"/>
    <col min="42" max="42" width="10.09765625" customWidth="1"/>
    <col min="43" max="43" width="11.19921875" customWidth="1"/>
    <col min="44" max="44" width="10.5" customWidth="1"/>
    <col min="45" max="45" width="17.19921875" customWidth="1"/>
  </cols>
  <sheetData>
    <row r="2" spans="5:45" ht="13.8" x14ac:dyDescent="0.25">
      <c r="E2" s="37" t="s">
        <v>427</v>
      </c>
      <c r="G2" s="37">
        <v>2018</v>
      </c>
      <c r="H2" s="37">
        <v>2017</v>
      </c>
      <c r="I2" s="37">
        <v>2016</v>
      </c>
      <c r="J2" s="37">
        <v>2015</v>
      </c>
      <c r="K2" s="37">
        <v>2014</v>
      </c>
      <c r="L2" s="37" t="s">
        <v>288</v>
      </c>
      <c r="M2" s="164">
        <v>41364</v>
      </c>
      <c r="N2" s="164">
        <v>40999</v>
      </c>
      <c r="O2" s="164">
        <v>40268</v>
      </c>
      <c r="P2" s="37" t="s">
        <v>428</v>
      </c>
      <c r="Q2" s="164">
        <v>39903</v>
      </c>
      <c r="R2" s="164">
        <v>39538</v>
      </c>
      <c r="U2" s="37" t="s">
        <v>266</v>
      </c>
      <c r="V2" s="37" t="s">
        <v>267</v>
      </c>
      <c r="W2" s="37" t="s">
        <v>268</v>
      </c>
      <c r="X2" s="37" t="s">
        <v>269</v>
      </c>
      <c r="Y2" s="37" t="s">
        <v>270</v>
      </c>
      <c r="Z2" s="37" t="s">
        <v>271</v>
      </c>
      <c r="AA2" s="37" t="s">
        <v>272</v>
      </c>
      <c r="AB2" s="37" t="s">
        <v>273</v>
      </c>
      <c r="AC2" s="37" t="s">
        <v>274</v>
      </c>
      <c r="AD2" s="37" t="s">
        <v>275</v>
      </c>
      <c r="AE2" s="37" t="s">
        <v>276</v>
      </c>
      <c r="AF2" s="37" t="s">
        <v>277</v>
      </c>
      <c r="AG2" s="37" t="s">
        <v>278</v>
      </c>
      <c r="AJ2" s="37" t="s">
        <v>393</v>
      </c>
      <c r="AK2" s="37" t="s">
        <v>5</v>
      </c>
      <c r="AL2" s="37" t="s">
        <v>279</v>
      </c>
      <c r="AM2" s="37" t="s">
        <v>280</v>
      </c>
      <c r="AN2" s="37" t="s">
        <v>281</v>
      </c>
      <c r="AO2" s="37" t="s">
        <v>282</v>
      </c>
      <c r="AP2" s="37" t="s">
        <v>283</v>
      </c>
      <c r="AQ2" s="37" t="s">
        <v>284</v>
      </c>
      <c r="AR2" s="37" t="s">
        <v>285</v>
      </c>
      <c r="AS2" s="37" t="s">
        <v>286</v>
      </c>
    </row>
    <row r="3" spans="5:45" ht="13.8" x14ac:dyDescent="0.25">
      <c r="E3" s="37" t="s">
        <v>429</v>
      </c>
      <c r="L3" s="37" t="s">
        <v>292</v>
      </c>
      <c r="M3" s="37">
        <v>12</v>
      </c>
      <c r="N3" s="37">
        <v>12</v>
      </c>
      <c r="O3" s="37">
        <v>12</v>
      </c>
      <c r="P3" s="37" t="s">
        <v>292</v>
      </c>
      <c r="Q3" s="37">
        <v>12</v>
      </c>
      <c r="R3" s="37">
        <v>12</v>
      </c>
      <c r="U3" s="37">
        <v>2007</v>
      </c>
      <c r="V3" s="37">
        <v>220</v>
      </c>
      <c r="W3" s="37">
        <v>268</v>
      </c>
      <c r="X3" s="37">
        <v>175</v>
      </c>
      <c r="Y3" s="37">
        <v>256.25</v>
      </c>
      <c r="Z3" s="37">
        <v>53470614</v>
      </c>
      <c r="AA3" s="37">
        <v>394741</v>
      </c>
      <c r="AB3" s="37">
        <v>11768199685</v>
      </c>
      <c r="AC3" s="37">
        <v>11128990</v>
      </c>
      <c r="AD3" s="37">
        <v>20.81</v>
      </c>
      <c r="AE3" s="37">
        <v>93</v>
      </c>
      <c r="AF3" s="37">
        <v>36.25</v>
      </c>
      <c r="AJ3" s="37">
        <v>532924</v>
      </c>
      <c r="AK3" s="37" t="s">
        <v>78</v>
      </c>
      <c r="AL3" s="164">
        <v>39647</v>
      </c>
      <c r="AM3" s="37">
        <v>1.75</v>
      </c>
      <c r="AN3" s="37" t="s">
        <v>289</v>
      </c>
      <c r="AO3" s="164">
        <v>39651</v>
      </c>
      <c r="AP3" s="164">
        <v>39659</v>
      </c>
      <c r="AQ3" s="164">
        <v>39644</v>
      </c>
      <c r="AR3" s="164">
        <v>39650</v>
      </c>
      <c r="AS3" s="37" t="s">
        <v>289</v>
      </c>
    </row>
    <row r="4" spans="5:45" ht="13.8" x14ac:dyDescent="0.25">
      <c r="E4" s="37" t="s">
        <v>243</v>
      </c>
      <c r="G4" s="165">
        <v>6711</v>
      </c>
      <c r="H4" s="165">
        <v>5344.8</v>
      </c>
      <c r="I4" s="165">
        <v>1808</v>
      </c>
      <c r="J4" s="165">
        <v>1683.66</v>
      </c>
      <c r="K4" s="165">
        <v>1872.26</v>
      </c>
      <c r="L4" s="37" t="s">
        <v>293</v>
      </c>
      <c r="M4" s="37" t="s">
        <v>295</v>
      </c>
      <c r="P4" s="37" t="s">
        <v>293</v>
      </c>
      <c r="Q4" s="37" t="s">
        <v>295</v>
      </c>
      <c r="U4" s="37">
        <v>2008</v>
      </c>
      <c r="V4" s="37">
        <v>256</v>
      </c>
      <c r="W4" s="37">
        <v>272</v>
      </c>
      <c r="X4" s="37">
        <v>20.2</v>
      </c>
      <c r="Y4" s="37">
        <v>30.45</v>
      </c>
      <c r="Z4" s="37">
        <v>54239161</v>
      </c>
      <c r="AA4" s="37">
        <v>542990</v>
      </c>
      <c r="AB4" s="37">
        <v>6902460227</v>
      </c>
      <c r="AC4" s="37">
        <v>16937795</v>
      </c>
      <c r="AD4" s="37">
        <v>31.23</v>
      </c>
      <c r="AE4" s="37">
        <v>251.8</v>
      </c>
      <c r="AF4" s="37">
        <v>-225.55</v>
      </c>
      <c r="AJ4" s="37">
        <v>532924</v>
      </c>
      <c r="AK4" s="37" t="s">
        <v>78</v>
      </c>
      <c r="AL4" s="164">
        <v>40015</v>
      </c>
      <c r="AM4" s="37">
        <v>1</v>
      </c>
      <c r="AN4" s="37" t="s">
        <v>289</v>
      </c>
      <c r="AO4" s="164">
        <v>40017</v>
      </c>
      <c r="AP4" s="164">
        <v>40025</v>
      </c>
      <c r="AQ4" s="164">
        <v>40010</v>
      </c>
      <c r="AR4" s="164">
        <v>40016</v>
      </c>
      <c r="AS4" s="37" t="s">
        <v>289</v>
      </c>
    </row>
    <row r="5" spans="5:45" ht="13.8" x14ac:dyDescent="0.25">
      <c r="E5" s="37" t="s">
        <v>299</v>
      </c>
      <c r="G5" s="37">
        <v>402.2</v>
      </c>
      <c r="H5" s="37">
        <v>422.3</v>
      </c>
      <c r="I5" s="37">
        <v>550.1</v>
      </c>
      <c r="J5" s="37">
        <v>427.83</v>
      </c>
      <c r="K5" s="37">
        <v>440.36</v>
      </c>
      <c r="L5" s="37" t="s">
        <v>298</v>
      </c>
      <c r="M5" s="165">
        <v>1814.08</v>
      </c>
      <c r="N5" s="37">
        <v>967.81</v>
      </c>
      <c r="O5" s="37">
        <v>858.32</v>
      </c>
      <c r="P5" s="37" t="s">
        <v>298</v>
      </c>
      <c r="Q5" s="165">
        <v>1499.77</v>
      </c>
      <c r="R5" s="165">
        <v>3688.52</v>
      </c>
      <c r="U5" s="37">
        <v>2009</v>
      </c>
      <c r="V5" s="37">
        <v>30.15</v>
      </c>
      <c r="W5" s="37">
        <v>64.900000000000006</v>
      </c>
      <c r="X5" s="37">
        <v>18.5</v>
      </c>
      <c r="Y5" s="37">
        <v>56.8</v>
      </c>
      <c r="Z5" s="37">
        <v>32123409</v>
      </c>
      <c r="AA5" s="37">
        <v>203204</v>
      </c>
      <c r="AB5" s="37">
        <v>1414103724</v>
      </c>
      <c r="AC5" s="37">
        <v>12822718</v>
      </c>
      <c r="AD5" s="37">
        <v>39.92</v>
      </c>
      <c r="AE5" s="37">
        <v>46.4</v>
      </c>
      <c r="AF5" s="37">
        <v>26.65</v>
      </c>
      <c r="AJ5" s="37">
        <v>532924</v>
      </c>
      <c r="AK5" s="37" t="s">
        <v>78</v>
      </c>
      <c r="AL5" s="164">
        <v>40380</v>
      </c>
      <c r="AM5" s="37">
        <v>1</v>
      </c>
      <c r="AN5" s="37" t="s">
        <v>289</v>
      </c>
      <c r="AO5" s="164">
        <v>40382</v>
      </c>
      <c r="AP5" s="164">
        <v>40390</v>
      </c>
      <c r="AQ5" s="164">
        <v>40375</v>
      </c>
      <c r="AR5" s="164">
        <v>40381</v>
      </c>
      <c r="AS5" s="37" t="s">
        <v>289</v>
      </c>
    </row>
    <row r="6" spans="5:45" ht="13.8" x14ac:dyDescent="0.25">
      <c r="E6" s="37" t="s">
        <v>301</v>
      </c>
      <c r="G6" s="165">
        <v>7113.2</v>
      </c>
      <c r="H6" s="165">
        <v>5767.1</v>
      </c>
      <c r="I6" s="165">
        <v>2358.1</v>
      </c>
      <c r="J6" s="165">
        <v>2111.4899999999998</v>
      </c>
      <c r="K6" s="165">
        <v>2312.62</v>
      </c>
      <c r="L6" s="37" t="s">
        <v>299</v>
      </c>
      <c r="M6" s="37">
        <v>496.29</v>
      </c>
      <c r="N6" s="37">
        <v>175.22</v>
      </c>
      <c r="O6" s="37">
        <v>43.87</v>
      </c>
      <c r="P6" s="37" t="s">
        <v>299</v>
      </c>
      <c r="Q6" s="37">
        <v>496.64</v>
      </c>
      <c r="R6" s="37">
        <v>124.96</v>
      </c>
      <c r="U6" s="37">
        <v>2010</v>
      </c>
      <c r="V6" s="37">
        <v>57.5</v>
      </c>
      <c r="W6" s="37">
        <v>76.7</v>
      </c>
      <c r="X6" s="37">
        <v>45.55</v>
      </c>
      <c r="Y6" s="37">
        <v>52.15</v>
      </c>
      <c r="Z6" s="37">
        <v>44790953</v>
      </c>
      <c r="AA6" s="37">
        <v>326624</v>
      </c>
      <c r="AB6" s="37">
        <v>2861965737</v>
      </c>
      <c r="AC6" s="37">
        <v>14907765</v>
      </c>
      <c r="AD6" s="37">
        <v>33.28</v>
      </c>
      <c r="AE6" s="37">
        <v>31.15</v>
      </c>
      <c r="AF6" s="37">
        <v>-5.35</v>
      </c>
      <c r="AJ6" s="37">
        <v>532924</v>
      </c>
      <c r="AK6" s="37" t="s">
        <v>78</v>
      </c>
      <c r="AL6" s="164">
        <v>40745</v>
      </c>
      <c r="AM6" s="37">
        <v>1.6</v>
      </c>
      <c r="AN6" s="37" t="s">
        <v>289</v>
      </c>
      <c r="AO6" s="164">
        <v>40747</v>
      </c>
      <c r="AP6" s="164">
        <v>40754</v>
      </c>
      <c r="AQ6" s="164">
        <v>40742</v>
      </c>
      <c r="AR6" s="164">
        <v>40745</v>
      </c>
      <c r="AS6" s="37" t="s">
        <v>289</v>
      </c>
    </row>
    <row r="7" spans="5:45" ht="13.8" x14ac:dyDescent="0.25">
      <c r="E7" s="37" t="s">
        <v>303</v>
      </c>
      <c r="G7" s="165">
        <v>-5493.5</v>
      </c>
      <c r="H7" s="165">
        <v>-4470.3999999999996</v>
      </c>
      <c r="I7" s="165">
        <v>-1443.9</v>
      </c>
      <c r="J7" s="165">
        <v>-1254.72</v>
      </c>
      <c r="K7" s="165">
        <v>-1505.97</v>
      </c>
      <c r="L7" s="37" t="s">
        <v>303</v>
      </c>
      <c r="M7" s="165">
        <v>-1291.6099999999999</v>
      </c>
      <c r="N7" s="37">
        <v>-656.12</v>
      </c>
      <c r="O7" s="37">
        <v>-496.25</v>
      </c>
      <c r="P7" s="37" t="s">
        <v>301</v>
      </c>
      <c r="Q7" s="165">
        <v>1996.41</v>
      </c>
      <c r="R7" s="165">
        <v>3813.48</v>
      </c>
      <c r="U7" s="37">
        <v>2011</v>
      </c>
      <c r="V7" s="37">
        <v>52.5</v>
      </c>
      <c r="W7" s="37">
        <v>55.3</v>
      </c>
      <c r="X7" s="37">
        <v>26.4</v>
      </c>
      <c r="Y7" s="37">
        <v>30.4</v>
      </c>
      <c r="Z7" s="37">
        <v>9151910</v>
      </c>
      <c r="AA7" s="37">
        <v>76184</v>
      </c>
      <c r="AB7" s="37">
        <v>414559336</v>
      </c>
      <c r="AC7" s="37">
        <v>4186370</v>
      </c>
      <c r="AD7" s="37">
        <v>45.74</v>
      </c>
      <c r="AE7" s="37">
        <v>28.9</v>
      </c>
      <c r="AF7" s="37">
        <v>-22.1</v>
      </c>
      <c r="AJ7" s="37">
        <v>532924</v>
      </c>
      <c r="AK7" s="37" t="s">
        <v>78</v>
      </c>
      <c r="AL7" s="164">
        <v>41109</v>
      </c>
      <c r="AM7" s="37">
        <v>1.6</v>
      </c>
      <c r="AN7" s="37" t="s">
        <v>289</v>
      </c>
      <c r="AO7" s="164">
        <v>41111</v>
      </c>
      <c r="AP7" s="164">
        <v>41118</v>
      </c>
      <c r="AQ7" s="164">
        <v>41106</v>
      </c>
      <c r="AR7" s="164">
        <v>41109</v>
      </c>
      <c r="AS7" s="37" t="s">
        <v>289</v>
      </c>
    </row>
    <row r="8" spans="5:45" ht="13.8" x14ac:dyDescent="0.25">
      <c r="E8" s="37" t="s">
        <v>304</v>
      </c>
      <c r="G8" s="37">
        <v>-478.1</v>
      </c>
      <c r="H8" s="37">
        <v>-428.3</v>
      </c>
      <c r="I8" s="37">
        <v>-397.6</v>
      </c>
      <c r="J8" s="37">
        <v>-316.05</v>
      </c>
      <c r="K8" s="37">
        <v>-272.99</v>
      </c>
      <c r="L8" s="37" t="s">
        <v>304</v>
      </c>
      <c r="M8" s="37">
        <v>-98.39</v>
      </c>
      <c r="N8" s="37">
        <v>-62.05</v>
      </c>
      <c r="O8" s="37">
        <v>-63.93</v>
      </c>
      <c r="P8" s="37" t="s">
        <v>303</v>
      </c>
      <c r="Q8" s="37">
        <v>-717.75</v>
      </c>
      <c r="R8" s="165">
        <v>-2087.48</v>
      </c>
      <c r="U8" s="37">
        <v>2012</v>
      </c>
      <c r="V8" s="37">
        <v>30.65</v>
      </c>
      <c r="W8" s="37">
        <v>131.44999999999999</v>
      </c>
      <c r="X8" s="37">
        <v>30.05</v>
      </c>
      <c r="Y8" s="37">
        <v>113.05</v>
      </c>
      <c r="Z8" s="37">
        <v>26935017</v>
      </c>
      <c r="AA8" s="37">
        <v>306042</v>
      </c>
      <c r="AB8" s="37">
        <v>2310487717</v>
      </c>
      <c r="AC8" s="37">
        <v>6747191</v>
      </c>
      <c r="AD8" s="37">
        <v>25.05</v>
      </c>
      <c r="AE8" s="37">
        <v>101.4</v>
      </c>
      <c r="AF8" s="37">
        <v>82.4</v>
      </c>
      <c r="AJ8" s="37">
        <v>532924</v>
      </c>
      <c r="AK8" s="37" t="s">
        <v>78</v>
      </c>
      <c r="AL8" s="164">
        <v>41214</v>
      </c>
      <c r="AM8" s="37">
        <v>2</v>
      </c>
      <c r="AN8" s="164">
        <v>41215</v>
      </c>
      <c r="AO8" s="37" t="s">
        <v>430</v>
      </c>
      <c r="AP8" s="37" t="s">
        <v>430</v>
      </c>
      <c r="AQ8" s="164">
        <v>41207</v>
      </c>
      <c r="AR8" s="164">
        <v>41214</v>
      </c>
      <c r="AS8" s="37" t="s">
        <v>289</v>
      </c>
    </row>
    <row r="9" spans="5:45" ht="13.8" x14ac:dyDescent="0.25">
      <c r="E9" s="37" t="s">
        <v>431</v>
      </c>
      <c r="G9" s="165">
        <v>1619.7</v>
      </c>
      <c r="H9" s="165">
        <v>1296.7</v>
      </c>
      <c r="I9" s="37">
        <v>516.6</v>
      </c>
      <c r="J9" s="37">
        <v>540.72</v>
      </c>
      <c r="K9" s="37">
        <v>533.66</v>
      </c>
      <c r="L9" s="37" t="s">
        <v>308</v>
      </c>
      <c r="M9" s="37">
        <v>920.37</v>
      </c>
      <c r="N9" s="37">
        <v>424.86</v>
      </c>
      <c r="O9" s="37">
        <v>342.01</v>
      </c>
      <c r="P9" s="37" t="s">
        <v>304</v>
      </c>
      <c r="Q9" s="37">
        <v>-70.95</v>
      </c>
      <c r="R9" s="37">
        <v>-64.63</v>
      </c>
      <c r="U9" s="37">
        <v>2013</v>
      </c>
      <c r="V9" s="37">
        <v>114.35</v>
      </c>
      <c r="W9" s="37">
        <v>136.35</v>
      </c>
      <c r="X9" s="37">
        <v>49.4</v>
      </c>
      <c r="Y9" s="37">
        <v>91.4</v>
      </c>
      <c r="Z9" s="37">
        <v>29965068</v>
      </c>
      <c r="AA9" s="37">
        <v>475979</v>
      </c>
      <c r="AB9" s="37">
        <v>2935663622</v>
      </c>
      <c r="AC9" s="37">
        <v>7784137</v>
      </c>
      <c r="AD9" s="37">
        <v>25.98</v>
      </c>
      <c r="AE9" s="37">
        <v>86.95</v>
      </c>
      <c r="AF9" s="37">
        <v>-22.95</v>
      </c>
      <c r="AJ9" s="37">
        <v>532924</v>
      </c>
      <c r="AK9" s="37" t="s">
        <v>78</v>
      </c>
      <c r="AL9" s="164">
        <v>41458</v>
      </c>
      <c r="AM9" s="37">
        <v>1.5</v>
      </c>
      <c r="AN9" s="37" t="s">
        <v>289</v>
      </c>
      <c r="AO9" s="164">
        <v>41460</v>
      </c>
      <c r="AP9" s="164">
        <v>41467</v>
      </c>
      <c r="AQ9" s="164">
        <v>41452</v>
      </c>
      <c r="AR9" s="164">
        <v>41459</v>
      </c>
      <c r="AS9" s="164">
        <v>41488</v>
      </c>
    </row>
    <row r="10" spans="5:45" ht="13.8" x14ac:dyDescent="0.25">
      <c r="E10" s="37" t="s">
        <v>312</v>
      </c>
      <c r="G10" s="37">
        <v>-64.5</v>
      </c>
      <c r="H10" s="37">
        <v>-62.2</v>
      </c>
      <c r="I10" s="37">
        <v>-46.4</v>
      </c>
      <c r="J10" s="37">
        <v>-39.19</v>
      </c>
      <c r="K10" s="37">
        <v>-17.39</v>
      </c>
      <c r="L10" s="37" t="s">
        <v>312</v>
      </c>
      <c r="M10" s="37">
        <v>-14.62</v>
      </c>
      <c r="N10" s="37">
        <v>-12.74</v>
      </c>
      <c r="O10" s="37">
        <v>-11.27</v>
      </c>
      <c r="P10" s="37" t="s">
        <v>308</v>
      </c>
      <c r="Q10" s="165">
        <v>1207.71</v>
      </c>
      <c r="R10" s="165">
        <v>1661.37</v>
      </c>
      <c r="U10" s="37">
        <v>2014</v>
      </c>
      <c r="V10" s="37">
        <v>91.9</v>
      </c>
      <c r="W10" s="37">
        <v>220.95</v>
      </c>
      <c r="X10" s="37">
        <v>70.900000000000006</v>
      </c>
      <c r="Y10" s="37">
        <v>183.65</v>
      </c>
      <c r="Z10" s="37">
        <v>22479129</v>
      </c>
      <c r="AA10" s="37">
        <v>644648</v>
      </c>
      <c r="AB10" s="37">
        <v>3023593037</v>
      </c>
      <c r="AC10" s="37">
        <v>6607849</v>
      </c>
      <c r="AD10" s="37">
        <v>29.4</v>
      </c>
      <c r="AE10" s="37">
        <v>150.05000000000001</v>
      </c>
      <c r="AF10" s="37">
        <v>91.75</v>
      </c>
      <c r="AJ10" s="37">
        <v>532924</v>
      </c>
      <c r="AK10" s="37" t="s">
        <v>78</v>
      </c>
      <c r="AL10" s="164">
        <v>41585</v>
      </c>
      <c r="AM10" s="37">
        <v>1.5</v>
      </c>
      <c r="AN10" s="164">
        <v>41586</v>
      </c>
      <c r="AO10" s="37" t="s">
        <v>430</v>
      </c>
      <c r="AP10" s="37" t="s">
        <v>430</v>
      </c>
      <c r="AQ10" s="164">
        <v>41578</v>
      </c>
      <c r="AR10" s="164">
        <v>41585</v>
      </c>
      <c r="AS10" s="164">
        <v>41600</v>
      </c>
    </row>
    <row r="11" spans="5:45" ht="13.8" x14ac:dyDescent="0.25">
      <c r="E11" s="37" t="s">
        <v>432</v>
      </c>
      <c r="G11" s="165">
        <v>1555.2</v>
      </c>
      <c r="H11" s="165">
        <v>1234.5</v>
      </c>
      <c r="I11" s="37">
        <v>470.2</v>
      </c>
      <c r="J11" s="37">
        <v>501.53</v>
      </c>
      <c r="K11" s="37">
        <v>516.27</v>
      </c>
      <c r="L11" s="37" t="s">
        <v>315</v>
      </c>
      <c r="M11" s="37">
        <v>905.75</v>
      </c>
      <c r="N11" s="37">
        <v>412.12</v>
      </c>
      <c r="O11" s="37">
        <v>330.74</v>
      </c>
      <c r="P11" s="37" t="s">
        <v>312</v>
      </c>
      <c r="Q11" s="37">
        <v>-10.4</v>
      </c>
      <c r="R11" s="37">
        <v>-7.1</v>
      </c>
      <c r="U11" s="37">
        <v>2015</v>
      </c>
      <c r="V11" s="37">
        <v>185</v>
      </c>
      <c r="W11" s="37">
        <v>240</v>
      </c>
      <c r="X11" s="37">
        <v>135.19999999999999</v>
      </c>
      <c r="Y11" s="37">
        <v>157.19999999999999</v>
      </c>
      <c r="Z11" s="37">
        <v>6897903</v>
      </c>
      <c r="AA11" s="37">
        <v>274678</v>
      </c>
      <c r="AB11" s="37">
        <v>1384026533</v>
      </c>
      <c r="AC11" s="37">
        <v>2254163</v>
      </c>
      <c r="AD11" s="37">
        <v>32.68</v>
      </c>
      <c r="AE11" s="37">
        <v>104.8</v>
      </c>
      <c r="AF11" s="37">
        <v>-27.8</v>
      </c>
      <c r="AJ11" s="37">
        <v>532924</v>
      </c>
      <c r="AK11" s="37" t="s">
        <v>78</v>
      </c>
      <c r="AL11" s="164">
        <v>41886</v>
      </c>
      <c r="AM11" s="37">
        <v>1.6</v>
      </c>
      <c r="AN11" s="37" t="s">
        <v>289</v>
      </c>
      <c r="AO11" s="164">
        <v>41888</v>
      </c>
      <c r="AP11" s="164">
        <v>41895</v>
      </c>
      <c r="AQ11" s="164">
        <v>41883</v>
      </c>
      <c r="AR11" s="164">
        <v>41886</v>
      </c>
      <c r="AS11" s="164">
        <v>41900</v>
      </c>
    </row>
    <row r="12" spans="5:45" ht="13.8" x14ac:dyDescent="0.25">
      <c r="E12" s="37" t="s">
        <v>318</v>
      </c>
      <c r="G12" s="37">
        <v>-506.1</v>
      </c>
      <c r="H12" s="37">
        <v>-387.4</v>
      </c>
      <c r="I12" s="37">
        <v>-75.400000000000006</v>
      </c>
      <c r="J12" s="37">
        <v>-65.25</v>
      </c>
      <c r="K12" s="37">
        <v>-52.45</v>
      </c>
      <c r="L12" s="37" t="s">
        <v>318</v>
      </c>
      <c r="M12" s="37">
        <v>-235.74</v>
      </c>
      <c r="N12" s="37">
        <v>-108.44</v>
      </c>
      <c r="O12" s="37">
        <v>-54.73</v>
      </c>
      <c r="P12" s="37" t="s">
        <v>315</v>
      </c>
      <c r="Q12" s="165">
        <v>1197.31</v>
      </c>
      <c r="R12" s="165">
        <v>1654.27</v>
      </c>
      <c r="U12" s="37">
        <v>2016</v>
      </c>
      <c r="V12" s="37">
        <v>153.5</v>
      </c>
      <c r="W12" s="37">
        <v>156</v>
      </c>
      <c r="X12" s="37">
        <v>78.75</v>
      </c>
      <c r="Y12" s="37">
        <v>83.7</v>
      </c>
      <c r="Z12" s="37">
        <v>5417970</v>
      </c>
      <c r="AA12" s="37">
        <v>116999</v>
      </c>
      <c r="AB12" s="37">
        <v>647564281</v>
      </c>
      <c r="AC12" s="37">
        <v>1989718</v>
      </c>
      <c r="AD12" s="37">
        <v>36.72</v>
      </c>
      <c r="AE12" s="37">
        <v>77.25</v>
      </c>
      <c r="AF12" s="37">
        <v>-69.8</v>
      </c>
      <c r="AJ12" s="37">
        <v>532924</v>
      </c>
      <c r="AK12" s="37" t="s">
        <v>78</v>
      </c>
      <c r="AL12" s="164">
        <v>42255</v>
      </c>
      <c r="AM12" s="37">
        <v>2</v>
      </c>
      <c r="AN12" s="37" t="s">
        <v>289</v>
      </c>
      <c r="AO12" s="164">
        <v>42257</v>
      </c>
      <c r="AP12" s="164">
        <v>42263</v>
      </c>
      <c r="AQ12" s="164">
        <v>42250</v>
      </c>
      <c r="AR12" s="164">
        <v>42256</v>
      </c>
      <c r="AS12" s="37" t="s">
        <v>289</v>
      </c>
    </row>
    <row r="13" spans="5:45" ht="13.8" x14ac:dyDescent="0.25">
      <c r="E13" s="37" t="s">
        <v>320</v>
      </c>
      <c r="G13" s="165">
        <v>1049.0999999999999</v>
      </c>
      <c r="H13" s="37">
        <v>847.1</v>
      </c>
      <c r="I13" s="37">
        <v>394.8</v>
      </c>
      <c r="J13" s="37">
        <v>436.28</v>
      </c>
      <c r="K13" s="37">
        <v>463.82</v>
      </c>
      <c r="L13" s="37" t="s">
        <v>326</v>
      </c>
      <c r="M13" s="37">
        <v>670.02</v>
      </c>
      <c r="N13" s="37">
        <v>303.68</v>
      </c>
      <c r="O13" s="37">
        <v>276.02</v>
      </c>
      <c r="P13" s="37" t="s">
        <v>318</v>
      </c>
      <c r="Q13" s="37">
        <v>-338.05</v>
      </c>
      <c r="R13" s="37">
        <v>-367.67</v>
      </c>
      <c r="U13" s="37">
        <v>2017</v>
      </c>
      <c r="V13" s="37">
        <v>84.9</v>
      </c>
      <c r="W13" s="37">
        <v>404.6</v>
      </c>
      <c r="X13" s="37">
        <v>84.9</v>
      </c>
      <c r="Y13" s="37">
        <v>366.4</v>
      </c>
      <c r="Z13" s="37">
        <v>24160237</v>
      </c>
      <c r="AA13" s="37">
        <v>424608</v>
      </c>
      <c r="AB13" s="37">
        <v>5023252202</v>
      </c>
      <c r="AC13" s="37">
        <v>5642059</v>
      </c>
      <c r="AD13" s="37">
        <v>23.35</v>
      </c>
      <c r="AE13" s="37">
        <v>319.7</v>
      </c>
      <c r="AF13" s="37">
        <v>281.5</v>
      </c>
      <c r="AJ13" s="37">
        <v>532924</v>
      </c>
      <c r="AK13" s="37" t="s">
        <v>78</v>
      </c>
      <c r="AL13" s="164">
        <v>42621</v>
      </c>
      <c r="AM13" s="37">
        <v>1.5</v>
      </c>
      <c r="AN13" s="37" t="s">
        <v>289</v>
      </c>
      <c r="AO13" s="164">
        <v>42623</v>
      </c>
      <c r="AP13" s="164">
        <v>42630</v>
      </c>
      <c r="AQ13" s="164">
        <v>42615</v>
      </c>
      <c r="AR13" s="164">
        <v>42621</v>
      </c>
      <c r="AS13" s="37" t="s">
        <v>289</v>
      </c>
    </row>
    <row r="14" spans="5:45" ht="13.8" x14ac:dyDescent="0.25">
      <c r="E14" s="37" t="s">
        <v>244</v>
      </c>
      <c r="G14" s="37">
        <v>758</v>
      </c>
      <c r="H14" s="37">
        <v>757.7</v>
      </c>
      <c r="I14" s="37">
        <v>757.7</v>
      </c>
      <c r="J14" s="37">
        <v>757.75</v>
      </c>
      <c r="K14" s="37">
        <v>757.75</v>
      </c>
      <c r="L14" s="37" t="s">
        <v>344</v>
      </c>
      <c r="M14" s="37">
        <v>-13.31</v>
      </c>
      <c r="N14" s="37">
        <v>0</v>
      </c>
      <c r="O14" s="37">
        <v>0</v>
      </c>
      <c r="P14" s="37" t="s">
        <v>326</v>
      </c>
      <c r="Q14" s="37">
        <v>859.26</v>
      </c>
      <c r="R14" s="165">
        <v>1286.5999999999999</v>
      </c>
      <c r="U14" s="37">
        <v>2018</v>
      </c>
      <c r="V14" s="37">
        <v>365</v>
      </c>
      <c r="W14" s="37">
        <v>404.25</v>
      </c>
      <c r="X14" s="37">
        <v>285.10000000000002</v>
      </c>
      <c r="Y14" s="37">
        <v>304.7</v>
      </c>
      <c r="Z14" s="37">
        <v>3785781</v>
      </c>
      <c r="AA14" s="37">
        <v>76835</v>
      </c>
      <c r="AB14" s="37">
        <v>1310516524</v>
      </c>
      <c r="AC14" s="37">
        <v>1093912</v>
      </c>
      <c r="AD14" s="37">
        <v>28.9</v>
      </c>
      <c r="AE14" s="37">
        <v>119.15</v>
      </c>
      <c r="AF14" s="37">
        <v>-60.3</v>
      </c>
      <c r="AJ14" s="37">
        <v>532924</v>
      </c>
      <c r="AK14" s="37" t="s">
        <v>78</v>
      </c>
      <c r="AL14" s="164">
        <v>42998</v>
      </c>
      <c r="AM14" s="37">
        <v>1.6</v>
      </c>
      <c r="AN14" s="37" t="s">
        <v>289</v>
      </c>
      <c r="AO14" s="164">
        <v>43000</v>
      </c>
      <c r="AP14" s="164">
        <v>43006</v>
      </c>
      <c r="AQ14" s="164">
        <v>42993</v>
      </c>
      <c r="AR14" s="164">
        <v>42999</v>
      </c>
      <c r="AS14" s="37" t="s">
        <v>289</v>
      </c>
    </row>
    <row r="15" spans="5:45" ht="13.8" x14ac:dyDescent="0.25">
      <c r="E15" s="37" t="s">
        <v>249</v>
      </c>
      <c r="G15" s="37">
        <v>13.84</v>
      </c>
      <c r="H15" s="37">
        <v>11.18</v>
      </c>
      <c r="I15" s="37">
        <v>5.21</v>
      </c>
      <c r="J15" s="37">
        <v>5.76</v>
      </c>
      <c r="K15" s="37">
        <v>6.12</v>
      </c>
      <c r="L15" s="37" t="s">
        <v>320</v>
      </c>
      <c r="M15" s="37">
        <v>656.71</v>
      </c>
      <c r="N15" s="37">
        <v>303.68</v>
      </c>
      <c r="O15" s="37">
        <v>276.02</v>
      </c>
      <c r="P15" s="37" t="s">
        <v>344</v>
      </c>
      <c r="Q15" s="37">
        <v>0</v>
      </c>
      <c r="R15" s="37">
        <v>2</v>
      </c>
      <c r="AM15" s="37">
        <f>SUM(AM3:AM14)</f>
        <v>18.649999999999999</v>
      </c>
    </row>
    <row r="16" spans="5:45" ht="13.8" x14ac:dyDescent="0.25">
      <c r="E16" s="37" t="s">
        <v>433</v>
      </c>
      <c r="G16" s="37">
        <v>14.69</v>
      </c>
      <c r="H16" s="37">
        <v>12</v>
      </c>
      <c r="I16" s="37">
        <v>5.82</v>
      </c>
      <c r="J16" s="37">
        <v>6.27</v>
      </c>
      <c r="K16" s="37">
        <v>6.35</v>
      </c>
      <c r="L16" s="37" t="s">
        <v>323</v>
      </c>
      <c r="M16" s="37">
        <v>757.75</v>
      </c>
      <c r="N16" s="37">
        <v>757.75</v>
      </c>
      <c r="O16" s="37">
        <v>754.81</v>
      </c>
      <c r="P16" s="37" t="s">
        <v>320</v>
      </c>
      <c r="Q16" s="37">
        <v>859.26</v>
      </c>
      <c r="R16" s="165">
        <v>1288.5999999999999</v>
      </c>
    </row>
    <row r="17" spans="1:23" ht="13.8" x14ac:dyDescent="0.25">
      <c r="E17" s="37" t="s">
        <v>434</v>
      </c>
      <c r="G17" s="37">
        <v>24.14</v>
      </c>
      <c r="H17" s="37">
        <v>24.26</v>
      </c>
      <c r="I17" s="37">
        <v>50.56</v>
      </c>
      <c r="J17" s="37">
        <v>50.89</v>
      </c>
      <c r="K17" s="37">
        <v>43.08</v>
      </c>
      <c r="L17" s="37" t="s">
        <v>325</v>
      </c>
      <c r="M17" s="165">
        <v>6840.35</v>
      </c>
      <c r="N17" s="165">
        <v>6463.84</v>
      </c>
      <c r="O17" s="165">
        <v>5896.91</v>
      </c>
      <c r="P17" s="37" t="s">
        <v>323</v>
      </c>
      <c r="Q17" s="37">
        <v>753.71</v>
      </c>
      <c r="R17" s="37">
        <v>753.1</v>
      </c>
    </row>
    <row r="18" spans="1:23" ht="13.8" x14ac:dyDescent="0.25">
      <c r="E18" s="37" t="s">
        <v>435</v>
      </c>
      <c r="G18" s="37">
        <v>15.63</v>
      </c>
      <c r="H18" s="37">
        <v>15.85</v>
      </c>
      <c r="I18" s="37">
        <v>21.84</v>
      </c>
      <c r="J18" s="37">
        <v>25.91</v>
      </c>
      <c r="K18" s="37">
        <v>24.77</v>
      </c>
      <c r="L18" s="37" t="s">
        <v>330</v>
      </c>
      <c r="M18" s="37">
        <v>8.67</v>
      </c>
      <c r="N18" s="37">
        <v>4.01</v>
      </c>
      <c r="O18" s="37">
        <v>3.67</v>
      </c>
      <c r="P18" s="37" t="s">
        <v>325</v>
      </c>
      <c r="Q18" s="165">
        <v>5706.18</v>
      </c>
      <c r="R18" s="37">
        <v>0</v>
      </c>
      <c r="U18" s="37" t="s">
        <v>436</v>
      </c>
      <c r="W18" s="37">
        <f>(100*AM15)/V3</f>
        <v>8.4772727272727266</v>
      </c>
    </row>
    <row r="19" spans="1:23" ht="13.8" x14ac:dyDescent="0.25">
      <c r="E19" s="37" t="s">
        <v>430</v>
      </c>
      <c r="G19" s="37" t="s">
        <v>437</v>
      </c>
      <c r="H19" s="37" t="s">
        <v>437</v>
      </c>
      <c r="I19" s="37" t="s">
        <v>437</v>
      </c>
      <c r="J19" s="37" t="s">
        <v>437</v>
      </c>
      <c r="K19" s="37" t="s">
        <v>437</v>
      </c>
      <c r="L19" s="37" t="s">
        <v>332</v>
      </c>
      <c r="M19" s="37">
        <v>8.67</v>
      </c>
      <c r="N19" s="37">
        <v>4.01</v>
      </c>
      <c r="O19" s="37">
        <v>3.65</v>
      </c>
      <c r="P19" s="37" t="s">
        <v>330</v>
      </c>
      <c r="Q19" s="37">
        <v>11.4</v>
      </c>
      <c r="R19" s="37">
        <v>20.64</v>
      </c>
    </row>
    <row r="20" spans="1:23" ht="13.8" x14ac:dyDescent="0.25">
      <c r="E20" s="37" t="s">
        <v>430</v>
      </c>
      <c r="G20" s="37" t="s">
        <v>438</v>
      </c>
      <c r="H20" s="37" t="s">
        <v>438</v>
      </c>
      <c r="I20" s="37" t="s">
        <v>438</v>
      </c>
      <c r="J20" s="37" t="s">
        <v>438</v>
      </c>
      <c r="K20" s="37" t="s">
        <v>438</v>
      </c>
      <c r="L20" s="37" t="s">
        <v>334</v>
      </c>
      <c r="M20" s="37" t="s">
        <v>439</v>
      </c>
      <c r="N20" s="37" t="s">
        <v>440</v>
      </c>
      <c r="O20" s="37" t="s">
        <v>441</v>
      </c>
      <c r="P20" s="37" t="s">
        <v>332</v>
      </c>
      <c r="Q20" s="37">
        <v>11.37</v>
      </c>
      <c r="R20" s="37">
        <v>20.45</v>
      </c>
    </row>
    <row r="21" spans="1:23" ht="15.75" customHeight="1" x14ac:dyDescent="0.25">
      <c r="E21" s="37" t="s">
        <v>430</v>
      </c>
      <c r="G21" s="37" t="s">
        <v>442</v>
      </c>
      <c r="H21" s="37" t="s">
        <v>442</v>
      </c>
      <c r="I21" s="37" t="s">
        <v>442</v>
      </c>
      <c r="J21" s="37" t="s">
        <v>442</v>
      </c>
      <c r="K21" s="37" t="s">
        <v>442</v>
      </c>
      <c r="L21" s="37" t="s">
        <v>345</v>
      </c>
      <c r="M21" s="37">
        <v>25.52</v>
      </c>
      <c r="N21" s="37">
        <v>25.77</v>
      </c>
      <c r="O21" s="37">
        <v>25.48</v>
      </c>
      <c r="P21" s="37" t="s">
        <v>334</v>
      </c>
      <c r="Q21" s="37" t="s">
        <v>443</v>
      </c>
      <c r="R21" s="37" t="s">
        <v>444</v>
      </c>
    </row>
    <row r="22" spans="1:23" ht="15.75" customHeight="1" x14ac:dyDescent="0.25">
      <c r="L22" s="37" t="s">
        <v>351</v>
      </c>
      <c r="M22" s="37">
        <v>56.16</v>
      </c>
      <c r="N22" s="37">
        <v>50.31</v>
      </c>
      <c r="O22" s="37">
        <v>47.29</v>
      </c>
      <c r="P22" s="37" t="s">
        <v>345</v>
      </c>
      <c r="Q22" s="37">
        <v>25.37</v>
      </c>
      <c r="R22" s="37">
        <v>25.31</v>
      </c>
    </row>
    <row r="23" spans="1:23" ht="15.75" customHeight="1" x14ac:dyDescent="0.25">
      <c r="L23" s="37" t="s">
        <v>355</v>
      </c>
      <c r="M23" s="37">
        <v>36.200000000000003</v>
      </c>
      <c r="N23" s="37">
        <v>31.38</v>
      </c>
      <c r="O23" s="37">
        <v>32.159999999999997</v>
      </c>
      <c r="P23" s="37" t="s">
        <v>351</v>
      </c>
      <c r="Q23" s="37">
        <v>85.26</v>
      </c>
      <c r="R23" s="37">
        <v>46.79</v>
      </c>
    </row>
    <row r="24" spans="1:23" ht="15.75" customHeight="1" x14ac:dyDescent="0.25">
      <c r="L24" s="37" t="s">
        <v>360</v>
      </c>
      <c r="M24" s="37">
        <v>8.86</v>
      </c>
      <c r="N24" s="37">
        <v>4.18</v>
      </c>
      <c r="O24" s="37">
        <v>3.81</v>
      </c>
      <c r="P24" s="37" t="s">
        <v>355</v>
      </c>
      <c r="Q24" s="37">
        <v>57.29</v>
      </c>
      <c r="R24" s="37">
        <v>34.94</v>
      </c>
    </row>
    <row r="25" spans="1:23" ht="15.75" customHeight="1" x14ac:dyDescent="0.25">
      <c r="L25" s="37" t="s">
        <v>361</v>
      </c>
      <c r="M25" s="37" t="s">
        <v>361</v>
      </c>
      <c r="N25" s="37" t="s">
        <v>361</v>
      </c>
      <c r="O25" s="37" t="s">
        <v>362</v>
      </c>
      <c r="P25" s="37" t="s">
        <v>360</v>
      </c>
      <c r="Q25" s="37">
        <v>11.54</v>
      </c>
      <c r="R25" s="37">
        <v>17.2</v>
      </c>
    </row>
    <row r="26" spans="1:23" ht="15.75" customHeight="1" x14ac:dyDescent="0.25">
      <c r="P26" s="37" t="s">
        <v>361</v>
      </c>
      <c r="Q26" s="37" t="s">
        <v>361</v>
      </c>
      <c r="R26" s="37" t="s">
        <v>362</v>
      </c>
    </row>
    <row r="27" spans="1:23" ht="15.75" customHeight="1" x14ac:dyDescent="0.25">
      <c r="E27" s="37" t="s">
        <v>287</v>
      </c>
      <c r="G27" s="164">
        <v>42826</v>
      </c>
      <c r="H27" s="37" t="s">
        <v>287</v>
      </c>
      <c r="I27" s="164">
        <v>42461</v>
      </c>
      <c r="J27" s="37" t="s">
        <v>287</v>
      </c>
      <c r="K27" s="164">
        <v>42095</v>
      </c>
    </row>
    <row r="28" spans="1:23" ht="15.75" customHeight="1" x14ac:dyDescent="0.25">
      <c r="A28" s="37" t="s">
        <v>445</v>
      </c>
      <c r="B28" s="37" t="s">
        <v>394</v>
      </c>
      <c r="C28" s="37" t="s">
        <v>294</v>
      </c>
      <c r="D28" s="37" t="s">
        <v>445</v>
      </c>
      <c r="E28" s="37" t="s">
        <v>291</v>
      </c>
      <c r="F28" s="37">
        <v>2019</v>
      </c>
      <c r="G28" s="164">
        <v>43190</v>
      </c>
      <c r="H28" s="37" t="s">
        <v>291</v>
      </c>
      <c r="I28" s="164">
        <v>42825</v>
      </c>
      <c r="J28" s="37" t="s">
        <v>291</v>
      </c>
      <c r="K28" s="164">
        <v>42460</v>
      </c>
    </row>
    <row r="29" spans="1:23" ht="15.75" customHeight="1" x14ac:dyDescent="0.25">
      <c r="E29" s="37" t="s">
        <v>293</v>
      </c>
      <c r="G29" s="37" t="s">
        <v>295</v>
      </c>
      <c r="H29" s="37" t="s">
        <v>293</v>
      </c>
      <c r="I29" s="37" t="s">
        <v>295</v>
      </c>
      <c r="J29" s="37" t="s">
        <v>293</v>
      </c>
      <c r="K29" s="37" t="s">
        <v>295</v>
      </c>
    </row>
    <row r="30" spans="1:23" ht="15.75" customHeight="1" x14ac:dyDescent="0.25">
      <c r="E30" s="37" t="s">
        <v>297</v>
      </c>
      <c r="G30" s="165">
        <v>14027.2</v>
      </c>
      <c r="H30" s="37" t="s">
        <v>297</v>
      </c>
      <c r="I30" s="165">
        <v>9656.1</v>
      </c>
      <c r="J30" s="37" t="s">
        <v>297</v>
      </c>
      <c r="K30" s="165">
        <v>6853.8</v>
      </c>
    </row>
    <row r="31" spans="1:23" ht="15.75" customHeight="1" x14ac:dyDescent="0.25">
      <c r="E31" s="37" t="s">
        <v>299</v>
      </c>
      <c r="G31" s="37">
        <v>143.4</v>
      </c>
      <c r="H31" s="37" t="s">
        <v>299</v>
      </c>
      <c r="I31" s="37">
        <v>82</v>
      </c>
      <c r="J31" s="37" t="s">
        <v>446</v>
      </c>
      <c r="K31" s="165">
        <v>6769.6</v>
      </c>
    </row>
    <row r="32" spans="1:23" ht="15.75" customHeight="1" x14ac:dyDescent="0.25">
      <c r="A32" s="41">
        <f t="shared" ref="A32:A33" si="0">(B32/C32)^(1/1)-1</f>
        <v>0.56957186544342497</v>
      </c>
      <c r="B32" s="37">
        <v>6159</v>
      </c>
      <c r="C32" s="37">
        <v>3924</v>
      </c>
      <c r="D32" s="41">
        <f t="shared" ref="D32:D33" si="1">(F32/G32)^(1/1)-1</f>
        <v>-0.37871367479146967</v>
      </c>
      <c r="E32" s="37" t="s">
        <v>301</v>
      </c>
      <c r="F32" s="37">
        <v>8804</v>
      </c>
      <c r="G32" s="165">
        <v>14170.6</v>
      </c>
      <c r="H32" s="37" t="s">
        <v>301</v>
      </c>
      <c r="I32" s="165">
        <v>9738.1</v>
      </c>
      <c r="J32" s="37" t="s">
        <v>302</v>
      </c>
      <c r="K32" s="37">
        <v>84.2</v>
      </c>
    </row>
    <row r="33" spans="1:11" ht="15.75" customHeight="1" x14ac:dyDescent="0.25">
      <c r="A33" s="41">
        <f t="shared" si="0"/>
        <v>0.50053782717820017</v>
      </c>
      <c r="B33" s="37">
        <v>-4185</v>
      </c>
      <c r="C33" s="37">
        <v>-2789</v>
      </c>
      <c r="D33" s="41">
        <f t="shared" si="1"/>
        <v>-0.39953715523418132</v>
      </c>
      <c r="E33" s="37" t="s">
        <v>303</v>
      </c>
      <c r="F33" s="37">
        <v>-7291</v>
      </c>
      <c r="G33" s="165">
        <v>-12142.3</v>
      </c>
      <c r="H33" s="37" t="s">
        <v>303</v>
      </c>
      <c r="I33" s="165">
        <v>-8264.9</v>
      </c>
      <c r="J33" s="37" t="s">
        <v>299</v>
      </c>
      <c r="K33" s="37">
        <v>146.69999999999999</v>
      </c>
    </row>
    <row r="34" spans="1:11" ht="15.75" customHeight="1" x14ac:dyDescent="0.25">
      <c r="E34" s="37" t="s">
        <v>305</v>
      </c>
      <c r="G34" s="165">
        <v>-9662.2999999999993</v>
      </c>
      <c r="H34" s="37" t="s">
        <v>305</v>
      </c>
      <c r="I34" s="165">
        <v>-6081.5</v>
      </c>
      <c r="J34" s="37" t="s">
        <v>447</v>
      </c>
      <c r="K34" s="37">
        <v>-423</v>
      </c>
    </row>
    <row r="35" spans="1:11" ht="15.75" customHeight="1" x14ac:dyDescent="0.25">
      <c r="A35" s="41">
        <f>(B35/C35)^(1/1)-1</f>
        <v>0.14285714285714279</v>
      </c>
      <c r="B35" s="37">
        <v>-232</v>
      </c>
      <c r="C35" s="37">
        <v>-203</v>
      </c>
      <c r="D35" s="41">
        <f>(F35/G35)^(1/1)-1</f>
        <v>-6.7882472137791305E-2</v>
      </c>
      <c r="E35" s="37" t="s">
        <v>310</v>
      </c>
      <c r="F35" s="37">
        <v>-920</v>
      </c>
      <c r="G35" s="37">
        <v>-987</v>
      </c>
      <c r="H35" s="37" t="s">
        <v>310</v>
      </c>
      <c r="I35" s="37">
        <v>-860.4</v>
      </c>
      <c r="J35" s="37" t="s">
        <v>307</v>
      </c>
      <c r="K35" s="37">
        <v>-354.6</v>
      </c>
    </row>
    <row r="36" spans="1:11" ht="15.75" customHeight="1" x14ac:dyDescent="0.25">
      <c r="E36" s="37" t="s">
        <v>313</v>
      </c>
      <c r="G36" s="37">
        <v>-153.6</v>
      </c>
      <c r="H36" s="37" t="s">
        <v>313</v>
      </c>
      <c r="I36" s="37">
        <v>-148.5</v>
      </c>
      <c r="J36" s="37" t="s">
        <v>448</v>
      </c>
      <c r="K36" s="37">
        <v>-365</v>
      </c>
    </row>
    <row r="37" spans="1:11" ht="15.75" customHeight="1" x14ac:dyDescent="0.25">
      <c r="E37" s="37" t="s">
        <v>307</v>
      </c>
      <c r="G37" s="37">
        <v>-959.6</v>
      </c>
      <c r="H37" s="37" t="s">
        <v>307</v>
      </c>
      <c r="I37" s="37">
        <v>-397</v>
      </c>
      <c r="J37" s="37" t="s">
        <v>317</v>
      </c>
      <c r="K37" s="37">
        <v>-116</v>
      </c>
    </row>
    <row r="38" spans="1:11" ht="15.75" customHeight="1" x14ac:dyDescent="0.25">
      <c r="E38" s="37" t="s">
        <v>319</v>
      </c>
      <c r="G38" s="37">
        <v>-379.8</v>
      </c>
      <c r="H38" s="37" t="s">
        <v>319</v>
      </c>
      <c r="I38" s="37">
        <v>-422</v>
      </c>
      <c r="J38" s="37" t="s">
        <v>449</v>
      </c>
      <c r="K38" s="165">
        <v>-3869.1</v>
      </c>
    </row>
    <row r="39" spans="1:11" ht="15.75" customHeight="1" x14ac:dyDescent="0.25">
      <c r="E39" s="37" t="s">
        <v>321</v>
      </c>
      <c r="G39" s="165">
        <v>2028.3</v>
      </c>
      <c r="H39" s="37" t="s">
        <v>450</v>
      </c>
      <c r="I39" s="37">
        <v>-355.5</v>
      </c>
      <c r="J39" s="37" t="s">
        <v>303</v>
      </c>
      <c r="K39" s="165">
        <v>-5127.7</v>
      </c>
    </row>
    <row r="40" spans="1:11" ht="15.75" customHeight="1" x14ac:dyDescent="0.25">
      <c r="E40" s="37" t="s">
        <v>318</v>
      </c>
      <c r="G40" s="37">
        <v>-492.6</v>
      </c>
      <c r="H40" s="37" t="s">
        <v>322</v>
      </c>
      <c r="I40" s="165">
        <v>1473.2</v>
      </c>
      <c r="J40" s="37" t="s">
        <v>304</v>
      </c>
      <c r="K40" s="37">
        <v>-591.29999999999995</v>
      </c>
    </row>
    <row r="41" spans="1:11" ht="15.75" customHeight="1" x14ac:dyDescent="0.25">
      <c r="E41" s="37" t="s">
        <v>327</v>
      </c>
      <c r="G41" s="165">
        <v>1535.7</v>
      </c>
      <c r="H41" s="37" t="s">
        <v>324</v>
      </c>
      <c r="I41" s="37">
        <v>0</v>
      </c>
      <c r="J41" s="37" t="s">
        <v>321</v>
      </c>
      <c r="K41" s="165">
        <v>1281.5</v>
      </c>
    </row>
    <row r="42" spans="1:11" ht="15.75" customHeight="1" x14ac:dyDescent="0.25">
      <c r="A42" s="41">
        <f>(B42/C42)^(1/1)-1</f>
        <v>0.71428571428571419</v>
      </c>
      <c r="B42" s="37">
        <v>1308</v>
      </c>
      <c r="C42" s="37">
        <v>763</v>
      </c>
      <c r="D42" s="41">
        <f>(F42/G42)^(1/1)-1</f>
        <v>-0.35273816500618616</v>
      </c>
      <c r="E42" s="37" t="s">
        <v>320</v>
      </c>
      <c r="F42" s="37">
        <v>994</v>
      </c>
      <c r="G42" s="165">
        <v>1535.7</v>
      </c>
      <c r="H42" s="37" t="s">
        <v>321</v>
      </c>
      <c r="I42" s="165">
        <v>1473.2</v>
      </c>
      <c r="J42" s="37" t="s">
        <v>318</v>
      </c>
      <c r="K42" s="37">
        <v>-528.5</v>
      </c>
    </row>
    <row r="43" spans="1:11" ht="15.75" customHeight="1" x14ac:dyDescent="0.25">
      <c r="E43" s="37" t="s">
        <v>331</v>
      </c>
      <c r="G43" s="37">
        <v>-694.9</v>
      </c>
      <c r="H43" s="37" t="s">
        <v>318</v>
      </c>
      <c r="I43" s="37">
        <v>-624.4</v>
      </c>
      <c r="J43" s="37" t="s">
        <v>327</v>
      </c>
      <c r="K43" s="37">
        <v>753</v>
      </c>
    </row>
    <row r="44" spans="1:11" ht="15.75" customHeight="1" x14ac:dyDescent="0.25">
      <c r="E44" s="37" t="s">
        <v>333</v>
      </c>
      <c r="G44" s="37">
        <v>202.3</v>
      </c>
      <c r="H44" s="37" t="s">
        <v>331</v>
      </c>
      <c r="I44" s="37">
        <v>-675.8</v>
      </c>
      <c r="J44" s="37" t="s">
        <v>344</v>
      </c>
      <c r="K44" s="37">
        <v>0</v>
      </c>
    </row>
    <row r="45" spans="1:11" ht="15.75" customHeight="1" x14ac:dyDescent="0.25">
      <c r="E45" s="37" t="s">
        <v>348</v>
      </c>
      <c r="G45" s="37">
        <v>0</v>
      </c>
      <c r="H45" s="37" t="s">
        <v>333</v>
      </c>
      <c r="I45" s="37">
        <v>51.4</v>
      </c>
      <c r="J45" s="37" t="s">
        <v>350</v>
      </c>
      <c r="K45" s="37">
        <v>0</v>
      </c>
    </row>
    <row r="46" spans="1:11" ht="15.75" customHeight="1" x14ac:dyDescent="0.25">
      <c r="E46" s="37" t="s">
        <v>353</v>
      </c>
      <c r="G46" s="37">
        <v>0</v>
      </c>
      <c r="H46" s="37" t="s">
        <v>327</v>
      </c>
      <c r="I46" s="37">
        <v>848.8</v>
      </c>
      <c r="J46" s="37" t="s">
        <v>320</v>
      </c>
      <c r="K46" s="37">
        <v>753</v>
      </c>
    </row>
    <row r="47" spans="1:11" ht="15.75" customHeight="1" x14ac:dyDescent="0.25">
      <c r="E47" s="37" t="s">
        <v>358</v>
      </c>
      <c r="G47" s="165">
        <v>1535.7</v>
      </c>
      <c r="H47" s="37" t="s">
        <v>349</v>
      </c>
      <c r="I47" s="37">
        <v>0</v>
      </c>
      <c r="J47" s="37" t="s">
        <v>348</v>
      </c>
      <c r="K47" s="37">
        <v>-162.19999999999999</v>
      </c>
    </row>
    <row r="48" spans="1:11" ht="15.75" customHeight="1" x14ac:dyDescent="0.25">
      <c r="E48" s="37" t="s">
        <v>363</v>
      </c>
      <c r="G48" s="37">
        <v>0</v>
      </c>
      <c r="H48" s="37" t="s">
        <v>354</v>
      </c>
      <c r="I48" s="37">
        <v>848.8</v>
      </c>
      <c r="J48" s="37" t="s">
        <v>353</v>
      </c>
      <c r="K48" s="37">
        <v>0</v>
      </c>
    </row>
    <row r="49" spans="5:11" ht="15.75" customHeight="1" x14ac:dyDescent="0.25">
      <c r="E49" s="37" t="s">
        <v>366</v>
      </c>
      <c r="G49" s="165">
        <v>1535.7</v>
      </c>
      <c r="H49" s="37" t="s">
        <v>359</v>
      </c>
      <c r="I49" s="37">
        <v>0</v>
      </c>
      <c r="J49" s="37" t="s">
        <v>358</v>
      </c>
      <c r="K49" s="37">
        <v>590.79999999999995</v>
      </c>
    </row>
    <row r="50" spans="5:11" ht="15.75" customHeight="1" x14ac:dyDescent="0.25">
      <c r="E50" s="37" t="s">
        <v>368</v>
      </c>
      <c r="H50" s="37" t="s">
        <v>364</v>
      </c>
      <c r="I50" s="37">
        <v>0</v>
      </c>
      <c r="J50" s="37" t="s">
        <v>363</v>
      </c>
      <c r="K50" s="37">
        <v>0</v>
      </c>
    </row>
    <row r="51" spans="5:11" ht="15.75" customHeight="1" x14ac:dyDescent="0.25">
      <c r="E51" s="37" t="s">
        <v>324</v>
      </c>
      <c r="G51" s="37">
        <v>0</v>
      </c>
      <c r="H51" s="37" t="s">
        <v>367</v>
      </c>
      <c r="I51" s="37">
        <v>0</v>
      </c>
      <c r="J51" s="37" t="s">
        <v>366</v>
      </c>
      <c r="K51" s="37">
        <v>590.79999999999995</v>
      </c>
    </row>
    <row r="52" spans="5:11" ht="15.75" customHeight="1" x14ac:dyDescent="0.25">
      <c r="E52" s="37" t="s">
        <v>322</v>
      </c>
      <c r="G52" s="165">
        <v>2028.3</v>
      </c>
      <c r="H52" s="37" t="s">
        <v>369</v>
      </c>
      <c r="I52" s="37">
        <v>0</v>
      </c>
      <c r="J52" s="37" t="s">
        <v>370</v>
      </c>
      <c r="K52" s="37">
        <v>0</v>
      </c>
    </row>
    <row r="53" spans="5:11" ht="15.75" customHeight="1" x14ac:dyDescent="0.25">
      <c r="E53" s="37" t="s">
        <v>354</v>
      </c>
      <c r="G53" s="165">
        <v>1535.7</v>
      </c>
      <c r="H53" s="37" t="s">
        <v>320</v>
      </c>
      <c r="I53" s="37">
        <v>848.8</v>
      </c>
      <c r="J53" s="37" t="s">
        <v>323</v>
      </c>
      <c r="K53" s="37">
        <v>757.7</v>
      </c>
    </row>
    <row r="54" spans="5:11" ht="15.75" customHeight="1" x14ac:dyDescent="0.25">
      <c r="E54" s="37" t="s">
        <v>359</v>
      </c>
      <c r="G54" s="37">
        <v>0</v>
      </c>
      <c r="H54" s="37" t="s">
        <v>348</v>
      </c>
      <c r="I54" s="37">
        <v>0</v>
      </c>
      <c r="J54" s="37" t="s">
        <v>325</v>
      </c>
      <c r="K54" s="165">
        <v>8016.1</v>
      </c>
    </row>
    <row r="55" spans="5:11" ht="15.75" customHeight="1" x14ac:dyDescent="0.25">
      <c r="E55" s="37" t="s">
        <v>364</v>
      </c>
      <c r="G55" s="37">
        <v>0</v>
      </c>
      <c r="H55" s="37" t="s">
        <v>353</v>
      </c>
      <c r="I55" s="37">
        <v>0</v>
      </c>
      <c r="J55" s="37" t="s">
        <v>368</v>
      </c>
    </row>
    <row r="56" spans="5:11" ht="15.75" customHeight="1" x14ac:dyDescent="0.25">
      <c r="E56" s="37" t="s">
        <v>367</v>
      </c>
      <c r="G56" s="37">
        <v>0</v>
      </c>
      <c r="H56" s="37" t="s">
        <v>358</v>
      </c>
      <c r="I56" s="37">
        <v>848.8</v>
      </c>
      <c r="J56" s="37" t="s">
        <v>324</v>
      </c>
      <c r="K56" s="37">
        <v>0</v>
      </c>
    </row>
    <row r="57" spans="5:11" ht="15.75" customHeight="1" x14ac:dyDescent="0.25">
      <c r="E57" s="37" t="s">
        <v>371</v>
      </c>
      <c r="G57" s="37">
        <v>3.9</v>
      </c>
      <c r="H57" s="37" t="s">
        <v>363</v>
      </c>
      <c r="I57" s="37">
        <v>0</v>
      </c>
      <c r="J57" s="37" t="s">
        <v>374</v>
      </c>
      <c r="K57" s="37">
        <v>10</v>
      </c>
    </row>
    <row r="58" spans="5:11" ht="15.75" customHeight="1" x14ac:dyDescent="0.25">
      <c r="E58" s="37" t="s">
        <v>372</v>
      </c>
      <c r="G58" s="37">
        <v>0</v>
      </c>
      <c r="H58" s="37" t="s">
        <v>366</v>
      </c>
      <c r="I58" s="37">
        <v>848.8</v>
      </c>
      <c r="J58" s="37" t="s">
        <v>377</v>
      </c>
    </row>
    <row r="59" spans="5:11" ht="15.75" customHeight="1" x14ac:dyDescent="0.25">
      <c r="E59" s="37" t="s">
        <v>375</v>
      </c>
      <c r="G59" s="165">
        <v>1539.6</v>
      </c>
      <c r="H59" s="37" t="s">
        <v>371</v>
      </c>
      <c r="I59" s="37">
        <v>3.1</v>
      </c>
      <c r="J59" s="37" t="s">
        <v>379</v>
      </c>
      <c r="K59" s="165">
        <v>1726.1</v>
      </c>
    </row>
    <row r="60" spans="5:11" ht="15.75" customHeight="1" x14ac:dyDescent="0.25">
      <c r="E60" s="37" t="s">
        <v>373</v>
      </c>
      <c r="G60" s="37">
        <v>0</v>
      </c>
      <c r="H60" s="37" t="s">
        <v>373</v>
      </c>
      <c r="I60" s="37">
        <v>0</v>
      </c>
      <c r="J60" s="37" t="s">
        <v>381</v>
      </c>
      <c r="K60" s="165">
        <v>1872.8</v>
      </c>
    </row>
    <row r="61" spans="5:11" ht="15.75" customHeight="1" x14ac:dyDescent="0.25">
      <c r="E61" s="37" t="s">
        <v>376</v>
      </c>
      <c r="G61" s="37">
        <v>0</v>
      </c>
      <c r="H61" s="37" t="s">
        <v>376</v>
      </c>
      <c r="I61" s="37">
        <v>0</v>
      </c>
      <c r="J61" s="37" t="s">
        <v>322</v>
      </c>
      <c r="K61" s="165">
        <v>1281.5</v>
      </c>
    </row>
    <row r="62" spans="5:11" ht="15.75" customHeight="1" x14ac:dyDescent="0.25">
      <c r="E62" s="37" t="s">
        <v>378</v>
      </c>
      <c r="G62" s="37">
        <v>0</v>
      </c>
      <c r="H62" s="37" t="s">
        <v>378</v>
      </c>
      <c r="I62" s="37">
        <v>0</v>
      </c>
      <c r="J62" s="37" t="s">
        <v>354</v>
      </c>
      <c r="K62" s="37">
        <v>753</v>
      </c>
    </row>
    <row r="63" spans="5:11" ht="15.75" customHeight="1" x14ac:dyDescent="0.25">
      <c r="E63" s="37" t="s">
        <v>380</v>
      </c>
      <c r="G63" s="37">
        <v>0</v>
      </c>
      <c r="H63" s="37" t="s">
        <v>380</v>
      </c>
      <c r="I63" s="37">
        <v>0</v>
      </c>
      <c r="J63" s="37" t="s">
        <v>359</v>
      </c>
      <c r="K63" s="37">
        <v>0</v>
      </c>
    </row>
    <row r="64" spans="5:11" ht="15.75" customHeight="1" x14ac:dyDescent="0.25">
      <c r="E64" s="37" t="s">
        <v>349</v>
      </c>
      <c r="G64" s="37">
        <v>0</v>
      </c>
      <c r="H64" s="37" t="s">
        <v>372</v>
      </c>
      <c r="I64" s="37">
        <v>0</v>
      </c>
      <c r="J64" s="37" t="s">
        <v>364</v>
      </c>
      <c r="K64" s="37">
        <v>0</v>
      </c>
    </row>
    <row r="65" spans="1:11" ht="15.75" customHeight="1" x14ac:dyDescent="0.25">
      <c r="E65" s="37" t="s">
        <v>369</v>
      </c>
      <c r="G65" s="37">
        <v>0</v>
      </c>
      <c r="H65" s="37" t="s">
        <v>375</v>
      </c>
      <c r="I65" s="37">
        <v>851.9</v>
      </c>
      <c r="J65" s="37" t="s">
        <v>367</v>
      </c>
      <c r="K65" s="37">
        <v>0</v>
      </c>
    </row>
    <row r="66" spans="1:11" ht="15.75" customHeight="1" x14ac:dyDescent="0.25">
      <c r="A66" s="41">
        <f>(B66/C66)^(1/1)-1</f>
        <v>2.056</v>
      </c>
      <c r="B66" s="37">
        <v>15.28</v>
      </c>
      <c r="C66" s="37">
        <v>5</v>
      </c>
      <c r="D66" s="41">
        <f>(F66/G66)^(1/1)-1</f>
        <v>-0.37928883343730513</v>
      </c>
      <c r="E66" s="37" t="s">
        <v>382</v>
      </c>
      <c r="F66" s="37">
        <v>9.9499999999999993</v>
      </c>
      <c r="G66" s="37">
        <v>16.03</v>
      </c>
      <c r="H66" s="37" t="s">
        <v>368</v>
      </c>
      <c r="J66" s="37" t="s">
        <v>371</v>
      </c>
      <c r="K66" s="37" t="s">
        <v>289</v>
      </c>
    </row>
    <row r="67" spans="1:11" ht="15.75" customHeight="1" x14ac:dyDescent="0.25">
      <c r="E67" s="37" t="s">
        <v>383</v>
      </c>
      <c r="G67" s="37">
        <v>16.03</v>
      </c>
      <c r="H67" s="37" t="s">
        <v>382</v>
      </c>
      <c r="I67" s="37">
        <v>11.51</v>
      </c>
      <c r="J67" s="37" t="s">
        <v>372</v>
      </c>
      <c r="K67" s="37" t="s">
        <v>289</v>
      </c>
    </row>
    <row r="68" spans="1:11" ht="15.75" customHeight="1" x14ac:dyDescent="0.25">
      <c r="A68" s="41">
        <f t="shared" ref="A68:A69" si="2">(B68/C68)^(1/1)-1</f>
        <v>9.219956857560363E-2</v>
      </c>
      <c r="B68" s="122">
        <f t="shared" ref="B68:C68" si="3">(100*B42)/B32</f>
        <v>21.237213833414515</v>
      </c>
      <c r="C68" s="122">
        <f t="shared" si="3"/>
        <v>19.444444444444443</v>
      </c>
      <c r="D68" s="41">
        <f t="shared" ref="D68:D69" si="4">(F68/G68)^(1/1)-1</f>
        <v>4.1809241136226527E-2</v>
      </c>
      <c r="E68" s="37" t="s">
        <v>451</v>
      </c>
      <c r="F68" s="122">
        <f t="shared" ref="F68:G68" si="5">(100*F42)/F32</f>
        <v>11.290322580645162</v>
      </c>
      <c r="G68" s="122">
        <f t="shared" si="5"/>
        <v>10.837226370090187</v>
      </c>
      <c r="H68" s="37" t="s">
        <v>383</v>
      </c>
      <c r="I68" s="37">
        <v>11.51</v>
      </c>
      <c r="J68" s="37" t="s">
        <v>375</v>
      </c>
      <c r="K68" s="37" t="s">
        <v>289</v>
      </c>
    </row>
    <row r="69" spans="1:11" ht="15.75" customHeight="1" x14ac:dyDescent="0.25">
      <c r="A69" s="41">
        <f t="shared" si="2"/>
        <v>0.52180616740088115</v>
      </c>
      <c r="B69" s="122">
        <f t="shared" ref="B69:C69" si="6">(B32+B33)/(-B35)</f>
        <v>8.5086206896551726</v>
      </c>
      <c r="C69" s="122">
        <f t="shared" si="6"/>
        <v>5.5911330049261085</v>
      </c>
      <c r="D69" s="41">
        <f t="shared" si="4"/>
        <v>-0.1997308733593568</v>
      </c>
      <c r="E69" s="37" t="s">
        <v>423</v>
      </c>
      <c r="F69" s="122">
        <f t="shared" ref="F69:G69" si="7">(F32+F33)/(-F35)</f>
        <v>1.6445652173913043</v>
      </c>
      <c r="G69" s="122">
        <f t="shared" si="7"/>
        <v>2.0550151975683901</v>
      </c>
      <c r="H69" s="37" t="s">
        <v>362</v>
      </c>
      <c r="J69" s="37" t="s">
        <v>386</v>
      </c>
      <c r="K69" s="37" t="s">
        <v>289</v>
      </c>
    </row>
    <row r="70" spans="1:11" ht="15.75" customHeight="1" x14ac:dyDescent="0.25">
      <c r="E70" s="37" t="s">
        <v>396</v>
      </c>
      <c r="F70" s="37">
        <v>3.4</v>
      </c>
      <c r="G70" s="37">
        <v>1.6</v>
      </c>
      <c r="J70" s="37" t="s">
        <v>387</v>
      </c>
      <c r="K70" s="37" t="s">
        <v>289</v>
      </c>
    </row>
    <row r="71" spans="1:11" ht="15.75" customHeight="1" x14ac:dyDescent="0.25">
      <c r="E71" s="37" t="s">
        <v>452</v>
      </c>
      <c r="F71" s="122">
        <f>(100*F70)/F66</f>
        <v>34.170854271356788</v>
      </c>
      <c r="J71" s="37" t="s">
        <v>388</v>
      </c>
      <c r="K71" s="37" t="s">
        <v>289</v>
      </c>
    </row>
    <row r="72" spans="1:11" ht="15.75" customHeight="1" x14ac:dyDescent="0.25">
      <c r="J72" s="37" t="s">
        <v>391</v>
      </c>
      <c r="K72" s="37" t="s">
        <v>289</v>
      </c>
    </row>
    <row r="73" spans="1:11" ht="15.75" customHeight="1" x14ac:dyDescent="0.25">
      <c r="J73" s="37" t="s">
        <v>330</v>
      </c>
      <c r="K73" s="37">
        <v>7.8</v>
      </c>
    </row>
    <row r="74" spans="1:11" ht="15.75" customHeight="1" x14ac:dyDescent="0.25">
      <c r="J74" s="37" t="s">
        <v>332</v>
      </c>
      <c r="K74" s="37">
        <v>7.8</v>
      </c>
    </row>
    <row r="75" spans="1:11" ht="15.75" customHeight="1" x14ac:dyDescent="0.25">
      <c r="J75" s="37" t="s">
        <v>361</v>
      </c>
    </row>
    <row r="76" spans="1:11" ht="15.75" customHeight="1" x14ac:dyDescent="0.25"/>
    <row r="77" spans="1:11" ht="15.75" customHeight="1" x14ac:dyDescent="0.25"/>
    <row r="78" spans="1:11" ht="15.75" customHeight="1" x14ac:dyDescent="0.25"/>
    <row r="79" spans="1:11" ht="15.75" customHeight="1" x14ac:dyDescent="0.25"/>
    <row r="80" spans="1:11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Residential,Commercial Projects</vt:lpstr>
      <vt:lpstr>Sheet2</vt:lpstr>
      <vt:lpstr>Sheet1</vt:lpstr>
      <vt:lpstr>Sheet3</vt:lpstr>
      <vt:lpstr>Realty</vt:lpstr>
      <vt:lpstr>dataStudy</vt:lpstr>
      <vt:lpstr>IBREALEST</vt:lpstr>
      <vt:lpstr>OBEROIRLTY</vt:lpstr>
      <vt:lpstr>KOLTEPATIL</vt:lpstr>
      <vt:lpstr>ASHIANA</vt:lpstr>
      <vt:lpstr>AHLUCONT</vt:lpstr>
      <vt:lpstr>PRESTIGE</vt:lpstr>
      <vt:lpstr>BRIGADE</vt:lpstr>
      <vt:lpstr>CAPACITE</vt:lpstr>
      <vt:lpstr>SUNTECK</vt:lpstr>
      <vt:lpstr>DLF</vt:lpstr>
      <vt:lpstr>GEECEE</vt:lpstr>
      <vt:lpstr>HDIL</vt:lpstr>
      <vt:lpstr>PURVA</vt:lpstr>
      <vt:lpstr>PHOENIXLTD</vt:lpstr>
      <vt:lpstr>SOBHA</vt:lpstr>
      <vt:lpstr>UNITECH</vt:lpstr>
      <vt:lpstr>GODREJ_PROPERTIES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2006-09-16T00:00:00Z</dcterms:created>
  <dcterms:modified xsi:type="dcterms:W3CDTF">2024-03-21T12:13:32Z</dcterms:modified>
</cp:coreProperties>
</file>