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52F236DE-B205-4975-B829-FF6E99115270}" xr6:coauthVersionLast="47" xr6:coauthVersionMax="47" xr10:uidLastSave="{00000000-0000-0000-0000-000000000000}"/>
  <bookViews>
    <workbookView xWindow="-108" yWindow="-108" windowWidth="23256" windowHeight="12456" xr2:uid="{6098A0EE-EE73-42AE-8AEB-8518FD286341}"/>
  </bookViews>
  <sheets>
    <sheet name="MayMyInd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P50" i="1"/>
  <c r="N50" i="1"/>
  <c r="O50" i="1" s="1"/>
  <c r="M50" i="1"/>
  <c r="L50" i="1"/>
  <c r="G50" i="1"/>
  <c r="N49" i="1"/>
  <c r="P49" i="1" s="1"/>
  <c r="M49" i="1"/>
  <c r="L49" i="1"/>
  <c r="G49" i="1"/>
  <c r="N48" i="1"/>
  <c r="O48" i="1" s="1"/>
  <c r="M48" i="1"/>
  <c r="M43" i="1" s="1"/>
  <c r="L48" i="1"/>
  <c r="G48" i="1"/>
  <c r="P47" i="1"/>
  <c r="P41" i="1" s="1"/>
  <c r="O47" i="1"/>
  <c r="O41" i="1" s="1"/>
  <c r="N47" i="1"/>
  <c r="M47" i="1"/>
  <c r="L47" i="1"/>
  <c r="G47" i="1"/>
  <c r="G41" i="1" s="1"/>
  <c r="G21" i="1" s="1"/>
  <c r="I46" i="1"/>
  <c r="N46" i="1" s="1"/>
  <c r="E46" i="1"/>
  <c r="G46" i="1" s="1"/>
  <c r="D46" i="1"/>
  <c r="N43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N41" i="1"/>
  <c r="M41" i="1"/>
  <c r="L41" i="1"/>
  <c r="K41" i="1"/>
  <c r="J41" i="1"/>
  <c r="I41" i="1"/>
  <c r="H41" i="1"/>
  <c r="F41" i="1"/>
  <c r="E41" i="1"/>
  <c r="D41" i="1"/>
  <c r="Q38" i="1"/>
  <c r="O36" i="1"/>
  <c r="R36" i="1" s="1"/>
  <c r="R38" i="1" s="1"/>
  <c r="Z33" i="1"/>
  <c r="Y33" i="1"/>
  <c r="AB33" i="1" s="1"/>
  <c r="T33" i="1"/>
  <c r="S33" i="1"/>
  <c r="U31" i="1" s="1"/>
  <c r="P33" i="1"/>
  <c r="O33" i="1"/>
  <c r="N33" i="1"/>
  <c r="K33" i="1"/>
  <c r="J33" i="1"/>
  <c r="I33" i="1"/>
  <c r="E33" i="1"/>
  <c r="D33" i="1"/>
  <c r="H9" i="1" s="1"/>
  <c r="P32" i="1"/>
  <c r="O32" i="1"/>
  <c r="N32" i="1"/>
  <c r="J32" i="1"/>
  <c r="I32" i="1"/>
  <c r="K32" i="1" s="1"/>
  <c r="E32" i="1"/>
  <c r="D32" i="1"/>
  <c r="F32" i="1" s="1"/>
  <c r="V31" i="1"/>
  <c r="O31" i="1"/>
  <c r="N31" i="1"/>
  <c r="P31" i="1" s="1"/>
  <c r="J31" i="1"/>
  <c r="I31" i="1"/>
  <c r="K31" i="1" s="1"/>
  <c r="V30" i="1"/>
  <c r="U30" i="1"/>
  <c r="P30" i="1"/>
  <c r="K30" i="1"/>
  <c r="F30" i="1"/>
  <c r="V29" i="1"/>
  <c r="P29" i="1"/>
  <c r="K29" i="1"/>
  <c r="F29" i="1"/>
  <c r="V28" i="1"/>
  <c r="P28" i="1"/>
  <c r="K28" i="1"/>
  <c r="F28" i="1"/>
  <c r="V27" i="1"/>
  <c r="U27" i="1"/>
  <c r="P27" i="1"/>
  <c r="O27" i="1"/>
  <c r="N27" i="1"/>
  <c r="K27" i="1"/>
  <c r="J27" i="1"/>
  <c r="I27" i="1"/>
  <c r="E27" i="1"/>
  <c r="E31" i="1" s="1"/>
  <c r="D27" i="1"/>
  <c r="D31" i="1" s="1"/>
  <c r="F31" i="1" s="1"/>
  <c r="V26" i="1"/>
  <c r="P26" i="1"/>
  <c r="K26" i="1"/>
  <c r="F26" i="1"/>
  <c r="AB25" i="1"/>
  <c r="AA25" i="1"/>
  <c r="V25" i="1"/>
  <c r="P25" i="1"/>
  <c r="K25" i="1"/>
  <c r="F25" i="1"/>
  <c r="AB24" i="1"/>
  <c r="AA24" i="1"/>
  <c r="V24" i="1"/>
  <c r="U24" i="1"/>
  <c r="P24" i="1"/>
  <c r="K24" i="1"/>
  <c r="F24" i="1"/>
  <c r="F17" i="1"/>
  <c r="S36" i="1" s="1"/>
  <c r="D17" i="1"/>
  <c r="E17" i="1" s="1"/>
  <c r="E20" i="1" s="1"/>
  <c r="D16" i="1"/>
  <c r="D15" i="1" s="1"/>
  <c r="D12" i="1"/>
  <c r="S9" i="1"/>
  <c r="R9" i="1"/>
  <c r="Q9" i="1"/>
  <c r="N9" i="1"/>
  <c r="O9" i="1" s="1"/>
  <c r="J9" i="1"/>
  <c r="G9" i="1"/>
  <c r="F9" i="1"/>
  <c r="E9" i="1"/>
  <c r="D9" i="1"/>
  <c r="B9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E5" i="1"/>
  <c r="C5" i="1"/>
  <c r="W4" i="1"/>
  <c r="M4" i="1"/>
  <c r="W3" i="1"/>
  <c r="W5" i="1" s="1"/>
  <c r="F3" i="1"/>
  <c r="F5" i="1" s="1"/>
  <c r="E3" i="1"/>
  <c r="D3" i="1"/>
  <c r="C3" i="1"/>
  <c r="S38" i="1" s="1"/>
  <c r="T36" i="1" s="1"/>
  <c r="P9" i="1" s="1"/>
  <c r="P46" i="1" l="1"/>
  <c r="O46" i="1"/>
  <c r="O42" i="1"/>
  <c r="O43" i="1"/>
  <c r="I9" i="1"/>
  <c r="H17" i="1"/>
  <c r="I17" i="1" s="1"/>
  <c r="V33" i="1"/>
  <c r="P48" i="1"/>
  <c r="D4" i="1"/>
  <c r="D5" i="1" s="1"/>
  <c r="C9" i="1"/>
  <c r="K9" i="1"/>
  <c r="E16" i="1"/>
  <c r="J17" i="1"/>
  <c r="U26" i="1"/>
  <c r="U28" i="1"/>
  <c r="U32" i="1"/>
  <c r="M42" i="1"/>
  <c r="U25" i="1"/>
  <c r="U33" i="1" s="1"/>
  <c r="V32" i="1"/>
  <c r="AA33" i="1"/>
  <c r="N42" i="1"/>
  <c r="F46" i="1"/>
  <c r="O49" i="1"/>
  <c r="F27" i="1"/>
  <c r="F33" i="1"/>
  <c r="G17" i="1"/>
  <c r="U29" i="1"/>
  <c r="E15" i="1" l="1"/>
  <c r="F16" i="1"/>
  <c r="M17" i="1"/>
  <c r="G16" i="1"/>
  <c r="K17" i="1"/>
  <c r="P42" i="1"/>
  <c r="P43" i="1"/>
  <c r="G3" i="1"/>
  <c r="M46" i="1"/>
  <c r="L46" i="1"/>
  <c r="J16" i="1" l="1"/>
  <c r="H16" i="1"/>
  <c r="I16" i="1" s="1"/>
  <c r="F15" i="1"/>
  <c r="M9" i="1"/>
  <c r="G5" i="1"/>
  <c r="L9" i="1"/>
  <c r="L17" i="1"/>
  <c r="N17" i="1" s="1"/>
  <c r="F12" i="1" s="1"/>
  <c r="G12" i="1" s="1"/>
  <c r="M16" i="1"/>
  <c r="G15" i="1"/>
  <c r="K16" i="1"/>
  <c r="L16" i="1" s="1"/>
  <c r="J15" i="1" l="1"/>
  <c r="H15" i="1"/>
  <c r="I15" i="1" s="1"/>
  <c r="M15" i="1"/>
  <c r="K15" i="1"/>
  <c r="L15" i="1" s="1"/>
  <c r="N16" i="1"/>
  <c r="N15" i="1" l="1"/>
</calcChain>
</file>

<file path=xl/sharedStrings.xml><?xml version="1.0" encoding="utf-8"?>
<sst xmlns="http://schemas.openxmlformats.org/spreadsheetml/2006/main" count="227" uniqueCount="154">
  <si>
    <t>MARKET</t>
  </si>
  <si>
    <t>FINANCE</t>
  </si>
  <si>
    <t>BALANCESHEET</t>
  </si>
  <si>
    <t>CASHFLOW</t>
  </si>
  <si>
    <t>DATA</t>
  </si>
  <si>
    <t>Company</t>
  </si>
  <si>
    <t>Price</t>
  </si>
  <si>
    <t>Marketcap</t>
  </si>
  <si>
    <t>Sales</t>
  </si>
  <si>
    <t>Profit</t>
  </si>
  <si>
    <t>TRAIL_EPS</t>
  </si>
  <si>
    <t>FV</t>
  </si>
  <si>
    <t>ORDERBOOK</t>
  </si>
  <si>
    <t>Equity</t>
  </si>
  <si>
    <t>Reserve</t>
  </si>
  <si>
    <t>DEBT</t>
  </si>
  <si>
    <t>LEASE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</si>
  <si>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</si>
  <si>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</si>
  <si>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</si>
  <si>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</si>
  <si>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</si>
  <si>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</si>
  <si>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</si>
  <si>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</si>
  <si>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</si>
  <si>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TOTAL</t>
  </si>
  <si>
    <t>MAPMYINDIA</t>
  </si>
  <si>
    <t>LastYear_25</t>
  </si>
  <si>
    <t>Growth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</si>
  <si>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</si>
  <si>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</si>
  <si>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</si>
  <si>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</si>
  <si>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</si>
  <si>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</si>
  <si>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</si>
  <si>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</si>
  <si>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DAYS</t>
  </si>
  <si>
    <t>DEBT2EQUITY</t>
  </si>
  <si>
    <t>DEBTRATIO</t>
  </si>
  <si>
    <t>ICR</t>
  </si>
  <si>
    <t>ROE</t>
  </si>
  <si>
    <t>ROCE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</si>
  <si>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</si>
  <si>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</si>
  <si>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</si>
  <si>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</si>
  <si>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</si>
  <si>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</si>
  <si>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</si>
  <si>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</si>
  <si>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(INC R)</t>
  </si>
  <si>
    <t>Weightage %</t>
  </si>
  <si>
    <t>STR. WEIGHTAGE</t>
  </si>
  <si>
    <t>FACTOR</t>
  </si>
  <si>
    <t>TECH. WEIGHT</t>
  </si>
  <si>
    <t>Forward</t>
  </si>
  <si>
    <t>Expected Growth</t>
  </si>
  <si>
    <t>EPS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</si>
  <si>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</si>
  <si>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</si>
  <si>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</si>
  <si>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</si>
  <si>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</si>
  <si>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</si>
  <si>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</si>
  <si>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</si>
  <si>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</si>
  <si>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Estimates</t>
  </si>
  <si>
    <t>EXPECTED</t>
  </si>
  <si>
    <t>SALES</t>
  </si>
  <si>
    <t>PROFIT</t>
  </si>
  <si>
    <t>MARGIN</t>
  </si>
  <si>
    <t>EST GR 2026</t>
  </si>
  <si>
    <t>EST GR LONGTERM</t>
  </si>
  <si>
    <t>Quarterly</t>
  </si>
  <si>
    <t>RESULT</t>
  </si>
  <si>
    <t>Q1_FY26</t>
  </si>
  <si>
    <t>Q1_FY25</t>
  </si>
  <si>
    <t>Q4_FY25</t>
  </si>
  <si>
    <t>Q4_FY24</t>
  </si>
  <si>
    <t>FY25</t>
  </si>
  <si>
    <t>FY24</t>
  </si>
  <si>
    <t>MajorCost</t>
  </si>
  <si>
    <t>SHARE</t>
  </si>
  <si>
    <t>Segment</t>
  </si>
  <si>
    <t>SHP</t>
  </si>
  <si>
    <t>IPO_2021</t>
  </si>
  <si>
    <t>Q1_FY24</t>
  </si>
  <si>
    <t>Revenue</t>
  </si>
  <si>
    <t>Cost of Material</t>
  </si>
  <si>
    <t>Hardware</t>
  </si>
  <si>
    <t>PROMOTER</t>
  </si>
  <si>
    <t>COST</t>
  </si>
  <si>
    <t>Employee</t>
  </si>
  <si>
    <t>Services</t>
  </si>
  <si>
    <t>MF &amp; INSURANCE</t>
  </si>
  <si>
    <t>Finance</t>
  </si>
  <si>
    <t>FII</t>
  </si>
  <si>
    <t>EBITDA</t>
  </si>
  <si>
    <t>Dep&amp;Amort</t>
  </si>
  <si>
    <t>RETAIL</t>
  </si>
  <si>
    <t>Other</t>
  </si>
  <si>
    <t>CORPORATE</t>
  </si>
  <si>
    <t>EQUITY</t>
  </si>
  <si>
    <t>TechnicalServiceOutsource</t>
  </si>
  <si>
    <t>Marketing</t>
  </si>
  <si>
    <t>Ebitda %</t>
  </si>
  <si>
    <t>Comm.CloudExp.</t>
  </si>
  <si>
    <t>Margin</t>
  </si>
  <si>
    <t>Stock in Trade</t>
  </si>
  <si>
    <t>Total</t>
  </si>
  <si>
    <t>Trend</t>
  </si>
  <si>
    <t>YEAR</t>
  </si>
  <si>
    <t>H1_FY_25</t>
  </si>
  <si>
    <t>9M_FY_25</t>
  </si>
  <si>
    <t>FY_25</t>
  </si>
  <si>
    <t>Q1_FY_26</t>
  </si>
  <si>
    <t>F-2026</t>
  </si>
  <si>
    <t>Current Trend</t>
  </si>
  <si>
    <t>Q2_FY_25</t>
  </si>
  <si>
    <t>Q3_FY_25</t>
  </si>
  <si>
    <t>Q4_FY_25</t>
  </si>
  <si>
    <t>T-EPS-2025</t>
  </si>
  <si>
    <t>EPS_25</t>
  </si>
  <si>
    <t>T_EPS</t>
  </si>
  <si>
    <t>F_EPS_26</t>
  </si>
  <si>
    <t>F_PEG</t>
  </si>
  <si>
    <t>PE</t>
  </si>
  <si>
    <t>TRAILPE</t>
  </si>
  <si>
    <t>F_PE</t>
  </si>
  <si>
    <t>Year</t>
  </si>
  <si>
    <t>RESERVE</t>
  </si>
  <si>
    <t>LOWPRICE</t>
  </si>
  <si>
    <t>HIGH PRICE</t>
  </si>
  <si>
    <t>Low _PE</t>
  </si>
  <si>
    <t>High_PE</t>
  </si>
  <si>
    <t>LBV</t>
  </si>
  <si>
    <t>HBV</t>
  </si>
  <si>
    <t>Growth Last Year</t>
  </si>
  <si>
    <t>Growth 3 year</t>
  </si>
  <si>
    <t>Growth 5year</t>
  </si>
  <si>
    <t>Historical</t>
  </si>
  <si>
    <t>Tr.FY_2026</t>
  </si>
  <si>
    <t>FY_2025</t>
  </si>
  <si>
    <t>FY_2024</t>
  </si>
  <si>
    <t>IPO</t>
  </si>
  <si>
    <t>FY_2023</t>
  </si>
  <si>
    <t>OPEN MARKET</t>
  </si>
  <si>
    <t>FY_2022</t>
  </si>
  <si>
    <t>FY_2021</t>
  </si>
  <si>
    <t>FY_2020</t>
  </si>
  <si>
    <t>FY_2019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</si>
</sst>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FFFFFF"/>
      <name val="Arial"/>
    </font>
    <font>
      <sz val="11"/>
      <color theme="1"/>
      <name val="Calibri"/>
    </font>
    <font>
      <sz val="11"/>
      <color theme="1"/>
      <name val="Arial"/>
    </font>
    <font>
      <b/>
      <i/>
      <sz val="11"/>
      <color theme="1"/>
      <name val="Calibri"/>
    </font>
    <font>
      <i/>
      <sz val="11"/>
      <color theme="1"/>
      <name val="Arial"/>
    </font>
    <font>
      <sz val="10"/>
      <color theme="1"/>
      <name val="Arial"/>
    </font>
    <font>
      <b/>
      <sz val="14"/>
      <color rgb="FFFFFFFF"/>
      <name val="Calibri"/>
    </font>
    <font>
      <b/>
      <sz val="11"/>
      <color rgb="FFFFFFFF"/>
      <name val="Calibri"/>
    </font>
    <font>
      <i/>
      <sz val="11"/>
      <color theme="1"/>
      <name val="Calibri"/>
    </font>
    <font>
      <b/>
      <sz val="11"/>
      <color theme="1"/>
      <name val="Calibri"/>
    </font>
    <font>
      <b/>
      <i/>
      <u/>
      <sz val="11"/>
      <color theme="1"/>
      <name val="Calibri"/>
    </font>
    <font>
      <b/>
      <sz val="38"/>
      <color theme="1"/>
      <name val="Calibri"/>
    </font>
    <font>
      <b/>
      <sz val="10"/>
      <color theme="1"/>
      <name val="Arial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0124D"/>
        <bgColor rgb="FF20124D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84CEAA"/>
        <bgColor rgb="FF84CEAA"/>
      </patternFill>
    </fill>
    <fill>
      <patternFill patternType="solid">
        <fgColor rgb="FF073763"/>
        <bgColor rgb="FF073763"/>
      </patternFill>
    </fill>
    <fill>
      <patternFill patternType="solid">
        <fgColor rgb="FFD9D9D9"/>
        <bgColor rgb="FFD9D9D9"/>
      </patternFill>
    </fill>
    <fill>
      <patternFill patternType="solid">
        <fgColor rgb="FF57BB8A"/>
        <bgColor rgb="FF57BB8A"/>
      </patternFill>
    </fill>
    <fill>
      <patternFill patternType="solid">
        <fgColor rgb="FFF3C1BC"/>
        <bgColor rgb="FFF3C1BC"/>
      </patternFill>
    </fill>
    <fill>
      <patternFill patternType="solid">
        <fgColor rgb="FFFEFEFE"/>
        <bgColor rgb="FFFEFEFE"/>
      </patternFill>
    </fill>
    <fill>
      <patternFill patternType="solid">
        <fgColor rgb="FFF1FAF6"/>
        <bgColor rgb="FFF1FAF6"/>
      </patternFill>
    </fill>
    <fill>
      <patternFill patternType="solid">
        <fgColor rgb="FFEFAEA8"/>
        <bgColor rgb="FFEFAEA8"/>
      </patternFill>
    </fill>
    <fill>
      <patternFill patternType="solid">
        <fgColor rgb="FFF7FCFA"/>
        <bgColor rgb="FFF7FCFA"/>
      </patternFill>
    </fill>
    <fill>
      <patternFill patternType="solid">
        <fgColor rgb="FFB8CCE4"/>
        <bgColor rgb="FFB8CCE4"/>
      </patternFill>
    </fill>
    <fill>
      <patternFill patternType="solid">
        <fgColor rgb="FFF1B9B4"/>
        <bgColor rgb="FFF1B9B4"/>
      </patternFill>
    </fill>
    <fill>
      <patternFill patternType="solid">
        <fgColor rgb="FFE67C73"/>
        <bgColor rgb="FFE67C73"/>
      </patternFill>
    </fill>
    <fill>
      <patternFill patternType="solid">
        <fgColor rgb="FF65C194"/>
        <bgColor rgb="FF65C194"/>
      </patternFill>
    </fill>
    <fill>
      <patternFill patternType="solid">
        <fgColor rgb="FFD8F0E4"/>
        <bgColor rgb="FFD8F0E4"/>
      </patternFill>
    </fill>
    <fill>
      <patternFill patternType="solid">
        <fgColor rgb="FFFEFFFE"/>
        <bgColor rgb="FFFEFFFE"/>
      </patternFill>
    </fill>
    <fill>
      <patternFill patternType="solid">
        <fgColor rgb="FFFAFDFC"/>
        <bgColor rgb="FFFAFDFC"/>
      </patternFill>
    </fill>
    <fill>
      <patternFill patternType="solid">
        <fgColor rgb="FFF3C3BF"/>
        <bgColor rgb="FFF3C3BF"/>
      </patternFill>
    </fill>
    <fill>
      <patternFill patternType="solid">
        <fgColor rgb="FFDEF2E8"/>
        <bgColor rgb="FFDEF2E8"/>
      </patternFill>
    </fill>
    <fill>
      <patternFill patternType="solid">
        <fgColor rgb="FFB6CA76"/>
        <bgColor rgb="FFB6CA76"/>
      </patternFill>
    </fill>
    <fill>
      <patternFill patternType="solid">
        <fgColor rgb="FFAADDC4"/>
        <bgColor rgb="FFAADDC4"/>
      </patternFill>
    </fill>
    <fill>
      <patternFill patternType="solid">
        <fgColor rgb="FFBCE4D0"/>
        <bgColor rgb="FFBCE4D0"/>
      </patternFill>
    </fill>
    <fill>
      <patternFill patternType="solid">
        <fgColor rgb="FFD4EEE1"/>
        <bgColor rgb="FFD4EEE1"/>
      </patternFill>
    </fill>
    <fill>
      <patternFill patternType="solid">
        <fgColor rgb="FF68C296"/>
        <bgColor rgb="FF68C296"/>
      </patternFill>
    </fill>
    <fill>
      <patternFill patternType="solid">
        <fgColor rgb="FFFAE7E6"/>
        <bgColor rgb="FFFAE7E6"/>
      </patternFill>
    </fill>
    <fill>
      <patternFill patternType="solid">
        <fgColor rgb="FFC9E9D9"/>
        <bgColor rgb="FFC9E9D9"/>
      </patternFill>
    </fill>
    <fill>
      <patternFill patternType="solid">
        <fgColor rgb="FFD3EDE0"/>
        <bgColor rgb="FFD3EDE0"/>
      </patternFill>
    </fill>
    <fill>
      <patternFill patternType="solid">
        <fgColor rgb="FFE4F4EC"/>
        <bgColor rgb="FFE4F4EC"/>
      </patternFill>
    </fill>
    <fill>
      <patternFill patternType="solid">
        <fgColor rgb="FFABDDC4"/>
        <bgColor rgb="FFABDDC4"/>
      </patternFill>
    </fill>
    <fill>
      <patternFill patternType="solid">
        <fgColor rgb="FFEA8971"/>
        <bgColor rgb="FFEA8971"/>
      </patternFill>
    </fill>
    <fill>
      <patternFill patternType="solid">
        <fgColor rgb="FFE0F3EA"/>
        <bgColor rgb="FFE0F3EA"/>
      </patternFill>
    </fill>
    <fill>
      <patternFill patternType="solid">
        <fgColor rgb="FFFAE4E3"/>
        <bgColor rgb="FFFAE4E3"/>
      </patternFill>
    </fill>
    <fill>
      <patternFill patternType="solid">
        <fgColor rgb="FFF0B5B0"/>
        <bgColor rgb="FFF0B5B0"/>
      </patternFill>
    </fill>
    <fill>
      <patternFill patternType="solid">
        <fgColor rgb="FFEA938B"/>
        <bgColor rgb="FFEA938B"/>
      </patternFill>
    </fill>
    <fill>
      <patternFill patternType="solid">
        <fgColor rgb="FFC9DAF8"/>
        <bgColor rgb="FFC9DAF8"/>
      </patternFill>
    </fill>
    <fill>
      <patternFill patternType="solid">
        <fgColor rgb="FFFDFEFE"/>
        <bgColor rgb="FFFDFEFE"/>
      </patternFill>
    </fill>
    <fill>
      <patternFill patternType="solid">
        <fgColor rgb="FFE6F5EE"/>
        <bgColor rgb="FFE6F5EE"/>
      </patternFill>
    </fill>
    <fill>
      <patternFill patternType="solid">
        <fgColor rgb="FFF6CFCC"/>
        <bgColor rgb="FFF6CFCC"/>
      </patternFill>
    </fill>
    <fill>
      <patternFill patternType="solid">
        <fgColor rgb="FFEA918A"/>
        <bgColor rgb="FFEA918A"/>
      </patternFill>
    </fill>
    <fill>
      <patternFill patternType="solid">
        <fgColor rgb="FFFBEDEC"/>
        <bgColor rgb="FFFBEDE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2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/>
    <xf numFmtId="1" fontId="3" fillId="0" borderId="2" xfId="0" applyNumberFormat="1" applyFont="1" applyBorder="1"/>
    <xf numFmtId="3" fontId="4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3" fillId="0" borderId="2" xfId="0" applyFont="1" applyBorder="1"/>
    <xf numFmtId="164" fontId="3" fillId="0" borderId="4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5" fillId="4" borderId="2" xfId="0" applyNumberFormat="1" applyFont="1" applyFill="1" applyBorder="1" applyAlignment="1">
      <alignment horizontal="center"/>
    </xf>
    <xf numFmtId="9" fontId="5" fillId="4" borderId="4" xfId="0" applyNumberFormat="1" applyFont="1" applyFill="1" applyBorder="1" applyAlignment="1">
      <alignment horizontal="center"/>
    </xf>
    <xf numFmtId="0" fontId="3" fillId="0" borderId="0" xfId="0" applyFont="1"/>
    <xf numFmtId="0" fontId="2" fillId="3" borderId="0" xfId="0" applyFont="1" applyFill="1"/>
    <xf numFmtId="0" fontId="2" fillId="3" borderId="5" xfId="0" applyFont="1" applyFill="1" applyBorder="1"/>
    <xf numFmtId="0" fontId="3" fillId="0" borderId="5" xfId="0" applyFont="1" applyBorder="1"/>
    <xf numFmtId="3" fontId="2" fillId="3" borderId="2" xfId="0" applyNumberFormat="1" applyFont="1" applyFill="1" applyBorder="1"/>
    <xf numFmtId="3" fontId="2" fillId="3" borderId="4" xfId="0" applyNumberFormat="1" applyFont="1" applyFill="1" applyBorder="1"/>
    <xf numFmtId="3" fontId="2" fillId="3" borderId="5" xfId="0" applyNumberFormat="1" applyFont="1" applyFill="1" applyBorder="1"/>
    <xf numFmtId="9" fontId="4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3" fontId="4" fillId="5" borderId="0" xfId="0" applyNumberFormat="1" applyFont="1" applyFill="1" applyAlignment="1">
      <alignment horizontal="right"/>
    </xf>
    <xf numFmtId="1" fontId="4" fillId="5" borderId="0" xfId="0" applyNumberFormat="1" applyFont="1" applyFill="1" applyAlignment="1">
      <alignment horizontal="right"/>
    </xf>
    <xf numFmtId="165" fontId="4" fillId="5" borderId="0" xfId="0" applyNumberFormat="1" applyFont="1" applyFill="1" applyAlignment="1">
      <alignment horizontal="right"/>
    </xf>
    <xf numFmtId="164" fontId="6" fillId="5" borderId="2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3" fillId="0" borderId="6" xfId="0" applyFont="1" applyBorder="1"/>
    <xf numFmtId="0" fontId="7" fillId="0" borderId="0" xfId="0" applyFont="1"/>
    <xf numFmtId="1" fontId="3" fillId="0" borderId="1" xfId="0" applyNumberFormat="1" applyFont="1" applyBorder="1" applyAlignment="1">
      <alignment horizontal="right"/>
    </xf>
    <xf numFmtId="10" fontId="4" fillId="6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0" fontId="8" fillId="7" borderId="2" xfId="0" applyFont="1" applyFill="1" applyBorder="1"/>
    <xf numFmtId="0" fontId="9" fillId="7" borderId="4" xfId="0" applyFont="1" applyFill="1" applyBorder="1"/>
    <xf numFmtId="0" fontId="3" fillId="5" borderId="2" xfId="0" applyFont="1" applyFill="1" applyBorder="1"/>
    <xf numFmtId="3" fontId="3" fillId="5" borderId="4" xfId="0" applyNumberFormat="1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1" fontId="4" fillId="8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0" fontId="3" fillId="5" borderId="7" xfId="0" applyFont="1" applyFill="1" applyBorder="1"/>
    <xf numFmtId="3" fontId="3" fillId="5" borderId="6" xfId="0" applyNumberFormat="1" applyFont="1" applyFill="1" applyBorder="1" applyAlignment="1">
      <alignment horizontal="right"/>
    </xf>
    <xf numFmtId="0" fontId="8" fillId="7" borderId="4" xfId="0" applyFont="1" applyFill="1" applyBorder="1"/>
    <xf numFmtId="9" fontId="3" fillId="5" borderId="4" xfId="0" applyNumberFormat="1" applyFont="1" applyFill="1" applyBorder="1" applyAlignment="1">
      <alignment horizontal="right"/>
    </xf>
    <xf numFmtId="165" fontId="3" fillId="5" borderId="4" xfId="0" applyNumberFormat="1" applyFont="1" applyFill="1" applyBorder="1" applyAlignment="1">
      <alignment horizontal="right"/>
    </xf>
    <xf numFmtId="0" fontId="8" fillId="7" borderId="3" xfId="0" applyFont="1" applyFill="1" applyBorder="1"/>
    <xf numFmtId="0" fontId="8" fillId="7" borderId="4" xfId="0" applyFont="1" applyFill="1" applyBorder="1" applyAlignment="1">
      <alignment horizontal="center"/>
    </xf>
    <xf numFmtId="0" fontId="8" fillId="7" borderId="1" xfId="0" applyFont="1" applyFill="1" applyBorder="1"/>
    <xf numFmtId="0" fontId="4" fillId="2" borderId="1" xfId="0" applyFont="1" applyFill="1" applyBorder="1"/>
    <xf numFmtId="1" fontId="4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3" fillId="0" borderId="0" xfId="0" applyNumberFormat="1" applyFont="1"/>
    <xf numFmtId="0" fontId="11" fillId="0" borderId="1" xfId="0" applyFont="1" applyBorder="1"/>
    <xf numFmtId="0" fontId="3" fillId="0" borderId="4" xfId="0" applyFont="1" applyBorder="1" applyAlignment="1">
      <alignment horizontal="right"/>
    </xf>
    <xf numFmtId="9" fontId="3" fillId="9" borderId="4" xfId="0" applyNumberFormat="1" applyFont="1" applyFill="1" applyBorder="1" applyAlignment="1">
      <alignment horizontal="right"/>
    </xf>
    <xf numFmtId="9" fontId="3" fillId="10" borderId="4" xfId="0" applyNumberFormat="1" applyFont="1" applyFill="1" applyBorder="1" applyAlignment="1">
      <alignment horizontal="right"/>
    </xf>
    <xf numFmtId="0" fontId="1" fillId="0" borderId="0" xfId="0" applyFont="1"/>
    <xf numFmtId="9" fontId="1" fillId="0" borderId="0" xfId="0" applyNumberFormat="1" applyFont="1"/>
    <xf numFmtId="0" fontId="3" fillId="0" borderId="1" xfId="0" applyFont="1" applyBorder="1"/>
    <xf numFmtId="165" fontId="3" fillId="11" borderId="4" xfId="0" applyNumberFormat="1" applyFont="1" applyFill="1" applyBorder="1" applyAlignment="1">
      <alignment horizontal="right"/>
    </xf>
    <xf numFmtId="165" fontId="3" fillId="9" borderId="4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" fontId="1" fillId="0" borderId="0" xfId="0" applyNumberFormat="1" applyFont="1"/>
    <xf numFmtId="165" fontId="3" fillId="12" borderId="4" xfId="0" applyNumberFormat="1" applyFont="1" applyFill="1" applyBorder="1" applyAlignment="1">
      <alignment horizontal="right"/>
    </xf>
    <xf numFmtId="165" fontId="3" fillId="13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165" fontId="3" fillId="14" borderId="4" xfId="0" applyNumberFormat="1" applyFont="1" applyFill="1" applyBorder="1" applyAlignment="1">
      <alignment horizontal="right"/>
    </xf>
    <xf numFmtId="0" fontId="1" fillId="0" borderId="1" xfId="0" applyFont="1" applyBorder="1"/>
    <xf numFmtId="1" fontId="12" fillId="15" borderId="1" xfId="0" applyNumberFormat="1" applyFont="1" applyFill="1" applyBorder="1" applyAlignment="1">
      <alignment horizontal="right"/>
    </xf>
    <xf numFmtId="165" fontId="1" fillId="0" borderId="0" xfId="0" applyNumberFormat="1" applyFont="1"/>
    <xf numFmtId="165" fontId="3" fillId="16" borderId="4" xfId="0" applyNumberFormat="1" applyFont="1" applyFill="1" applyBorder="1" applyAlignment="1">
      <alignment horizontal="right"/>
    </xf>
    <xf numFmtId="9" fontId="3" fillId="2" borderId="4" xfId="0" applyNumberFormat="1" applyFont="1" applyFill="1" applyBorder="1" applyAlignment="1">
      <alignment horizontal="right"/>
    </xf>
    <xf numFmtId="166" fontId="3" fillId="16" borderId="4" xfId="0" applyNumberFormat="1" applyFont="1" applyFill="1" applyBorder="1" applyAlignment="1">
      <alignment horizontal="right"/>
    </xf>
    <xf numFmtId="0" fontId="12" fillId="15" borderId="1" xfId="0" applyFont="1" applyFill="1" applyBorder="1"/>
    <xf numFmtId="10" fontId="12" fillId="15" borderId="1" xfId="0" applyNumberFormat="1" applyFont="1" applyFill="1" applyBorder="1" applyAlignment="1">
      <alignment horizontal="right"/>
    </xf>
    <xf numFmtId="0" fontId="4" fillId="2" borderId="4" xfId="0" applyFont="1" applyFill="1" applyBorder="1"/>
    <xf numFmtId="9" fontId="4" fillId="17" borderId="4" xfId="0" applyNumberFormat="1" applyFont="1" applyFill="1" applyBorder="1" applyAlignment="1">
      <alignment horizontal="right"/>
    </xf>
    <xf numFmtId="9" fontId="4" fillId="2" borderId="4" xfId="0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64" fontId="4" fillId="9" borderId="4" xfId="0" applyNumberFormat="1" applyFont="1" applyFill="1" applyBorder="1" applyAlignment="1">
      <alignment horizontal="center"/>
    </xf>
    <xf numFmtId="3" fontId="4" fillId="18" borderId="4" xfId="0" applyNumberFormat="1" applyFont="1" applyFill="1" applyBorder="1" applyAlignment="1">
      <alignment horizontal="center"/>
    </xf>
    <xf numFmtId="164" fontId="13" fillId="5" borderId="0" xfId="0" applyNumberFormat="1" applyFont="1" applyFill="1" applyAlignment="1">
      <alignment horizontal="center" vertical="center"/>
    </xf>
    <xf numFmtId="9" fontId="4" fillId="19" borderId="4" xfId="0" applyNumberFormat="1" applyFont="1" applyFill="1" applyBorder="1" applyAlignment="1">
      <alignment horizontal="right"/>
    </xf>
    <xf numFmtId="0" fontId="0" fillId="0" borderId="0" xfId="0"/>
    <xf numFmtId="0" fontId="3" fillId="0" borderId="4" xfId="0" applyFont="1" applyBorder="1"/>
    <xf numFmtId="165" fontId="3" fillId="0" borderId="4" xfId="0" applyNumberFormat="1" applyFont="1" applyBorder="1" applyAlignment="1">
      <alignment horizontal="right"/>
    </xf>
    <xf numFmtId="1" fontId="4" fillId="17" borderId="4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0" borderId="4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12" fillId="0" borderId="2" xfId="0" applyFont="1" applyBorder="1"/>
    <xf numFmtId="9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1" fillId="0" borderId="0" xfId="0" applyNumberFormat="1" applyFont="1"/>
    <xf numFmtId="9" fontId="12" fillId="0" borderId="4" xfId="0" applyNumberFormat="1" applyFont="1" applyBorder="1" applyAlignment="1">
      <alignment horizontal="right"/>
    </xf>
    <xf numFmtId="1" fontId="3" fillId="0" borderId="4" xfId="0" applyNumberFormat="1" applyFont="1" applyBorder="1"/>
    <xf numFmtId="166" fontId="3" fillId="0" borderId="4" xfId="0" applyNumberFormat="1" applyFont="1" applyBorder="1"/>
    <xf numFmtId="0" fontId="8" fillId="0" borderId="0" xfId="0" applyFont="1"/>
    <xf numFmtId="0" fontId="11" fillId="0" borderId="0" xfId="0" applyFont="1"/>
    <xf numFmtId="1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  <xf numFmtId="1" fontId="3" fillId="9" borderId="4" xfId="0" applyNumberFormat="1" applyFont="1" applyFill="1" applyBorder="1" applyAlignment="1">
      <alignment horizontal="right"/>
    </xf>
    <xf numFmtId="2" fontId="3" fillId="9" borderId="4" xfId="0" applyNumberFormat="1" applyFont="1" applyFill="1" applyBorder="1" applyAlignment="1">
      <alignment horizontal="right"/>
    </xf>
    <xf numFmtId="9" fontId="3" fillId="21" borderId="4" xfId="0" applyNumberFormat="1" applyFont="1" applyFill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0" fontId="3" fillId="22" borderId="4" xfId="0" applyFont="1" applyFill="1" applyBorder="1" applyAlignment="1">
      <alignment horizontal="right"/>
    </xf>
    <xf numFmtId="0" fontId="3" fillId="23" borderId="4" xfId="0" applyFont="1" applyFill="1" applyBorder="1" applyAlignment="1">
      <alignment horizontal="right"/>
    </xf>
    <xf numFmtId="1" fontId="3" fillId="24" borderId="4" xfId="0" applyNumberFormat="1" applyFont="1" applyFill="1" applyBorder="1" applyAlignment="1">
      <alignment horizontal="right"/>
    </xf>
    <xf numFmtId="1" fontId="1" fillId="0" borderId="1" xfId="0" applyNumberFormat="1" applyFont="1" applyBorder="1"/>
    <xf numFmtId="0" fontId="3" fillId="0" borderId="0" xfId="0" applyFont="1" applyAlignment="1">
      <alignment horizontal="right"/>
    </xf>
    <xf numFmtId="0" fontId="3" fillId="9" borderId="4" xfId="0" applyFont="1" applyFill="1" applyBorder="1" applyAlignment="1">
      <alignment horizontal="right"/>
    </xf>
    <xf numFmtId="9" fontId="3" fillId="0" borderId="0" xfId="0" applyNumberFormat="1" applyFont="1"/>
    <xf numFmtId="0" fontId="14" fillId="0" borderId="0" xfId="0" applyFont="1"/>
    <xf numFmtId="0" fontId="12" fillId="0" borderId="0" xfId="0" applyFont="1"/>
    <xf numFmtId="1" fontId="12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3" fillId="2" borderId="2" xfId="0" applyFont="1" applyFill="1" applyBorder="1"/>
    <xf numFmtId="0" fontId="3" fillId="25" borderId="4" xfId="0" applyFont="1" applyFill="1" applyBorder="1" applyAlignment="1">
      <alignment horizontal="right"/>
    </xf>
    <xf numFmtId="1" fontId="3" fillId="26" borderId="4" xfId="0" applyNumberFormat="1" applyFont="1" applyFill="1" applyBorder="1" applyAlignment="1">
      <alignment horizontal="right"/>
    </xf>
    <xf numFmtId="2" fontId="3" fillId="27" borderId="4" xfId="0" applyNumberFormat="1" applyFont="1" applyFill="1" applyBorder="1" applyAlignment="1">
      <alignment horizontal="right"/>
    </xf>
    <xf numFmtId="0" fontId="3" fillId="28" borderId="4" xfId="0" applyFont="1" applyFill="1" applyBorder="1" applyAlignment="1">
      <alignment horizontal="right"/>
    </xf>
    <xf numFmtId="0" fontId="3" fillId="29" borderId="4" xfId="0" applyFont="1" applyFill="1" applyBorder="1" applyAlignment="1">
      <alignment horizontal="right"/>
    </xf>
    <xf numFmtId="0" fontId="3" fillId="30" borderId="4" xfId="0" applyFont="1" applyFill="1" applyBorder="1" applyAlignment="1">
      <alignment horizontal="right"/>
    </xf>
    <xf numFmtId="1" fontId="3" fillId="31" borderId="4" xfId="0" applyNumberFormat="1" applyFont="1" applyFill="1" applyBorder="1" applyAlignment="1">
      <alignment horizontal="right"/>
    </xf>
    <xf numFmtId="1" fontId="3" fillId="32" borderId="4" xfId="0" applyNumberFormat="1" applyFont="1" applyFill="1" applyBorder="1" applyAlignment="1">
      <alignment horizontal="right"/>
    </xf>
    <xf numFmtId="0" fontId="3" fillId="31" borderId="4" xfId="0" applyFont="1" applyFill="1" applyBorder="1" applyAlignment="1">
      <alignment horizontal="right"/>
    </xf>
    <xf numFmtId="0" fontId="3" fillId="17" borderId="4" xfId="0" applyFont="1" applyFill="1" applyBorder="1" applyAlignment="1">
      <alignment horizontal="right"/>
    </xf>
    <xf numFmtId="0" fontId="3" fillId="33" borderId="4" xfId="0" applyFont="1" applyFill="1" applyBorder="1" applyAlignment="1">
      <alignment horizontal="right"/>
    </xf>
    <xf numFmtId="1" fontId="3" fillId="34" borderId="4" xfId="0" applyNumberFormat="1" applyFont="1" applyFill="1" applyBorder="1" applyAlignment="1">
      <alignment horizontal="right"/>
    </xf>
    <xf numFmtId="0" fontId="3" fillId="35" borderId="4" xfId="0" applyFont="1" applyFill="1" applyBorder="1" applyAlignment="1">
      <alignment horizontal="right"/>
    </xf>
    <xf numFmtId="1" fontId="3" fillId="36" borderId="4" xfId="0" applyNumberFormat="1" applyFont="1" applyFill="1" applyBorder="1" applyAlignment="1">
      <alignment horizontal="right"/>
    </xf>
    <xf numFmtId="1" fontId="3" fillId="37" borderId="4" xfId="0" applyNumberFormat="1" applyFont="1" applyFill="1" applyBorder="1" applyAlignment="1">
      <alignment horizontal="right"/>
    </xf>
    <xf numFmtId="9" fontId="3" fillId="38" borderId="4" xfId="0" applyNumberFormat="1" applyFont="1" applyFill="1" applyBorder="1" applyAlignment="1">
      <alignment horizontal="right"/>
    </xf>
    <xf numFmtId="0" fontId="3" fillId="39" borderId="4" xfId="0" applyFont="1" applyFill="1" applyBorder="1"/>
    <xf numFmtId="0" fontId="3" fillId="40" borderId="4" xfId="0" applyFont="1" applyFill="1" applyBorder="1" applyAlignment="1">
      <alignment horizontal="right"/>
    </xf>
    <xf numFmtId="9" fontId="3" fillId="39" borderId="4" xfId="0" applyNumberFormat="1" applyFont="1" applyFill="1" applyBorder="1"/>
    <xf numFmtId="0" fontId="3" fillId="41" borderId="1" xfId="0" applyFont="1" applyFill="1" applyBorder="1" applyAlignment="1">
      <alignment horizontal="right"/>
    </xf>
    <xf numFmtId="1" fontId="3" fillId="42" borderId="1" xfId="0" applyNumberFormat="1" applyFont="1" applyFill="1" applyBorder="1" applyAlignment="1">
      <alignment horizontal="right"/>
    </xf>
    <xf numFmtId="1" fontId="3" fillId="43" borderId="1" xfId="0" applyNumberFormat="1" applyFont="1" applyFill="1" applyBorder="1" applyAlignment="1">
      <alignment horizontal="right"/>
    </xf>
    <xf numFmtId="9" fontId="3" fillId="38" borderId="1" xfId="0" applyNumberFormat="1" applyFont="1" applyFill="1" applyBorder="1" applyAlignment="1">
      <alignment horizontal="right"/>
    </xf>
    <xf numFmtId="0" fontId="3" fillId="39" borderId="1" xfId="0" applyFont="1" applyFill="1" applyBorder="1"/>
    <xf numFmtId="0" fontId="3" fillId="44" borderId="1" xfId="0" applyFont="1" applyFill="1" applyBorder="1" applyAlignment="1">
      <alignment horizontal="right"/>
    </xf>
    <xf numFmtId="9" fontId="3" fillId="39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53</xdr:row>
      <xdr:rowOff>200025</xdr:rowOff>
    </xdr:from>
    <xdr:ext cx="9286875" cy="37242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5554D17-19B9-4FBD-8624-BF7FF14B99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9115" y="10502265"/>
          <a:ext cx="9286875" cy="3724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D485-0439-41F3-AE0D-ED5C790F47E6}">
  <sheetPr>
    <outlinePr summaryBelow="0" summaryRight="0"/>
  </sheetPr>
  <dimension ref="A1:AF103"/>
  <sheetViews>
    <sheetView showGridLines="0" tabSelected="1" workbookViewId="0"/>
  </sheetViews>
  <sheetFormatPr defaultColWidth="12.6640625" defaultRowHeight="15.75" customHeight="1" x14ac:dyDescent="0.25"/>
  <cols>
    <col min="1" max="1" width="7.88671875" customWidth="1"/>
  </cols>
  <sheetData>
    <row r="1" spans="1:32" ht="13.8" x14ac:dyDescent="0.25">
      <c r="A1" s="1"/>
      <c r="B1" s="2" t="s">
        <v>0</v>
      </c>
      <c r="C1" s="3"/>
      <c r="D1" s="3"/>
      <c r="E1" s="2" t="s">
        <v>1</v>
      </c>
      <c r="F1" s="3"/>
      <c r="G1" s="3"/>
      <c r="H1" s="3"/>
      <c r="J1" s="2" t="s">
        <v>2</v>
      </c>
      <c r="K1" s="3"/>
      <c r="L1" s="3"/>
      <c r="M1" s="3"/>
      <c r="N1" s="3"/>
      <c r="O1" s="3"/>
      <c r="P1" s="3"/>
      <c r="Q1" s="3"/>
      <c r="R1" s="3"/>
      <c r="S1" s="2" t="s">
        <v>3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3.8" x14ac:dyDescent="0.25">
      <c r="A2" s="4" t="s">
        <v>4</v>
      </c>
      <c r="B2" s="2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6" t="s">
        <v>22</v>
      </c>
      <c r="T2" s="2" t="s">
        <v>23</v>
      </c>
      <c r="U2" s="7" t="s">
        <v>24</v>
      </c>
      <c r="V2" s="8" t="s">
        <v>25</v>
      </c>
      <c r="W2" s="8" t="s">
        <v>26</v>
      </c>
    </row>
    <row r="3" spans="1:32" ht="15.75" customHeight="1" x14ac:dyDescent="0.3">
      <c r="B3" s="9" t="s">
        <v>27</v>
      </c>
      <c r="C3" s="10">
        <f ca="1">IFERROR(__xludf.DUMMYFUNCTION("GOOGLEFINANCE(""NSE:""&amp;B3,""PRICE"")"),1713.1)</f>
        <v>1713.1</v>
      </c>
      <c r="D3" s="10">
        <f ca="1">IFERROR(__xludf.DUMMYFUNCTION("GOOGLEFINANCE(""NSE:""&amp;B3,""MARKETCAP"")/10000000"),9390.236856)</f>
        <v>9390.2368559999995</v>
      </c>
      <c r="E3" s="11">
        <f t="shared" ref="E3:G3" si="0">D46</f>
        <v>484</v>
      </c>
      <c r="F3" s="11">
        <f t="shared" si="0"/>
        <v>157</v>
      </c>
      <c r="G3" s="11">
        <f t="shared" si="0"/>
        <v>28.96</v>
      </c>
      <c r="H3" s="12">
        <v>2</v>
      </c>
      <c r="I3" s="13">
        <v>1373</v>
      </c>
      <c r="J3" s="14">
        <v>10.8</v>
      </c>
      <c r="K3" s="12">
        <v>780</v>
      </c>
      <c r="L3" s="12">
        <v>28</v>
      </c>
      <c r="M3" s="12">
        <v>2.31</v>
      </c>
      <c r="N3" s="14">
        <v>559</v>
      </c>
      <c r="O3" s="14">
        <v>135</v>
      </c>
      <c r="P3" s="14">
        <v>942</v>
      </c>
      <c r="Q3" s="14">
        <v>150</v>
      </c>
      <c r="R3" s="14">
        <v>133</v>
      </c>
      <c r="S3" s="15">
        <v>27</v>
      </c>
      <c r="T3" s="16">
        <v>113</v>
      </c>
      <c r="U3" s="17">
        <v>-102</v>
      </c>
      <c r="V3" s="17">
        <v>-17</v>
      </c>
      <c r="W3" s="17">
        <f t="shared" ref="W3:W4" si="1">SUM(T3:V3)</f>
        <v>-6</v>
      </c>
    </row>
    <row r="4" spans="1:32" ht="15.75" customHeight="1" x14ac:dyDescent="0.3">
      <c r="B4" s="18" t="s">
        <v>28</v>
      </c>
      <c r="C4" s="12">
        <v>1689</v>
      </c>
      <c r="D4" s="14">
        <f ca="1">C4*D3/C3</f>
        <v>9258.1344053376924</v>
      </c>
      <c r="E4" s="12">
        <v>463</v>
      </c>
      <c r="F4" s="12">
        <v>147</v>
      </c>
      <c r="G4" s="12">
        <v>27.05</v>
      </c>
      <c r="H4" s="12">
        <v>2</v>
      </c>
      <c r="I4" s="13">
        <v>918</v>
      </c>
      <c r="J4" s="12">
        <v>10.7</v>
      </c>
      <c r="K4" s="12">
        <v>648</v>
      </c>
      <c r="L4" s="19">
        <v>18</v>
      </c>
      <c r="M4" s="12">
        <f>4.6+1.5</f>
        <v>6.1</v>
      </c>
      <c r="N4" s="12">
        <v>434</v>
      </c>
      <c r="O4" s="12">
        <v>119</v>
      </c>
      <c r="P4" s="12">
        <v>792</v>
      </c>
      <c r="Q4" s="12">
        <v>132</v>
      </c>
      <c r="R4" s="12">
        <v>105</v>
      </c>
      <c r="S4" s="15">
        <v>15</v>
      </c>
      <c r="T4" s="20">
        <v>76</v>
      </c>
      <c r="U4" s="21">
        <v>-59</v>
      </c>
      <c r="V4" s="21">
        <v>-19</v>
      </c>
      <c r="W4" s="21">
        <f t="shared" si="1"/>
        <v>-2</v>
      </c>
    </row>
    <row r="5" spans="1:32" ht="15.75" customHeight="1" x14ac:dyDescent="0.3">
      <c r="B5" s="18" t="s">
        <v>29</v>
      </c>
      <c r="C5" s="22">
        <f t="shared" ref="C5:W5" ca="1" si="2">(C3/C4)-1</f>
        <v>1.4268798105387726E-2</v>
      </c>
      <c r="D5" s="22">
        <f t="shared" ca="1" si="2"/>
        <v>1.4268798105387726E-2</v>
      </c>
      <c r="E5" s="22">
        <f t="shared" si="2"/>
        <v>4.5356371490280711E-2</v>
      </c>
      <c r="F5" s="22">
        <f t="shared" si="2"/>
        <v>6.8027210884353817E-2</v>
      </c>
      <c r="G5" s="22">
        <f t="shared" si="2"/>
        <v>7.0609981515711739E-2</v>
      </c>
      <c r="H5" s="22">
        <f t="shared" si="2"/>
        <v>0</v>
      </c>
      <c r="I5" s="23">
        <f t="shared" si="2"/>
        <v>0.49564270152505441</v>
      </c>
      <c r="J5" s="22">
        <f t="shared" si="2"/>
        <v>9.3457943925234765E-3</v>
      </c>
      <c r="K5" s="22">
        <f t="shared" si="2"/>
        <v>0.20370370370370372</v>
      </c>
      <c r="L5" s="22">
        <f t="shared" si="2"/>
        <v>0.55555555555555558</v>
      </c>
      <c r="M5" s="22">
        <f t="shared" si="2"/>
        <v>-0.62131147540983611</v>
      </c>
      <c r="N5" s="22">
        <f t="shared" si="2"/>
        <v>0.28801843317972353</v>
      </c>
      <c r="O5" s="22">
        <f t="shared" si="2"/>
        <v>0.13445378151260501</v>
      </c>
      <c r="P5" s="22">
        <f t="shared" si="2"/>
        <v>0.18939393939393945</v>
      </c>
      <c r="Q5" s="22">
        <f t="shared" si="2"/>
        <v>0.13636363636363646</v>
      </c>
      <c r="R5" s="22">
        <f t="shared" si="2"/>
        <v>0.26666666666666661</v>
      </c>
      <c r="S5" s="23">
        <f t="shared" si="2"/>
        <v>0.8</v>
      </c>
      <c r="T5" s="24">
        <f t="shared" si="2"/>
        <v>0.48684210526315796</v>
      </c>
      <c r="U5" s="25">
        <f t="shared" si="2"/>
        <v>0.72881355932203395</v>
      </c>
      <c r="V5" s="25">
        <f t="shared" si="2"/>
        <v>-0.10526315789473684</v>
      </c>
      <c r="W5" s="25">
        <f t="shared" si="2"/>
        <v>2</v>
      </c>
    </row>
    <row r="6" spans="1:32" ht="15.75" customHeight="1" x14ac:dyDescent="0.3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32" ht="15.75" customHeight="1" x14ac:dyDescent="0.3">
      <c r="B7" s="27" t="s">
        <v>30</v>
      </c>
      <c r="C7" s="27" t="s">
        <v>31</v>
      </c>
      <c r="D7" s="26"/>
      <c r="E7" s="26"/>
      <c r="F7" s="27" t="s">
        <v>32</v>
      </c>
      <c r="G7" s="26"/>
      <c r="H7" s="26"/>
      <c r="I7" s="27" t="s">
        <v>33</v>
      </c>
      <c r="J7" s="26"/>
      <c r="K7" s="26"/>
      <c r="L7" s="27" t="s">
        <v>34</v>
      </c>
      <c r="M7" s="26"/>
      <c r="N7" s="26"/>
      <c r="O7" s="26"/>
      <c r="P7" s="26"/>
      <c r="Q7" s="28" t="s">
        <v>3</v>
      </c>
      <c r="R7" s="29"/>
      <c r="S7" s="29"/>
    </row>
    <row r="8" spans="1:32" ht="13.8" x14ac:dyDescent="0.25">
      <c r="B8" s="27" t="s">
        <v>35</v>
      </c>
      <c r="C8" s="27" t="s">
        <v>36</v>
      </c>
      <c r="D8" s="27" t="s">
        <v>37</v>
      </c>
      <c r="E8" s="27" t="s">
        <v>38</v>
      </c>
      <c r="F8" s="27" t="s">
        <v>39</v>
      </c>
      <c r="G8" s="27" t="s">
        <v>40</v>
      </c>
      <c r="H8" s="27" t="s">
        <v>41</v>
      </c>
      <c r="I8" s="27" t="s">
        <v>42</v>
      </c>
      <c r="J8" s="27" t="s">
        <v>43</v>
      </c>
      <c r="K8" s="27" t="s">
        <v>44</v>
      </c>
      <c r="L8" s="27" t="s">
        <v>45</v>
      </c>
      <c r="M8" s="27" t="s">
        <v>46</v>
      </c>
      <c r="N8" s="27" t="s">
        <v>47</v>
      </c>
      <c r="O8" s="27" t="s">
        <v>48</v>
      </c>
      <c r="P8" s="27" t="s">
        <v>49</v>
      </c>
      <c r="Q8" s="30" t="s">
        <v>50</v>
      </c>
      <c r="R8" s="31" t="s">
        <v>51</v>
      </c>
      <c r="S8" s="32" t="s">
        <v>52</v>
      </c>
    </row>
    <row r="9" spans="1:32" ht="15.75" customHeight="1" x14ac:dyDescent="0.3">
      <c r="B9" s="33">
        <f>F24</f>
        <v>0.20792079207920788</v>
      </c>
      <c r="C9" s="33">
        <f>D32</f>
        <v>0.37704918032786883</v>
      </c>
      <c r="D9" s="34">
        <f>N3/O3</f>
        <v>4.1407407407407408</v>
      </c>
      <c r="E9" s="35">
        <f>(R3/E3)*365</f>
        <v>100.2995867768595</v>
      </c>
      <c r="F9" s="33">
        <f>L3/(J3+K3)</f>
        <v>3.5407182599898841E-2</v>
      </c>
      <c r="G9" s="33">
        <f>Q3/P3</f>
        <v>0.15923566878980891</v>
      </c>
      <c r="H9" s="36">
        <f>D33</f>
        <v>60.756097560975611</v>
      </c>
      <c r="I9" s="33">
        <f>F3/(K3+J3)</f>
        <v>0.19853313100657563</v>
      </c>
      <c r="J9" s="37" t="e">
        <f>#REF!/(P3-O3)</f>
        <v>#REF!</v>
      </c>
      <c r="K9" s="33">
        <f>F3/P3</f>
        <v>0.16666666666666666</v>
      </c>
      <c r="L9" s="10">
        <f ca="1">C3/G3</f>
        <v>59.154005524861873</v>
      </c>
      <c r="M9" s="37">
        <f ca="1">G3/C3</f>
        <v>1.6905025976300277E-2</v>
      </c>
      <c r="N9" s="36">
        <f>(J3+K3)/(J3/H3)</f>
        <v>146.44444444444443</v>
      </c>
      <c r="O9" s="34">
        <f ca="1">C3/N9</f>
        <v>11.69795144157815</v>
      </c>
      <c r="P9" s="34">
        <f ca="1">T36</f>
        <v>1.497183658665548</v>
      </c>
      <c r="Q9" s="38">
        <f>T3-O3</f>
        <v>-22</v>
      </c>
      <c r="R9" s="39">
        <f>T3-L3</f>
        <v>85</v>
      </c>
      <c r="S9" s="40">
        <f>T3-S3</f>
        <v>86</v>
      </c>
    </row>
    <row r="10" spans="1:32" ht="15.75" customHeight="1" x14ac:dyDescent="0.3">
      <c r="B10" s="29"/>
      <c r="C10" s="29"/>
      <c r="D10" s="29"/>
      <c r="E10" s="29"/>
      <c r="F10" s="29"/>
      <c r="G10" s="26"/>
      <c r="H10" s="29"/>
      <c r="I10" s="29"/>
      <c r="J10" s="29"/>
      <c r="K10" s="29"/>
      <c r="L10" s="29"/>
      <c r="M10" s="29"/>
      <c r="N10" s="26"/>
      <c r="O10" s="29"/>
      <c r="P10" s="29"/>
      <c r="Q10" s="29"/>
      <c r="R10" s="29"/>
      <c r="S10" s="26"/>
    </row>
    <row r="11" spans="1:32" ht="15.75" customHeight="1" x14ac:dyDescent="0.3">
      <c r="B11" s="2" t="s">
        <v>53</v>
      </c>
      <c r="C11" s="2" t="s">
        <v>5</v>
      </c>
      <c r="D11" s="2" t="s">
        <v>6</v>
      </c>
      <c r="E11" s="2" t="s">
        <v>54</v>
      </c>
      <c r="F11" s="2" t="s">
        <v>55</v>
      </c>
      <c r="G11" s="2" t="s">
        <v>56</v>
      </c>
      <c r="N11" s="41"/>
      <c r="S11" s="26"/>
    </row>
    <row r="12" spans="1:32" ht="15.75" customHeight="1" x14ac:dyDescent="0.3">
      <c r="B12" s="42"/>
      <c r="C12" s="9" t="s">
        <v>27</v>
      </c>
      <c r="D12" s="43">
        <f ca="1">IFERROR(__xludf.DUMMYFUNCTION("GOOGLEFINANCE(""NSE:""&amp;C12,""price"")"),1713.1)</f>
        <v>1713.1</v>
      </c>
      <c r="E12" s="44">
        <v>2.7E-2</v>
      </c>
      <c r="F12" s="45">
        <f ca="1">IFERROR(MAX(0.25, MIN(1,1.25 - 0.5*(D12/N17))),"")</f>
        <v>0.91586961674192036</v>
      </c>
      <c r="G12" s="46">
        <f ca="1">E12*F12</f>
        <v>2.472847965203185E-2</v>
      </c>
      <c r="N12" s="41"/>
      <c r="S12" s="26"/>
    </row>
    <row r="13" spans="1:32" ht="15.75" customHeight="1" x14ac:dyDescent="0.3">
      <c r="G13" s="26"/>
      <c r="H13" s="29"/>
      <c r="I13" s="29"/>
      <c r="J13" s="29"/>
      <c r="K13" s="29"/>
      <c r="L13" s="29"/>
      <c r="M13" s="29"/>
      <c r="N13" s="26"/>
      <c r="O13" s="26"/>
      <c r="P13" s="26"/>
      <c r="Q13" s="26"/>
      <c r="R13" s="26"/>
      <c r="S13" s="26"/>
    </row>
    <row r="14" spans="1:32" ht="15.75" customHeight="1" x14ac:dyDescent="0.35">
      <c r="B14" s="47" t="s">
        <v>57</v>
      </c>
      <c r="C14" s="47" t="s">
        <v>58</v>
      </c>
      <c r="D14" s="48" t="s">
        <v>8</v>
      </c>
      <c r="E14" s="48" t="s">
        <v>9</v>
      </c>
      <c r="F14" s="48" t="s">
        <v>59</v>
      </c>
      <c r="G14" s="48" t="s">
        <v>60</v>
      </c>
      <c r="H14" s="48" t="s">
        <v>61</v>
      </c>
      <c r="I14" s="48" t="s">
        <v>62</v>
      </c>
      <c r="J14" s="48" t="s">
        <v>63</v>
      </c>
      <c r="K14" s="48" t="s">
        <v>61</v>
      </c>
      <c r="L14" s="48" t="s">
        <v>64</v>
      </c>
      <c r="M14" s="48" t="s">
        <v>63</v>
      </c>
      <c r="N14" s="48" t="s">
        <v>65</v>
      </c>
      <c r="O14" s="26"/>
      <c r="P14" s="26"/>
      <c r="Q14" s="26"/>
      <c r="R14" s="26"/>
      <c r="S14" s="26"/>
    </row>
    <row r="15" spans="1:32" ht="15.75" customHeight="1" x14ac:dyDescent="0.3">
      <c r="C15" s="49" t="s">
        <v>66</v>
      </c>
      <c r="D15" s="50">
        <f t="shared" ref="D15:F15" si="3">FV(20%,5,0,-D16,0)</f>
        <v>3347.14275</v>
      </c>
      <c r="E15" s="50">
        <f t="shared" si="3"/>
        <v>1188.7377256770014</v>
      </c>
      <c r="F15" s="50">
        <f t="shared" si="3"/>
        <v>218.27456185993302</v>
      </c>
      <c r="G15" s="51">
        <f>FV(17%,5,0,-G16,0)</f>
        <v>855.03616234300694</v>
      </c>
      <c r="H15" s="52">
        <f t="shared" ref="H15:H17" si="4">F15*40</f>
        <v>8730.9824743973204</v>
      </c>
      <c r="I15" s="52">
        <f t="shared" ref="I15:I17" si="5">AVERAGE(H15,J15)</f>
        <v>14733.532925545478</v>
      </c>
      <c r="J15" s="52">
        <f t="shared" ref="J15:J17" si="6">F15*95</f>
        <v>20736.083376693638</v>
      </c>
      <c r="K15" s="53">
        <f t="shared" ref="K15:K17" si="7">G15*10</f>
        <v>8550.3616234300698</v>
      </c>
      <c r="L15" s="52">
        <f t="shared" ref="L15:L17" si="8">AVERAGE(K15,M15)</f>
        <v>11970.506272802097</v>
      </c>
      <c r="M15" s="53">
        <f t="shared" ref="M15:M17" si="9">G15*18</f>
        <v>15390.650922174125</v>
      </c>
      <c r="N15" s="52">
        <f t="shared" ref="N15:N17" si="10">I15*60%+L15*40%</f>
        <v>13628.322264448125</v>
      </c>
      <c r="O15" s="26"/>
      <c r="P15" s="26"/>
      <c r="Q15" s="26"/>
      <c r="R15" s="26"/>
      <c r="S15" s="26"/>
    </row>
    <row r="16" spans="1:32" ht="15.75" customHeight="1" x14ac:dyDescent="0.3">
      <c r="C16" s="49" t="s">
        <v>67</v>
      </c>
      <c r="D16" s="50">
        <f>FV(D21,4,0,-D17,0)</f>
        <v>1345.1416015625</v>
      </c>
      <c r="E16" s="50">
        <f>D16*G21</f>
        <v>477.72703095944314</v>
      </c>
      <c r="F16" s="50">
        <f>(E16*F17)/E17</f>
        <v>87.71965095322669</v>
      </c>
      <c r="G16" s="51">
        <f>FV(21%,4,0,-G17,0)</f>
        <v>389.99152929524882</v>
      </c>
      <c r="H16" s="52">
        <f t="shared" si="4"/>
        <v>3508.7860381290675</v>
      </c>
      <c r="I16" s="52">
        <f t="shared" si="5"/>
        <v>5921.0764393428017</v>
      </c>
      <c r="J16" s="52">
        <f t="shared" si="6"/>
        <v>8333.366840556535</v>
      </c>
      <c r="K16" s="53">
        <f t="shared" si="7"/>
        <v>3899.915292952488</v>
      </c>
      <c r="L16" s="52">
        <f t="shared" si="8"/>
        <v>5459.8814101334829</v>
      </c>
      <c r="M16" s="53">
        <f t="shared" si="9"/>
        <v>7019.8475273144786</v>
      </c>
      <c r="N16" s="52">
        <f t="shared" si="10"/>
        <v>5736.5984276590743</v>
      </c>
      <c r="O16" s="26"/>
      <c r="P16" s="26"/>
      <c r="Q16" s="26"/>
      <c r="R16" s="26"/>
      <c r="S16" s="26"/>
    </row>
    <row r="17" spans="2:32" ht="15.75" customHeight="1" x14ac:dyDescent="0.3">
      <c r="C17" s="54" t="s">
        <v>68</v>
      </c>
      <c r="D17" s="55">
        <f>FV(D20,1,0,-D47,0)</f>
        <v>550.97</v>
      </c>
      <c r="E17" s="55">
        <f>D17*G20</f>
        <v>207.71569000000002</v>
      </c>
      <c r="F17" s="55">
        <f>FV(F20,1,0,-F47,0)</f>
        <v>38.140499999999996</v>
      </c>
      <c r="G17" s="51">
        <f>(F17*90%)+N47</f>
        <v>181.93392663551404</v>
      </c>
      <c r="H17" s="52">
        <f t="shared" si="4"/>
        <v>1525.62</v>
      </c>
      <c r="I17" s="52">
        <f t="shared" si="5"/>
        <v>2574.4837499999994</v>
      </c>
      <c r="J17" s="52">
        <f t="shared" si="6"/>
        <v>3623.3474999999994</v>
      </c>
      <c r="K17" s="53">
        <f t="shared" si="7"/>
        <v>1819.3392663551404</v>
      </c>
      <c r="L17" s="52">
        <f t="shared" si="8"/>
        <v>2547.0749728971969</v>
      </c>
      <c r="M17" s="53">
        <f t="shared" si="9"/>
        <v>3274.8106794392529</v>
      </c>
      <c r="N17" s="52">
        <f t="shared" si="10"/>
        <v>2563.5202391588782</v>
      </c>
    </row>
    <row r="18" spans="2:32" ht="15.75" customHeight="1" x14ac:dyDescent="0.3">
      <c r="H18" s="29"/>
      <c r="I18" s="29"/>
      <c r="J18" s="29"/>
      <c r="K18" s="29"/>
      <c r="L18" s="26"/>
      <c r="M18" s="26"/>
    </row>
    <row r="19" spans="2:32" ht="15.75" customHeight="1" x14ac:dyDescent="0.35">
      <c r="B19" s="47" t="s">
        <v>69</v>
      </c>
      <c r="C19" s="47" t="s">
        <v>70</v>
      </c>
      <c r="D19" s="47" t="s">
        <v>71</v>
      </c>
      <c r="E19" s="47" t="s">
        <v>72</v>
      </c>
      <c r="F19" s="47" t="s">
        <v>59</v>
      </c>
      <c r="G19" s="56" t="s">
        <v>73</v>
      </c>
      <c r="O19" s="26"/>
    </row>
    <row r="20" spans="2:32" ht="15.75" customHeight="1" x14ac:dyDescent="0.3">
      <c r="C20" s="49" t="s">
        <v>74</v>
      </c>
      <c r="D20" s="57">
        <v>0.19</v>
      </c>
      <c r="E20" s="57">
        <f>(E17/E47)-1</f>
        <v>0.41303190476190488</v>
      </c>
      <c r="F20" s="57">
        <v>0.41</v>
      </c>
      <c r="G20" s="58">
        <v>0.377</v>
      </c>
      <c r="O20" s="26"/>
    </row>
    <row r="21" spans="2:32" ht="15.75" customHeight="1" x14ac:dyDescent="0.3">
      <c r="C21" s="49" t="s">
        <v>75</v>
      </c>
      <c r="D21" s="57">
        <v>0.25</v>
      </c>
      <c r="E21" s="57">
        <v>0.25</v>
      </c>
      <c r="F21" s="57">
        <v>0.25</v>
      </c>
      <c r="G21" s="58">
        <f>AVERAGE(G41:G43)</f>
        <v>0.35514999343156234</v>
      </c>
    </row>
    <row r="23" spans="2:32" ht="15.75" customHeight="1" x14ac:dyDescent="0.35">
      <c r="B23" s="59" t="s">
        <v>76</v>
      </c>
      <c r="C23" s="59" t="s">
        <v>77</v>
      </c>
      <c r="D23" s="60" t="s">
        <v>78</v>
      </c>
      <c r="E23" s="60" t="s">
        <v>79</v>
      </c>
      <c r="F23" s="56" t="s">
        <v>29</v>
      </c>
      <c r="G23" s="26"/>
      <c r="H23" s="61" t="s">
        <v>77</v>
      </c>
      <c r="I23" s="56" t="s">
        <v>80</v>
      </c>
      <c r="J23" s="56" t="s">
        <v>81</v>
      </c>
      <c r="K23" s="56" t="s">
        <v>29</v>
      </c>
      <c r="M23" s="59" t="s">
        <v>77</v>
      </c>
      <c r="N23" s="60" t="s">
        <v>82</v>
      </c>
      <c r="O23" s="60" t="s">
        <v>83</v>
      </c>
      <c r="P23" s="56" t="s">
        <v>29</v>
      </c>
      <c r="R23" s="61" t="s">
        <v>84</v>
      </c>
      <c r="S23" s="60" t="s">
        <v>78</v>
      </c>
      <c r="T23" s="60" t="s">
        <v>79</v>
      </c>
      <c r="U23" s="56" t="s">
        <v>85</v>
      </c>
      <c r="V23" s="56" t="s">
        <v>30</v>
      </c>
      <c r="X23" s="61" t="s">
        <v>86</v>
      </c>
      <c r="Y23" s="60" t="s">
        <v>78</v>
      </c>
      <c r="Z23" s="60" t="s">
        <v>79</v>
      </c>
      <c r="AA23" s="56" t="s">
        <v>85</v>
      </c>
      <c r="AB23" s="56" t="s">
        <v>30</v>
      </c>
      <c r="AD23" s="56" t="s">
        <v>87</v>
      </c>
      <c r="AE23" s="56" t="s">
        <v>88</v>
      </c>
      <c r="AF23" s="56" t="s">
        <v>89</v>
      </c>
    </row>
    <row r="24" spans="2:32" ht="15.75" customHeight="1" x14ac:dyDescent="0.3">
      <c r="C24" s="62" t="s">
        <v>90</v>
      </c>
      <c r="D24" s="63">
        <v>122</v>
      </c>
      <c r="E24" s="63">
        <v>101</v>
      </c>
      <c r="F24" s="64">
        <f t="shared" ref="F24:F30" si="11">(D24/E24)^(1/1)-1</f>
        <v>0.20792079207920788</v>
      </c>
      <c r="G24" s="65"/>
      <c r="H24" s="62" t="s">
        <v>90</v>
      </c>
      <c r="I24" s="63">
        <v>143</v>
      </c>
      <c r="J24" s="63">
        <v>107</v>
      </c>
      <c r="K24" s="64">
        <f t="shared" ref="K24:K30" si="12">(I24/J24)^(1/1)-1</f>
        <v>0.33644859813084116</v>
      </c>
      <c r="M24" s="62" t="s">
        <v>90</v>
      </c>
      <c r="N24" s="63">
        <v>463</v>
      </c>
      <c r="O24" s="63">
        <v>379</v>
      </c>
      <c r="P24" s="64">
        <f t="shared" ref="P24:P30" si="13">(N24/O24)^(1/1)-1</f>
        <v>0.22163588390501321</v>
      </c>
      <c r="R24" s="66" t="s">
        <v>91</v>
      </c>
      <c r="S24" s="67">
        <v>4.74</v>
      </c>
      <c r="T24" s="67">
        <v>1.1200000000000001</v>
      </c>
      <c r="U24" s="68">
        <f t="shared" ref="U24:U32" si="14">S24/$S$33</f>
        <v>6.4419679260668661E-2</v>
      </c>
      <c r="V24" s="69">
        <f t="shared" ref="V24:V31" si="15">(S24/T24)-1</f>
        <v>3.2321428571428568</v>
      </c>
      <c r="X24" s="66" t="s">
        <v>92</v>
      </c>
      <c r="Y24" s="67">
        <v>7.6</v>
      </c>
      <c r="Z24" s="67">
        <v>8.9</v>
      </c>
      <c r="AA24" s="68">
        <f t="shared" ref="AA24:AA25" si="16">Y24/$Y$33</f>
        <v>6.25E-2</v>
      </c>
      <c r="AB24" s="69">
        <f t="shared" ref="AB24:AB25" si="17">(Y24/Z24)-1</f>
        <v>-0.1460674157303371</v>
      </c>
      <c r="AD24" s="70" t="s">
        <v>93</v>
      </c>
      <c r="AE24" s="71">
        <v>0.5373</v>
      </c>
      <c r="AF24" s="71">
        <v>0.53300000000000003</v>
      </c>
    </row>
    <row r="25" spans="2:32" ht="15.75" customHeight="1" x14ac:dyDescent="0.3">
      <c r="C25" s="72" t="s">
        <v>94</v>
      </c>
      <c r="D25" s="67">
        <v>73</v>
      </c>
      <c r="E25" s="67">
        <v>64</v>
      </c>
      <c r="F25" s="73">
        <f t="shared" si="11"/>
        <v>0.140625</v>
      </c>
      <c r="G25" s="26"/>
      <c r="H25" s="72" t="s">
        <v>94</v>
      </c>
      <c r="I25" s="67">
        <v>90</v>
      </c>
      <c r="J25" s="67">
        <v>72</v>
      </c>
      <c r="K25" s="73">
        <f t="shared" si="12"/>
        <v>0.25</v>
      </c>
      <c r="M25" s="72" t="s">
        <v>94</v>
      </c>
      <c r="N25" s="67">
        <v>306</v>
      </c>
      <c r="O25" s="67">
        <v>241</v>
      </c>
      <c r="P25" s="73">
        <f t="shared" si="13"/>
        <v>0.26970954356846466</v>
      </c>
      <c r="R25" s="66" t="s">
        <v>95</v>
      </c>
      <c r="S25" s="67">
        <v>26</v>
      </c>
      <c r="T25" s="67">
        <v>21</v>
      </c>
      <c r="U25" s="68">
        <f t="shared" si="14"/>
        <v>0.35335689045936397</v>
      </c>
      <c r="V25" s="69">
        <f t="shared" si="15"/>
        <v>0.23809523809523814</v>
      </c>
      <c r="W25" s="26"/>
      <c r="X25" s="66" t="s">
        <v>96</v>
      </c>
      <c r="Y25" s="67">
        <v>114</v>
      </c>
      <c r="Z25" s="67">
        <v>92.6</v>
      </c>
      <c r="AA25" s="68">
        <f t="shared" si="16"/>
        <v>0.9375</v>
      </c>
      <c r="AB25" s="69">
        <f t="shared" si="17"/>
        <v>0.23110151187904981</v>
      </c>
      <c r="AD25" s="70" t="s">
        <v>97</v>
      </c>
      <c r="AE25" s="71">
        <v>5.0999999999999997E-2</v>
      </c>
      <c r="AF25" s="71">
        <v>6.9400000000000003E-2</v>
      </c>
    </row>
    <row r="26" spans="2:32" ht="14.4" x14ac:dyDescent="0.3">
      <c r="C26" s="72" t="s">
        <v>1</v>
      </c>
      <c r="D26" s="67">
        <v>0.82</v>
      </c>
      <c r="E26" s="67">
        <v>0.63</v>
      </c>
      <c r="F26" s="74">
        <f t="shared" si="11"/>
        <v>0.3015873015873014</v>
      </c>
      <c r="G26" s="26"/>
      <c r="H26" s="72" t="s">
        <v>1</v>
      </c>
      <c r="I26" s="67">
        <v>0.73</v>
      </c>
      <c r="J26" s="67">
        <v>0.77</v>
      </c>
      <c r="K26" s="74">
        <f t="shared" si="12"/>
        <v>-5.1948051948051965E-2</v>
      </c>
      <c r="M26" s="72" t="s">
        <v>1</v>
      </c>
      <c r="N26" s="67">
        <v>3.17</v>
      </c>
      <c r="O26" s="67">
        <v>2.93</v>
      </c>
      <c r="P26" s="74">
        <f t="shared" si="13"/>
        <v>8.1911262798634699E-2</v>
      </c>
      <c r="R26" s="66" t="s">
        <v>98</v>
      </c>
      <c r="S26" s="75">
        <v>0.82</v>
      </c>
      <c r="T26" s="75">
        <v>0.63</v>
      </c>
      <c r="U26" s="68">
        <f t="shared" si="14"/>
        <v>1.1144332699103017E-2</v>
      </c>
      <c r="V26" s="69">
        <f t="shared" si="15"/>
        <v>0.3015873015873014</v>
      </c>
      <c r="W26" s="26"/>
      <c r="AD26" s="70" t="s">
        <v>99</v>
      </c>
      <c r="AE26" s="71">
        <v>5.8000000000000003E-2</v>
      </c>
      <c r="AF26" s="71">
        <v>4.02E-2</v>
      </c>
    </row>
    <row r="27" spans="2:32" ht="14.4" x14ac:dyDescent="0.3">
      <c r="C27" s="70" t="s">
        <v>100</v>
      </c>
      <c r="D27" s="76">
        <f t="shared" ref="D27:E27" si="18">D24-D25+D26</f>
        <v>49.82</v>
      </c>
      <c r="E27" s="76">
        <f t="shared" si="18"/>
        <v>37.630000000000003</v>
      </c>
      <c r="F27" s="74">
        <f t="shared" si="11"/>
        <v>0.323943661971831</v>
      </c>
      <c r="H27" s="70" t="s">
        <v>100</v>
      </c>
      <c r="I27" s="76">
        <f t="shared" ref="I27:J27" si="19">I24-I25+I26</f>
        <v>53.73</v>
      </c>
      <c r="J27" s="76">
        <f t="shared" si="19"/>
        <v>35.770000000000003</v>
      </c>
      <c r="K27" s="74">
        <f t="shared" si="12"/>
        <v>0.50209672910259973</v>
      </c>
      <c r="M27" s="70" t="s">
        <v>100</v>
      </c>
      <c r="N27" s="76">
        <f t="shared" ref="N27:O27" si="20">N24-N25+N26</f>
        <v>160.16999999999999</v>
      </c>
      <c r="O27" s="76">
        <f t="shared" si="20"/>
        <v>140.93</v>
      </c>
      <c r="P27" s="74">
        <f t="shared" si="13"/>
        <v>0.13652167742851051</v>
      </c>
      <c r="R27" s="66" t="s">
        <v>101</v>
      </c>
      <c r="S27" s="67">
        <v>6.88</v>
      </c>
      <c r="T27" s="67">
        <v>4.5199999999999996</v>
      </c>
      <c r="U27" s="68">
        <f t="shared" si="14"/>
        <v>9.3503669475400925E-2</v>
      </c>
      <c r="V27" s="69">
        <f t="shared" si="15"/>
        <v>0.52212389380530988</v>
      </c>
      <c r="W27" s="26"/>
      <c r="AD27" s="70" t="s">
        <v>102</v>
      </c>
      <c r="AE27" s="71">
        <v>7.4999999999999997E-2</v>
      </c>
      <c r="AF27" s="71">
        <v>0.1075</v>
      </c>
    </row>
    <row r="28" spans="2:32" ht="14.4" x14ac:dyDescent="0.3">
      <c r="C28" s="62" t="s">
        <v>9</v>
      </c>
      <c r="D28" s="63">
        <v>46</v>
      </c>
      <c r="E28" s="63">
        <v>36</v>
      </c>
      <c r="F28" s="77">
        <f t="shared" si="11"/>
        <v>0.27777777777777768</v>
      </c>
      <c r="G28" s="65"/>
      <c r="H28" s="62" t="s">
        <v>9</v>
      </c>
      <c r="I28" s="63">
        <v>49</v>
      </c>
      <c r="J28" s="63">
        <v>38</v>
      </c>
      <c r="K28" s="77">
        <f t="shared" si="12"/>
        <v>0.28947368421052633</v>
      </c>
      <c r="M28" s="62" t="s">
        <v>9</v>
      </c>
      <c r="N28" s="63">
        <v>147</v>
      </c>
      <c r="O28" s="63">
        <v>134</v>
      </c>
      <c r="P28" s="77">
        <f t="shared" si="13"/>
        <v>9.7014925373134275E-2</v>
      </c>
      <c r="R28" s="66" t="s">
        <v>103</v>
      </c>
      <c r="S28" s="67">
        <v>10</v>
      </c>
      <c r="T28" s="67">
        <v>9</v>
      </c>
      <c r="U28" s="68">
        <f t="shared" si="14"/>
        <v>0.1359064963305246</v>
      </c>
      <c r="V28" s="69">
        <f t="shared" si="15"/>
        <v>0.11111111111111116</v>
      </c>
      <c r="W28" s="26"/>
      <c r="AD28" s="70" t="s">
        <v>104</v>
      </c>
      <c r="AE28" s="71">
        <v>0.27800000000000002</v>
      </c>
      <c r="AF28" s="71">
        <v>0.23669999999999999</v>
      </c>
    </row>
    <row r="29" spans="2:32" ht="14.4" x14ac:dyDescent="0.3">
      <c r="C29" s="62" t="s">
        <v>105</v>
      </c>
      <c r="D29" s="63">
        <v>11</v>
      </c>
      <c r="E29" s="63">
        <v>11</v>
      </c>
      <c r="F29" s="78">
        <f t="shared" si="11"/>
        <v>0</v>
      </c>
      <c r="G29" s="26"/>
      <c r="H29" s="62" t="s">
        <v>105</v>
      </c>
      <c r="I29" s="63">
        <v>11</v>
      </c>
      <c r="J29" s="63">
        <v>11</v>
      </c>
      <c r="K29" s="78">
        <f t="shared" si="12"/>
        <v>0</v>
      </c>
      <c r="M29" s="62" t="s">
        <v>105</v>
      </c>
      <c r="N29" s="63">
        <v>11</v>
      </c>
      <c r="O29" s="63">
        <v>11</v>
      </c>
      <c r="P29" s="78">
        <f t="shared" si="13"/>
        <v>0</v>
      </c>
      <c r="R29" s="66" t="s">
        <v>106</v>
      </c>
      <c r="S29" s="72">
        <v>11</v>
      </c>
      <c r="T29" s="72">
        <v>12</v>
      </c>
      <c r="U29" s="68">
        <f t="shared" si="14"/>
        <v>0.14949714596357705</v>
      </c>
      <c r="V29" s="69">
        <f t="shared" si="15"/>
        <v>-8.333333333333337E-2</v>
      </c>
      <c r="W29" s="26"/>
    </row>
    <row r="30" spans="2:32" ht="14.4" x14ac:dyDescent="0.3">
      <c r="C30" s="62" t="s">
        <v>59</v>
      </c>
      <c r="D30" s="79">
        <v>8.49</v>
      </c>
      <c r="E30" s="79">
        <v>6.63</v>
      </c>
      <c r="F30" s="80">
        <f t="shared" si="11"/>
        <v>0.28054298642533948</v>
      </c>
      <c r="G30" s="26"/>
      <c r="H30" s="62" t="s">
        <v>59</v>
      </c>
      <c r="I30" s="79">
        <v>8.93</v>
      </c>
      <c r="J30" s="79">
        <v>7.02</v>
      </c>
      <c r="K30" s="80">
        <f t="shared" si="12"/>
        <v>0.27207977207977208</v>
      </c>
      <c r="M30" s="62" t="s">
        <v>59</v>
      </c>
      <c r="N30" s="79">
        <v>27.05</v>
      </c>
      <c r="O30" s="79">
        <v>24.78</v>
      </c>
      <c r="P30" s="80">
        <f t="shared" si="13"/>
        <v>9.1606133979015292E-2</v>
      </c>
      <c r="R30" s="66" t="s">
        <v>107</v>
      </c>
      <c r="S30" s="81">
        <v>1.68</v>
      </c>
      <c r="T30" s="81">
        <v>2.1800000000000002</v>
      </c>
      <c r="U30" s="68">
        <f t="shared" si="14"/>
        <v>2.2832291383528134E-2</v>
      </c>
      <c r="V30" s="69">
        <f t="shared" si="15"/>
        <v>-0.22935779816513768</v>
      </c>
      <c r="W30" s="26"/>
      <c r="AD30" s="82" t="s">
        <v>26</v>
      </c>
      <c r="AE30" s="82">
        <v>1</v>
      </c>
      <c r="AF30" s="82">
        <v>1</v>
      </c>
    </row>
    <row r="31" spans="2:32" ht="14.4" x14ac:dyDescent="0.3">
      <c r="C31" s="70" t="s">
        <v>108</v>
      </c>
      <c r="D31" s="83">
        <f t="shared" ref="D31:E31" si="21">D27/D24</f>
        <v>0.40836065573770491</v>
      </c>
      <c r="E31" s="83">
        <f t="shared" si="21"/>
        <v>0.37257425742574257</v>
      </c>
      <c r="F31" s="84">
        <f t="shared" ref="F31:F33" si="22">D31-E31</f>
        <v>3.5786398311962342E-2</v>
      </c>
      <c r="H31" s="70" t="s">
        <v>108</v>
      </c>
      <c r="I31" s="83">
        <f t="shared" ref="I31:J31" si="23">I27/I24</f>
        <v>0.37573426573426572</v>
      </c>
      <c r="J31" s="83">
        <f t="shared" si="23"/>
        <v>0.33429906542056076</v>
      </c>
      <c r="K31" s="84">
        <f t="shared" ref="K31:K33" si="24">I31-J31</f>
        <v>4.1435200313704956E-2</v>
      </c>
      <c r="M31" s="70" t="s">
        <v>108</v>
      </c>
      <c r="N31" s="83">
        <f t="shared" ref="N31:O31" si="25">N27/N24</f>
        <v>0.34593952483801294</v>
      </c>
      <c r="O31" s="83">
        <f t="shared" si="25"/>
        <v>0.37184696569920844</v>
      </c>
      <c r="P31" s="84">
        <f t="shared" ref="P31:P33" si="26">N31-O31</f>
        <v>-2.5907440861195508E-2</v>
      </c>
      <c r="R31" s="66" t="s">
        <v>109</v>
      </c>
      <c r="S31" s="81">
        <v>6</v>
      </c>
      <c r="T31" s="81">
        <v>4</v>
      </c>
      <c r="U31" s="68">
        <f t="shared" si="14"/>
        <v>8.1543897798314766E-2</v>
      </c>
      <c r="V31" s="69">
        <f t="shared" si="15"/>
        <v>0.5</v>
      </c>
      <c r="W31" s="26"/>
    </row>
    <row r="32" spans="2:32" ht="14.4" x14ac:dyDescent="0.3">
      <c r="C32" s="62" t="s">
        <v>110</v>
      </c>
      <c r="D32" s="64">
        <f t="shared" ref="D32:E32" si="27">D28/D24</f>
        <v>0.37704918032786883</v>
      </c>
      <c r="E32" s="85">
        <f t="shared" si="27"/>
        <v>0.35643564356435642</v>
      </c>
      <c r="F32" s="84">
        <f t="shared" si="22"/>
        <v>2.0613536763512408E-2</v>
      </c>
      <c r="G32" s="26"/>
      <c r="H32" s="62" t="s">
        <v>110</v>
      </c>
      <c r="I32" s="64">
        <f t="shared" ref="I32:J32" si="28">I28/I24</f>
        <v>0.34265734265734266</v>
      </c>
      <c r="J32" s="85">
        <f t="shared" si="28"/>
        <v>0.35514018691588783</v>
      </c>
      <c r="K32" s="84">
        <f t="shared" si="24"/>
        <v>-1.2482844258545178E-2</v>
      </c>
      <c r="M32" s="62" t="s">
        <v>110</v>
      </c>
      <c r="N32" s="64">
        <f t="shared" ref="N32:O32" si="29">N28/N24</f>
        <v>0.31749460043196542</v>
      </c>
      <c r="O32" s="85">
        <f t="shared" si="29"/>
        <v>0.35356200527704484</v>
      </c>
      <c r="P32" s="84">
        <f t="shared" si="26"/>
        <v>-3.606740484507942E-2</v>
      </c>
      <c r="R32" s="66" t="s">
        <v>111</v>
      </c>
      <c r="S32" s="81">
        <v>6.46</v>
      </c>
      <c r="T32" s="81">
        <v>8.43</v>
      </c>
      <c r="U32" s="68">
        <f t="shared" si="14"/>
        <v>8.7795596629518899E-2</v>
      </c>
      <c r="V32" s="68">
        <f>T32/$S$33</f>
        <v>0.11456917640663224</v>
      </c>
      <c r="W32" s="26"/>
    </row>
    <row r="33" spans="2:28" ht="14.4" x14ac:dyDescent="0.3">
      <c r="C33" s="72" t="s">
        <v>41</v>
      </c>
      <c r="D33" s="75">
        <f t="shared" ref="D33:E33" si="30">(D24-D25+D26)/D26</f>
        <v>60.756097560975611</v>
      </c>
      <c r="E33" s="75">
        <f t="shared" si="30"/>
        <v>59.730158730158735</v>
      </c>
      <c r="F33" s="86">
        <f t="shared" si="22"/>
        <v>1.0259388308168766</v>
      </c>
      <c r="G33" s="26"/>
      <c r="H33" s="72" t="s">
        <v>41</v>
      </c>
      <c r="I33" s="75">
        <f t="shared" ref="I33:J33" si="31">(I24-I25+I26)/I26</f>
        <v>73.602739726027394</v>
      </c>
      <c r="J33" s="75">
        <f t="shared" si="31"/>
        <v>46.45454545454546</v>
      </c>
      <c r="K33" s="86">
        <f t="shared" si="24"/>
        <v>27.148194271481934</v>
      </c>
      <c r="M33" s="72" t="s">
        <v>41</v>
      </c>
      <c r="N33" s="75">
        <f t="shared" ref="N33:O33" si="32">(N24-N25+N26)/N26</f>
        <v>50.526813880126177</v>
      </c>
      <c r="O33" s="75">
        <f t="shared" si="32"/>
        <v>48.098976109215016</v>
      </c>
      <c r="P33" s="86">
        <f t="shared" si="26"/>
        <v>2.4278377709111609</v>
      </c>
      <c r="R33" s="87" t="s">
        <v>112</v>
      </c>
      <c r="S33" s="82">
        <f t="shared" ref="S33:U33" si="33">SUM(S24:S32)</f>
        <v>73.58</v>
      </c>
      <c r="T33" s="82">
        <f t="shared" si="33"/>
        <v>62.879999999999995</v>
      </c>
      <c r="U33" s="88">
        <f t="shared" si="33"/>
        <v>0.99999999999999989</v>
      </c>
      <c r="V33" s="68">
        <f>(S33/T33)-1</f>
        <v>0.1701653944020356</v>
      </c>
      <c r="W33" s="26"/>
      <c r="X33" s="66" t="s">
        <v>112</v>
      </c>
      <c r="Y33" s="75">
        <f t="shared" ref="Y33:Z33" si="34">SUM(Y24:Y32)</f>
        <v>121.6</v>
      </c>
      <c r="Z33" s="75">
        <f t="shared" si="34"/>
        <v>101.5</v>
      </c>
      <c r="AA33" s="68">
        <f>Y33/$S$33</f>
        <v>1.6526229953791791</v>
      </c>
      <c r="AB33" s="69">
        <f>(Y33/Z33)-1</f>
        <v>0.19802955665024635</v>
      </c>
    </row>
    <row r="35" spans="2:28" ht="18" x14ac:dyDescent="0.35">
      <c r="B35" s="48" t="s">
        <v>113</v>
      </c>
      <c r="C35" s="48" t="s">
        <v>114</v>
      </c>
      <c r="D35" s="48" t="s">
        <v>115</v>
      </c>
      <c r="E35" s="48" t="s">
        <v>116</v>
      </c>
      <c r="F35" s="48" t="s">
        <v>117</v>
      </c>
      <c r="G35" s="48" t="s">
        <v>118</v>
      </c>
      <c r="H35" s="48" t="s">
        <v>119</v>
      </c>
      <c r="J35" s="48" t="s">
        <v>120</v>
      </c>
      <c r="K35" s="48" t="s">
        <v>121</v>
      </c>
      <c r="L35" s="48" t="s">
        <v>122</v>
      </c>
      <c r="M35" s="48" t="s">
        <v>123</v>
      </c>
      <c r="N35" s="48" t="s">
        <v>118</v>
      </c>
      <c r="O35" s="48" t="s">
        <v>124</v>
      </c>
      <c r="Q35" s="60" t="s">
        <v>125</v>
      </c>
      <c r="R35" s="60" t="s">
        <v>126</v>
      </c>
      <c r="S35" s="60" t="s">
        <v>127</v>
      </c>
      <c r="T35" s="60" t="s">
        <v>128</v>
      </c>
    </row>
    <row r="36" spans="2:28" ht="14.4" x14ac:dyDescent="0.3">
      <c r="C36" s="89" t="s">
        <v>71</v>
      </c>
      <c r="D36" s="90">
        <v>0.13900000000000001</v>
      </c>
      <c r="E36" s="90">
        <v>0.17199999999999999</v>
      </c>
      <c r="F36" s="90">
        <v>0.222</v>
      </c>
      <c r="G36" s="90">
        <v>0.20799999999999999</v>
      </c>
      <c r="H36" s="91">
        <v>0.19</v>
      </c>
      <c r="J36" s="48" t="s">
        <v>59</v>
      </c>
      <c r="K36" s="92">
        <v>5.58</v>
      </c>
      <c r="L36" s="92">
        <v>5.96</v>
      </c>
      <c r="M36" s="92">
        <v>8.93</v>
      </c>
      <c r="N36" s="92">
        <v>8.49</v>
      </c>
      <c r="O36" s="93">
        <f>SUM(K36:N36)</f>
        <v>28.96</v>
      </c>
      <c r="Q36" s="94">
        <v>24.78</v>
      </c>
      <c r="R36" s="95">
        <f>O36</f>
        <v>28.96</v>
      </c>
      <c r="S36" s="96">
        <f>F17</f>
        <v>38.140499999999996</v>
      </c>
      <c r="T36" s="97">
        <f ca="1">S38/30</f>
        <v>1.497183658665548</v>
      </c>
    </row>
    <row r="37" spans="2:28" ht="18" x14ac:dyDescent="0.35">
      <c r="C37" s="89" t="s">
        <v>72</v>
      </c>
      <c r="D37" s="98">
        <v>4.7E-2</v>
      </c>
      <c r="E37" s="98">
        <v>4.2000000000000003E-2</v>
      </c>
      <c r="F37" s="98">
        <v>9.7000000000000003E-2</v>
      </c>
      <c r="G37" s="98">
        <v>0.27800000000000002</v>
      </c>
      <c r="H37" s="91">
        <v>0.41</v>
      </c>
      <c r="Q37" s="60" t="s">
        <v>129</v>
      </c>
      <c r="R37" s="60" t="s">
        <v>130</v>
      </c>
      <c r="S37" s="60" t="s">
        <v>131</v>
      </c>
      <c r="T37" s="99"/>
    </row>
    <row r="38" spans="2:28" ht="14.4" x14ac:dyDescent="0.3">
      <c r="C38" s="100" t="s">
        <v>73</v>
      </c>
      <c r="D38" s="101">
        <v>0.32700000000000001</v>
      </c>
      <c r="E38" s="101">
        <v>0.309</v>
      </c>
      <c r="F38" s="101">
        <v>0.317</v>
      </c>
      <c r="G38" s="101">
        <v>0.377</v>
      </c>
      <c r="H38" s="101">
        <v>0.377</v>
      </c>
      <c r="Q38" s="102">
        <f>C4/Q36</f>
        <v>68.15980629539952</v>
      </c>
      <c r="R38" s="103">
        <f ca="1">C3/R36</f>
        <v>59.154005524861873</v>
      </c>
      <c r="S38" s="104">
        <f ca="1">C3/S36</f>
        <v>44.91550975996644</v>
      </c>
      <c r="T38" s="99"/>
    </row>
    <row r="39" spans="2:28" ht="14.4" x14ac:dyDescent="0.3">
      <c r="W39" s="26"/>
    </row>
    <row r="40" spans="2:28" ht="18" x14ac:dyDescent="0.35">
      <c r="B40" s="47" t="s">
        <v>29</v>
      </c>
      <c r="C40" s="105" t="s">
        <v>132</v>
      </c>
      <c r="D40" s="48" t="s">
        <v>8</v>
      </c>
      <c r="E40" s="48" t="s">
        <v>9</v>
      </c>
      <c r="F40" s="48" t="s">
        <v>59</v>
      </c>
      <c r="G40" s="48" t="s">
        <v>110</v>
      </c>
      <c r="H40" s="48" t="s">
        <v>105</v>
      </c>
      <c r="I40" s="48" t="s">
        <v>133</v>
      </c>
      <c r="J40" s="48" t="s">
        <v>134</v>
      </c>
      <c r="K40" s="48" t="s">
        <v>135</v>
      </c>
      <c r="L40" s="48" t="s">
        <v>136</v>
      </c>
      <c r="M40" s="48" t="s">
        <v>137</v>
      </c>
      <c r="N40" s="48" t="s">
        <v>60</v>
      </c>
      <c r="O40" s="48" t="s">
        <v>138</v>
      </c>
      <c r="P40" s="48" t="s">
        <v>139</v>
      </c>
      <c r="W40" s="26"/>
    </row>
    <row r="41" spans="2:28" ht="14.4" x14ac:dyDescent="0.3">
      <c r="C41" s="106" t="s">
        <v>140</v>
      </c>
      <c r="D41" s="107">
        <f t="shared" ref="D41:F41" si="35">(D47/D48)-1</f>
        <v>0.22163588390501321</v>
      </c>
      <c r="E41" s="107">
        <f t="shared" si="35"/>
        <v>9.7014925373134275E-2</v>
      </c>
      <c r="F41" s="107">
        <f t="shared" si="35"/>
        <v>9.1606133979015292E-2</v>
      </c>
      <c r="G41" s="101">
        <f>G47</f>
        <v>0.31749460043196542</v>
      </c>
      <c r="H41" s="107">
        <f t="shared" ref="H41:K41" si="36">(H47/H48)-1</f>
        <v>0</v>
      </c>
      <c r="I41" s="107">
        <f t="shared" si="36"/>
        <v>0.20216049382716039</v>
      </c>
      <c r="J41" s="107">
        <f t="shared" si="36"/>
        <v>0.73272357723577231</v>
      </c>
      <c r="K41" s="107">
        <f t="shared" si="36"/>
        <v>0.17285531370038409</v>
      </c>
      <c r="L41" s="108">
        <f t="shared" ref="L41:M41" si="37">L47</f>
        <v>63.031423290203328</v>
      </c>
      <c r="M41" s="108">
        <f t="shared" si="37"/>
        <v>101.58964879852125</v>
      </c>
      <c r="N41" s="107">
        <f>(N47/N48)-1</f>
        <v>0.19887657507211176</v>
      </c>
      <c r="O41" s="109">
        <f t="shared" ref="O41:P41" si="38">O47</f>
        <v>11.550905407116625</v>
      </c>
      <c r="P41" s="109">
        <f t="shared" si="38"/>
        <v>18.616943142965681</v>
      </c>
      <c r="W41" s="26"/>
    </row>
    <row r="42" spans="2:28" ht="14.4" x14ac:dyDescent="0.3">
      <c r="C42" s="106" t="s">
        <v>141</v>
      </c>
      <c r="D42" s="71">
        <f t="shared" ref="D42:F42" si="39">(D47/D50)^(1/3)-1</f>
        <v>0.32067202295041164</v>
      </c>
      <c r="E42" s="71">
        <f t="shared" si="39"/>
        <v>0.1910574063943058</v>
      </c>
      <c r="F42" s="71">
        <f t="shared" si="39"/>
        <v>0.18296457396758981</v>
      </c>
      <c r="G42" s="83">
        <f>MEDIAN(G47:G50)</f>
        <v>0.36717246171325552</v>
      </c>
      <c r="H42" s="71">
        <f t="shared" ref="H42:K42" si="40">(H47/H50)^(1/3)-1</f>
        <v>3.1348167433418173E-3</v>
      </c>
      <c r="I42" s="71">
        <f t="shared" si="40"/>
        <v>0.21436544344608666</v>
      </c>
      <c r="J42" s="71">
        <f t="shared" si="40"/>
        <v>0.10403435916074955</v>
      </c>
      <c r="K42" s="71">
        <f t="shared" si="40"/>
        <v>0.12753891186622424</v>
      </c>
      <c r="L42" s="76">
        <f t="shared" ref="L42:M42" si="41">MEDIAN(L47:L50)</f>
        <v>55.779695943433367</v>
      </c>
      <c r="M42" s="76">
        <f t="shared" si="41"/>
        <v>98.070853454950694</v>
      </c>
      <c r="N42" s="71">
        <f>(N47/N50)^(1/3)-1</f>
        <v>0.2063676458820547</v>
      </c>
      <c r="O42" s="110">
        <f t="shared" ref="O42:P42" si="42">MEDIAN(O47:O50)</f>
        <v>10.659290621224917</v>
      </c>
      <c r="P42" s="110">
        <f t="shared" si="42"/>
        <v>18.823463221702969</v>
      </c>
      <c r="W42" s="26"/>
    </row>
    <row r="43" spans="2:28" ht="14.4" x14ac:dyDescent="0.3">
      <c r="C43" s="106" t="s">
        <v>142</v>
      </c>
      <c r="D43" s="111">
        <f t="shared" ref="D43:E43" si="43">(D47/D52)^(1/5)-1</f>
        <v>0.23219282991998802</v>
      </c>
      <c r="E43" s="111">
        <f t="shared" si="43"/>
        <v>0.43688237801406848</v>
      </c>
      <c r="F43" s="111" t="e">
        <f>(F47/F52)^(1/4)-1</f>
        <v>#DIV/0!</v>
      </c>
      <c r="G43" s="101">
        <f>MEDIAN(G47:G51)</f>
        <v>0.38078291814946619</v>
      </c>
      <c r="H43" s="111" t="e">
        <f t="shared" ref="H43:K43" si="44">(H47/H52)^(1/4)-1</f>
        <v>#DIV/0!</v>
      </c>
      <c r="I43" s="111" t="e">
        <f t="shared" si="44"/>
        <v>#DIV/0!</v>
      </c>
      <c r="J43" s="111" t="e">
        <f t="shared" si="44"/>
        <v>#DIV/0!</v>
      </c>
      <c r="K43" s="111" t="e">
        <f t="shared" si="44"/>
        <v>#DIV/0!</v>
      </c>
      <c r="L43" s="112">
        <f t="shared" ref="L43:M43" si="45">AVERAGE(L47:L52)</f>
        <v>57.202153666975725</v>
      </c>
      <c r="M43" s="112">
        <f t="shared" si="45"/>
        <v>99.415341156265896</v>
      </c>
      <c r="N43" s="111" t="e">
        <f>(N47/N52)^(1/4)-1</f>
        <v>#DIV/0!</v>
      </c>
      <c r="O43" s="113">
        <f t="shared" ref="O43:P43" si="46">AVERAGE(O47:O52)</f>
        <v>11.095120110480758</v>
      </c>
      <c r="P43" s="113">
        <f t="shared" si="46"/>
        <v>19.348906513470375</v>
      </c>
      <c r="R43" s="26"/>
      <c r="S43" s="26"/>
      <c r="T43" s="26"/>
      <c r="U43" s="26"/>
      <c r="V43" s="26"/>
      <c r="W43" s="26"/>
    </row>
    <row r="44" spans="2:28" ht="18" x14ac:dyDescent="0.35">
      <c r="R44" s="114"/>
      <c r="S44" s="114"/>
      <c r="T44" s="114"/>
      <c r="U44" s="114"/>
      <c r="V44" s="114"/>
      <c r="W44" s="26"/>
    </row>
    <row r="45" spans="2:28" ht="18" x14ac:dyDescent="0.35">
      <c r="B45" s="47" t="s">
        <v>143</v>
      </c>
      <c r="C45" s="105" t="s">
        <v>132</v>
      </c>
      <c r="D45" s="48" t="s">
        <v>8</v>
      </c>
      <c r="E45" s="48" t="s">
        <v>9</v>
      </c>
      <c r="F45" s="48" t="s">
        <v>59</v>
      </c>
      <c r="G45" s="48" t="s">
        <v>110</v>
      </c>
      <c r="H45" s="48" t="s">
        <v>105</v>
      </c>
      <c r="I45" s="48" t="s">
        <v>133</v>
      </c>
      <c r="J45" s="48" t="s">
        <v>134</v>
      </c>
      <c r="K45" s="48" t="s">
        <v>135</v>
      </c>
      <c r="L45" s="48" t="s">
        <v>136</v>
      </c>
      <c r="M45" s="48" t="s">
        <v>137</v>
      </c>
      <c r="N45" s="48" t="s">
        <v>60</v>
      </c>
      <c r="O45" s="48" t="s">
        <v>138</v>
      </c>
      <c r="P45" s="48" t="s">
        <v>139</v>
      </c>
      <c r="R45" s="115"/>
      <c r="S45" s="116"/>
      <c r="T45" s="116"/>
      <c r="U45" s="117"/>
      <c r="V45" s="117"/>
      <c r="W45" s="26"/>
    </row>
    <row r="46" spans="2:28" ht="14.4" x14ac:dyDescent="0.3">
      <c r="C46" s="18" t="s">
        <v>144</v>
      </c>
      <c r="D46" s="118">
        <f>D47+D24-E24</f>
        <v>484</v>
      </c>
      <c r="E46" s="118">
        <f>E47+D28-E28</f>
        <v>157</v>
      </c>
      <c r="F46" s="119">
        <f>O36</f>
        <v>28.96</v>
      </c>
      <c r="G46" s="120">
        <f t="shared" ref="G46:G53" si="47">E46/D46</f>
        <v>0.32438016528925617</v>
      </c>
      <c r="H46" s="121">
        <v>10.7</v>
      </c>
      <c r="I46" s="118">
        <f>I47+D30</f>
        <v>787.49</v>
      </c>
      <c r="J46" s="122">
        <v>1582</v>
      </c>
      <c r="K46" s="123">
        <v>2166</v>
      </c>
      <c r="L46" s="124">
        <f t="shared" ref="L46:L50" si="48">J46/F46</f>
        <v>54.627071823204417</v>
      </c>
      <c r="M46" s="124">
        <f t="shared" ref="M46:M50" si="49">K46/F46</f>
        <v>74.792817679558013</v>
      </c>
      <c r="N46" s="125">
        <f t="shared" ref="N46:N50" si="50">(H46+I46)/(H46/2)</f>
        <v>149.19439252336451</v>
      </c>
      <c r="O46" s="125">
        <f t="shared" ref="O46:O50" si="51">J46/N46</f>
        <v>10.603615680477077</v>
      </c>
      <c r="P46" s="125">
        <f t="shared" ref="P46:P50" si="52">K46/N46</f>
        <v>14.517971911449653</v>
      </c>
      <c r="R46" s="115"/>
      <c r="S46" s="126"/>
      <c r="T46" s="126"/>
      <c r="U46" s="117"/>
      <c r="V46" s="117"/>
      <c r="W46" s="26"/>
    </row>
    <row r="47" spans="2:28" ht="14.4" x14ac:dyDescent="0.3">
      <c r="C47" s="18" t="s">
        <v>145</v>
      </c>
      <c r="D47" s="127">
        <v>463</v>
      </c>
      <c r="E47" s="127">
        <v>147</v>
      </c>
      <c r="F47" s="119">
        <v>27.05</v>
      </c>
      <c r="G47" s="120">
        <f t="shared" si="47"/>
        <v>0.31749460043196542</v>
      </c>
      <c r="H47" s="121">
        <v>10.7</v>
      </c>
      <c r="I47" s="127">
        <v>779</v>
      </c>
      <c r="J47" s="122">
        <v>1705</v>
      </c>
      <c r="K47" s="123">
        <v>2748</v>
      </c>
      <c r="L47" s="124">
        <f t="shared" si="48"/>
        <v>63.031423290203328</v>
      </c>
      <c r="M47" s="124">
        <f t="shared" si="49"/>
        <v>101.58964879852125</v>
      </c>
      <c r="N47" s="125">
        <f t="shared" si="50"/>
        <v>147.60747663551405</v>
      </c>
      <c r="O47" s="125">
        <f t="shared" si="51"/>
        <v>11.550905407116625</v>
      </c>
      <c r="P47" s="125">
        <f t="shared" si="52"/>
        <v>18.616943142965681</v>
      </c>
      <c r="R47" s="115"/>
      <c r="S47" s="126"/>
      <c r="T47" s="126"/>
      <c r="U47" s="128"/>
      <c r="V47" s="128"/>
      <c r="W47" s="26"/>
    </row>
    <row r="48" spans="2:28" ht="14.4" x14ac:dyDescent="0.3">
      <c r="C48" s="18" t="s">
        <v>146</v>
      </c>
      <c r="D48" s="127">
        <v>379</v>
      </c>
      <c r="E48" s="127">
        <v>134</v>
      </c>
      <c r="F48" s="119">
        <v>24.78</v>
      </c>
      <c r="G48" s="120">
        <f t="shared" si="47"/>
        <v>0.35356200527704484</v>
      </c>
      <c r="H48" s="121">
        <v>10.7</v>
      </c>
      <c r="I48" s="127">
        <v>648</v>
      </c>
      <c r="J48" s="122">
        <v>984</v>
      </c>
      <c r="K48" s="123">
        <v>2343</v>
      </c>
      <c r="L48" s="124">
        <f t="shared" si="48"/>
        <v>39.709443099273606</v>
      </c>
      <c r="M48" s="124">
        <f t="shared" si="49"/>
        <v>94.552058111380134</v>
      </c>
      <c r="N48" s="125">
        <f t="shared" si="50"/>
        <v>123.12149532710282</v>
      </c>
      <c r="O48" s="125">
        <f t="shared" si="51"/>
        <v>7.9921056626688918</v>
      </c>
      <c r="P48" s="125">
        <f t="shared" si="52"/>
        <v>19.029983300440257</v>
      </c>
      <c r="R48" s="26"/>
      <c r="S48" s="26"/>
      <c r="T48" s="26"/>
      <c r="U48" s="26"/>
      <c r="V48" s="26"/>
      <c r="W48" s="26"/>
    </row>
    <row r="49" spans="2:23" ht="14.4" x14ac:dyDescent="0.3">
      <c r="B49" s="129" t="s">
        <v>147</v>
      </c>
      <c r="C49" s="18" t="s">
        <v>148</v>
      </c>
      <c r="D49" s="127">
        <v>281</v>
      </c>
      <c r="E49" s="127">
        <v>107</v>
      </c>
      <c r="F49" s="119">
        <v>20.38</v>
      </c>
      <c r="G49" s="120">
        <f t="shared" si="47"/>
        <v>0.38078291814946619</v>
      </c>
      <c r="H49" s="121">
        <v>10.7</v>
      </c>
      <c r="I49" s="127">
        <v>531</v>
      </c>
      <c r="J49" s="122">
        <v>989</v>
      </c>
      <c r="K49" s="123">
        <v>1716</v>
      </c>
      <c r="L49" s="124">
        <f t="shared" si="48"/>
        <v>48.527968596663399</v>
      </c>
      <c r="M49" s="124">
        <f t="shared" si="49"/>
        <v>84.20019627085378</v>
      </c>
      <c r="N49" s="125">
        <f t="shared" si="50"/>
        <v>101.25233644859814</v>
      </c>
      <c r="O49" s="125">
        <f t="shared" si="51"/>
        <v>9.7676758353332094</v>
      </c>
      <c r="P49" s="125">
        <f t="shared" si="52"/>
        <v>16.947757061103928</v>
      </c>
      <c r="R49" s="130"/>
      <c r="S49" s="131"/>
      <c r="T49" s="131"/>
      <c r="U49" s="132"/>
      <c r="V49" s="132"/>
      <c r="W49" s="26"/>
    </row>
    <row r="50" spans="2:23" ht="14.4" x14ac:dyDescent="0.3">
      <c r="B50" s="129" t="s">
        <v>149</v>
      </c>
      <c r="C50" s="133" t="s">
        <v>150</v>
      </c>
      <c r="D50" s="134">
        <v>201</v>
      </c>
      <c r="E50" s="135">
        <v>87</v>
      </c>
      <c r="F50" s="136">
        <v>16.34</v>
      </c>
      <c r="G50" s="120">
        <f t="shared" si="47"/>
        <v>0.43283582089552236</v>
      </c>
      <c r="H50" s="121">
        <v>10.6</v>
      </c>
      <c r="I50" s="137">
        <v>435</v>
      </c>
      <c r="J50" s="138">
        <v>1267</v>
      </c>
      <c r="K50" s="127">
        <v>1917</v>
      </c>
      <c r="L50" s="124">
        <f t="shared" si="48"/>
        <v>77.539779681762553</v>
      </c>
      <c r="M50" s="124">
        <f t="shared" si="49"/>
        <v>117.31946144430844</v>
      </c>
      <c r="N50" s="125">
        <f t="shared" si="50"/>
        <v>84.075471698113219</v>
      </c>
      <c r="O50" s="125">
        <f t="shared" si="51"/>
        <v>15.069793536804307</v>
      </c>
      <c r="P50" s="125">
        <f t="shared" si="52"/>
        <v>22.80094254937163</v>
      </c>
      <c r="R50" s="26"/>
      <c r="S50" s="26"/>
      <c r="T50" s="26"/>
      <c r="U50" s="26"/>
      <c r="V50" s="26"/>
      <c r="W50" s="26"/>
    </row>
    <row r="51" spans="2:23" ht="14.4" x14ac:dyDescent="0.3">
      <c r="C51" s="18" t="s">
        <v>151</v>
      </c>
      <c r="D51" s="139">
        <v>152</v>
      </c>
      <c r="E51" s="140">
        <v>60</v>
      </c>
      <c r="F51" s="141">
        <v>11.38</v>
      </c>
      <c r="G51" s="120">
        <f t="shared" si="47"/>
        <v>0.39473684210526316</v>
      </c>
      <c r="H51" s="121">
        <v>133</v>
      </c>
      <c r="I51" s="142">
        <v>224</v>
      </c>
      <c r="J51" s="143"/>
      <c r="K51" s="144"/>
      <c r="L51" s="145"/>
      <c r="M51" s="145"/>
      <c r="N51" s="72"/>
      <c r="O51" s="81"/>
      <c r="P51" s="81"/>
      <c r="W51" s="26"/>
    </row>
    <row r="52" spans="2:23" ht="14.4" x14ac:dyDescent="0.3">
      <c r="C52" s="133" t="s">
        <v>152</v>
      </c>
      <c r="D52" s="146">
        <v>163</v>
      </c>
      <c r="E52" s="147">
        <v>24</v>
      </c>
      <c r="F52" s="148"/>
      <c r="G52" s="149">
        <f t="shared" si="47"/>
        <v>0.14723926380368099</v>
      </c>
      <c r="H52" s="150"/>
      <c r="I52" s="151"/>
      <c r="J52" s="150"/>
      <c r="K52" s="152"/>
      <c r="L52" s="150"/>
      <c r="M52" s="150"/>
      <c r="N52" s="72"/>
      <c r="O52" s="81"/>
      <c r="P52" s="81"/>
      <c r="S52" s="76"/>
      <c r="W52" s="26"/>
    </row>
    <row r="53" spans="2:23" ht="14.4" x14ac:dyDescent="0.3">
      <c r="C53" s="18" t="s">
        <v>153</v>
      </c>
      <c r="D53" s="153">
        <v>163</v>
      </c>
      <c r="E53" s="154">
        <v>34</v>
      </c>
      <c r="F53" s="155"/>
      <c r="G53" s="156">
        <f t="shared" si="47"/>
        <v>0.20858895705521471</v>
      </c>
      <c r="H53" s="157"/>
      <c r="I53" s="158"/>
      <c r="J53" s="157"/>
      <c r="K53" s="159"/>
      <c r="L53" s="157"/>
      <c r="M53" s="157"/>
      <c r="N53" s="72"/>
      <c r="O53" s="81"/>
      <c r="P53" s="81"/>
      <c r="S53" s="71"/>
      <c r="T53" s="76"/>
      <c r="U53" s="71"/>
      <c r="W53" s="26"/>
    </row>
    <row r="54" spans="2:23" ht="14.4" x14ac:dyDescent="0.3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41"/>
      <c r="S54" s="71"/>
      <c r="U54" s="71"/>
      <c r="W54" s="26"/>
    </row>
    <row r="55" spans="2:23" ht="14.4" x14ac:dyDescent="0.3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S55" s="71"/>
      <c r="U55" s="71"/>
      <c r="W55" s="26"/>
    </row>
    <row r="56" spans="2:23" ht="14.4" x14ac:dyDescent="0.3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S56" s="76"/>
      <c r="U56" s="71"/>
      <c r="W56" s="26"/>
    </row>
    <row r="57" spans="2:23" ht="14.4" x14ac:dyDescent="0.3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S57" s="76"/>
      <c r="U57" s="71"/>
      <c r="W57" s="26"/>
    </row>
    <row r="58" spans="2:23" ht="14.4" x14ac:dyDescent="0.3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S58" s="76"/>
      <c r="U58" s="71"/>
      <c r="W58" s="26"/>
    </row>
    <row r="59" spans="2:23" ht="14.4" x14ac:dyDescent="0.3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S59" s="26"/>
    </row>
    <row r="60" spans="2:23" ht="14.4" x14ac:dyDescent="0.3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2:23" ht="14.4" x14ac:dyDescent="0.3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2:23" ht="14.4" x14ac:dyDescent="0.3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2:23" ht="14.4" x14ac:dyDescent="0.3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2:23" ht="14.4" x14ac:dyDescent="0.3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2:19" ht="14.4" x14ac:dyDescent="0.3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2:19" ht="14.4" x14ac:dyDescent="0.3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2:19" ht="14.4" x14ac:dyDescent="0.3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2:19" ht="14.4" x14ac:dyDescent="0.3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2:19" ht="14.4" x14ac:dyDescent="0.3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2:19" ht="14.4" x14ac:dyDescent="0.3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2:19" ht="14.4" x14ac:dyDescent="0.3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2:19" ht="14.4" x14ac:dyDescent="0.3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2:19" ht="14.4" x14ac:dyDescent="0.3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2:19" ht="14.4" x14ac:dyDescent="0.3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2:19" ht="14.4" x14ac:dyDescent="0.3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2:19" ht="14.4" x14ac:dyDescent="0.3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2:19" ht="14.4" x14ac:dyDescent="0.3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2:19" ht="14.4" x14ac:dyDescent="0.3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2:19" ht="14.4" x14ac:dyDescent="0.3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2:19" ht="14.4" x14ac:dyDescent="0.3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2:19" ht="14.4" x14ac:dyDescent="0.3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2:19" ht="14.4" x14ac:dyDescent="0.3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2:19" ht="14.4" x14ac:dyDescent="0.3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2:19" ht="14.4" x14ac:dyDescent="0.3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2:19" ht="14.4" x14ac:dyDescent="0.3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2:19" ht="14.4" x14ac:dyDescent="0.3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2:19" ht="14.4" x14ac:dyDescent="0.3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2:19" ht="14.4" x14ac:dyDescent="0.3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2:19" ht="14.4" x14ac:dyDescent="0.3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2:19" ht="14.4" x14ac:dyDescent="0.3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2:19" ht="14.4" x14ac:dyDescent="0.3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2:19" ht="14.4" x14ac:dyDescent="0.3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2:19" ht="14.4" x14ac:dyDescent="0.3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2:19" ht="14.4" x14ac:dyDescent="0.3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2:19" ht="14.4" x14ac:dyDescent="0.3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2:19" ht="14.4" x14ac:dyDescent="0.3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2:19" ht="14.4" x14ac:dyDescent="0.3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2:19" ht="14.4" x14ac:dyDescent="0.3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2:19" ht="14.4" x14ac:dyDescent="0.3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2:19" ht="14.4" x14ac:dyDescent="0.3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2:19" ht="14.4" x14ac:dyDescent="0.3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2:19" ht="14.4" x14ac:dyDescent="0.3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2:19" ht="14.4" x14ac:dyDescent="0.3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</sheetData>
  <mergeCells count="1">
    <mergeCell ref="T36:T38"/>
  </mergeCells>
  <conditionalFormatting sqref="B18:F21 A18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5:G37 B35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G38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1:P41 D43:P43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8:G21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4:G53 G40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6:K5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1:P41 J43:P43">
    <cfRule type="colorScale" priority="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46:M50">
    <cfRule type="colorScale" priority="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46:N50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46:P50">
    <cfRule type="colorScale" priority="1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AE23:AF28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MayMyIndia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2025-08-25T06:59:21Z</dcterms:created>
  <dcterms:modified xsi:type="dcterms:W3CDTF">2025-08-25T06:59:47Z</dcterms:modified>
</cp:coreProperties>
</file>