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A127372C-CC7E-426F-8A20-AA7D50335884}" xr6:coauthVersionLast="47" xr6:coauthVersionMax="47" xr10:uidLastSave="{00000000-0000-0000-0000-000000000000}"/>
  <bookViews>
    <workbookView xWindow="-108" yWindow="-108" windowWidth="23256" windowHeight="12456" xr2:uid="{002ADABB-7EFF-4CAC-96E7-BF744EEC600B}"/>
  </bookViews>
  <sheets>
    <sheet name="MayMyInd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O39" i="1"/>
  <c r="Q37" i="1" s="1"/>
  <c r="R37" i="1"/>
  <c r="R36" i="1"/>
  <c r="Q36" i="1"/>
  <c r="R35" i="1"/>
  <c r="R34" i="1"/>
  <c r="Q34" i="1"/>
  <c r="R33" i="1"/>
  <c r="Q33" i="1"/>
  <c r="F33" i="1"/>
  <c r="R32" i="1"/>
  <c r="Q32" i="1"/>
  <c r="F32" i="1"/>
  <c r="R31" i="1"/>
  <c r="Q31" i="1"/>
  <c r="F31" i="1"/>
  <c r="R30" i="1"/>
  <c r="Q30" i="1"/>
  <c r="J30" i="1"/>
  <c r="I30" i="1"/>
  <c r="F30" i="1"/>
  <c r="J29" i="1"/>
  <c r="I29" i="1"/>
  <c r="F29" i="1"/>
  <c r="J28" i="1"/>
  <c r="I28" i="1"/>
  <c r="F28" i="1"/>
  <c r="AA27" i="1"/>
  <c r="Z27" i="1"/>
  <c r="Y27" i="1"/>
  <c r="U27" i="1"/>
  <c r="T27" i="1"/>
  <c r="V27" i="1" s="1"/>
  <c r="P27" i="1"/>
  <c r="O27" i="1"/>
  <c r="Q27" i="1" s="1"/>
  <c r="J27" i="1"/>
  <c r="I27" i="1"/>
  <c r="D27" i="1"/>
  <c r="F27" i="1" s="1"/>
  <c r="C27" i="1"/>
  <c r="Z26" i="1"/>
  <c r="Y26" i="1"/>
  <c r="AA26" i="1" s="1"/>
  <c r="V26" i="1"/>
  <c r="U26" i="1"/>
  <c r="T26" i="1"/>
  <c r="P26" i="1"/>
  <c r="O26" i="1"/>
  <c r="Q26" i="1" s="1"/>
  <c r="AA25" i="1"/>
  <c r="V25" i="1"/>
  <c r="Q25" i="1"/>
  <c r="AA24" i="1"/>
  <c r="V24" i="1"/>
  <c r="Q24" i="1"/>
  <c r="AA23" i="1"/>
  <c r="V23" i="1"/>
  <c r="Q23" i="1"/>
  <c r="L23" i="1"/>
  <c r="K23" i="1"/>
  <c r="J23" i="1"/>
  <c r="I23" i="1"/>
  <c r="H23" i="1"/>
  <c r="G23" i="1"/>
  <c r="F23" i="1"/>
  <c r="E23" i="1"/>
  <c r="D23" i="1"/>
  <c r="C23" i="1"/>
  <c r="AA22" i="1"/>
  <c r="V22" i="1"/>
  <c r="Q22" i="1"/>
  <c r="L22" i="1"/>
  <c r="K22" i="1"/>
  <c r="J22" i="1"/>
  <c r="I22" i="1"/>
  <c r="H22" i="1"/>
  <c r="G22" i="1"/>
  <c r="F22" i="1"/>
  <c r="F19" i="1" s="1"/>
  <c r="E22" i="1"/>
  <c r="D22" i="1"/>
  <c r="C22" i="1"/>
  <c r="AA21" i="1"/>
  <c r="V21" i="1"/>
  <c r="Q21" i="1"/>
  <c r="AA20" i="1"/>
  <c r="V20" i="1"/>
  <c r="Q20" i="1"/>
  <c r="M17" i="1"/>
  <c r="O14" i="1"/>
  <c r="E14" i="1"/>
  <c r="F14" i="1" s="1"/>
  <c r="C14" i="1"/>
  <c r="C13" i="1" s="1"/>
  <c r="S9" i="1"/>
  <c r="R9" i="1"/>
  <c r="Q9" i="1"/>
  <c r="N9" i="1"/>
  <c r="J9" i="1"/>
  <c r="H9" i="1"/>
  <c r="G9" i="1"/>
  <c r="F9" i="1"/>
  <c r="E9" i="1"/>
  <c r="D9" i="1"/>
  <c r="C9" i="1"/>
  <c r="B9" i="1"/>
  <c r="V5" i="1"/>
  <c r="U5" i="1"/>
  <c r="T5" i="1"/>
  <c r="S5" i="1"/>
  <c r="R5" i="1"/>
  <c r="Q5" i="1"/>
  <c r="P5" i="1"/>
  <c r="O5" i="1"/>
  <c r="N5" i="1"/>
  <c r="K5" i="1"/>
  <c r="J5" i="1"/>
  <c r="I5" i="1"/>
  <c r="H5" i="1"/>
  <c r="W4" i="1"/>
  <c r="M4" i="1"/>
  <c r="L4" i="1"/>
  <c r="L5" i="1" s="1"/>
  <c r="G4" i="1"/>
  <c r="G5" i="1" s="1"/>
  <c r="F4" i="1"/>
  <c r="E4" i="1"/>
  <c r="W3" i="1"/>
  <c r="W5" i="1" s="1"/>
  <c r="M3" i="1"/>
  <c r="M5" i="1" s="1"/>
  <c r="G3" i="1"/>
  <c r="F3" i="1"/>
  <c r="I9" i="1" s="1"/>
  <c r="E3" i="1"/>
  <c r="E5" i="1" s="1"/>
  <c r="D3" i="1"/>
  <c r="C3" i="1"/>
  <c r="O9" i="1" s="1"/>
  <c r="C12" i="1" l="1"/>
  <c r="D13" i="1"/>
  <c r="P14" i="1"/>
  <c r="Q35" i="1"/>
  <c r="K9" i="1"/>
  <c r="Q14" i="1"/>
  <c r="R12" i="1" s="1"/>
  <c r="P9" i="1" s="1"/>
  <c r="L9" i="1"/>
  <c r="C5" i="1"/>
  <c r="M9" i="1"/>
  <c r="D4" i="1"/>
  <c r="D5" i="1" s="1"/>
  <c r="D14" i="1"/>
  <c r="D18" i="1" s="1"/>
  <c r="F5" i="1"/>
  <c r="D12" i="1" l="1"/>
  <c r="E13" i="1"/>
  <c r="E12" i="1" l="1"/>
  <c r="F12" i="1" s="1"/>
  <c r="F13" i="1"/>
</calcChain>
</file>

<file path=xl/sharedStrings.xml><?xml version="1.0" encoding="utf-8"?>
<sst xmlns="http://schemas.openxmlformats.org/spreadsheetml/2006/main" count="186" uniqueCount="132">
  <si>
    <t>MARKET</t>
  </si>
  <si>
    <t>FINANCE</t>
  </si>
  <si>
    <t>BALANCESHEET</t>
  </si>
  <si>
    <t>CASHFLOW</t>
  </si>
  <si>
    <t>DATA</t>
  </si>
  <si>
    <t>Company</t>
  </si>
  <si>
    <t>Price</t>
  </si>
  <si>
    <t>Marketcap</t>
  </si>
  <si>
    <t>Sales</t>
  </si>
  <si>
    <t>Profit</t>
  </si>
  <si>
    <t>TRAIL_EPS</t>
  </si>
  <si>
    <t>FV</t>
  </si>
  <si>
    <t>ORDERBOOK</t>
  </si>
  <si>
    <t>Equity</t>
  </si>
  <si>
    <t>Reserve</t>
  </si>
  <si>
    <t>DEBT</t>
  </si>
  <si>
    <t>LEASE</t>
  </si>
  <si>
    <t>CUR.ASSETS</t>
  </si>
  <si>
    <t>CUR.LIABILITIES</t>
  </si>
  <si>
    <t>ASSETS</t>
  </si>
  <si>
    <t>LIABILITIES</t>
  </si>
  <si>
    <t>TRADE REC</t>
  </si>
  <si>
    <t>PPE</t>
  </si>
  <si>
    <t>CFO</t>
  </si>
  <si>
    <t>CFI</t>
  </si>
  <si>
    <t>CFF</t>
  </si>
  <si>
    <t>TOTAL</t>
  </si>
  <si>
    <t>MAPMYINDIA</t>
  </si>
  <si>
    <t>LastYear_24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</si>
  <si>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</si>
  <si>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</si>
  <si>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</si>
  <si>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</si>
  <si>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</si>
  <si>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</si>
  <si>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</si>
  <si>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</si>
  <si>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</si>
  <si>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DAYS</t>
  </si>
  <si>
    <t>DEBT2EQUITY</t>
  </si>
  <si>
    <t>DEBTRATIO</t>
  </si>
  <si>
    <t>ICR</t>
  </si>
  <si>
    <t>ROE</t>
  </si>
  <si>
    <t>ROCE</t>
  </si>
  <si>
    <t>ROA</t>
  </si>
  <si>
    <t>TRAIL_PE</t>
  </si>
  <si>
    <t>YIELD</t>
  </si>
  <si>
    <t>BOOKVALUE</t>
  </si>
  <si>
    <t>PBV</t>
  </si>
  <si>
    <t>PEG</t>
  </si>
  <si>
    <t>OCFR</t>
  </si>
  <si>
    <t>CFD</t>
  </si>
  <si>
    <t>FCF (INC R)</t>
  </si>
  <si>
    <t>Expected Growth</t>
  </si>
  <si>
    <t>EPS</t>
  </si>
  <si>
    <t>FAIRVALUE</t>
  </si>
  <si>
    <t>YEAR</t>
  </si>
  <si>
    <t>H1_FY_24</t>
  </si>
  <si>
    <t>9M_FY_24</t>
  </si>
  <si>
    <t>FY_24</t>
  </si>
  <si>
    <t>Q1_FY_25</t>
  </si>
  <si>
    <t>F-2025</t>
  </si>
  <si>
    <t>EPS_24</t>
  </si>
  <si>
    <t>T_EPS</t>
  </si>
  <si>
    <t>F_EPS_25</t>
  </si>
  <si>
    <t>F_PEG</t>
  </si>
  <si>
    <t>FY_2035</t>
  </si>
  <si>
    <t>SALES</t>
  </si>
  <si>
    <t>FY_2030</t>
  </si>
  <si>
    <t>PROFIT</t>
  </si>
  <si>
    <t>PE</t>
  </si>
  <si>
    <t>TRAILPE</t>
  </si>
  <si>
    <t>F_PE</t>
  </si>
  <si>
    <t>FY_2025</t>
  </si>
  <si>
    <t>MARGIN</t>
  </si>
  <si>
    <t>Current Trend</t>
  </si>
  <si>
    <t>Q2_FY_24</t>
  </si>
  <si>
    <t>Q3_FY_24</t>
  </si>
  <si>
    <t>Q4_FY_24</t>
  </si>
  <si>
    <t>T-EPS-2025</t>
  </si>
  <si>
    <t>EXPECTED</t>
  </si>
  <si>
    <t>EST GR 2025</t>
  </si>
  <si>
    <t>EST GR LONGTERM</t>
  </si>
  <si>
    <t>RESULT</t>
  </si>
  <si>
    <t>Q1_FY25</t>
  </si>
  <si>
    <t>Q1_FY24</t>
  </si>
  <si>
    <t>Q4_FY24</t>
  </si>
  <si>
    <t>Q4_FY23</t>
  </si>
  <si>
    <t>FY24</t>
  </si>
  <si>
    <t>FY23</t>
  </si>
  <si>
    <t>Revenue</t>
  </si>
  <si>
    <t>HIGH PRICE</t>
  </si>
  <si>
    <t>LOWPRICE</t>
  </si>
  <si>
    <t>HPE</t>
  </si>
  <si>
    <t>LPE</t>
  </si>
  <si>
    <t>EQUITY</t>
  </si>
  <si>
    <t>RESERVE</t>
  </si>
  <si>
    <t>COST</t>
  </si>
  <si>
    <t>Growth CY</t>
  </si>
  <si>
    <t>Growth 5year</t>
  </si>
  <si>
    <t>Actual</t>
  </si>
  <si>
    <t>in cr</t>
  </si>
  <si>
    <t>Year</t>
  </si>
  <si>
    <t>Margin</t>
  </si>
  <si>
    <t>LOWPE</t>
  </si>
  <si>
    <t>TRAIL_FY25</t>
  </si>
  <si>
    <t>FY_2024</t>
  </si>
  <si>
    <t>FY_2023</t>
  </si>
  <si>
    <t>MajorCost</t>
  </si>
  <si>
    <t>SHARE</t>
  </si>
  <si>
    <t>SHP</t>
  </si>
  <si>
    <t>IPO_2021</t>
  </si>
  <si>
    <t>IPO</t>
  </si>
  <si>
    <t>FY_2022</t>
  </si>
  <si>
    <t>Cost of Material</t>
  </si>
  <si>
    <t>PROMOTER</t>
  </si>
  <si>
    <t>OPEN MARKET</t>
  </si>
  <si>
    <t>FY_2021</t>
  </si>
  <si>
    <t>Employee</t>
  </si>
  <si>
    <t>MF &amp; INSURANCE</t>
  </si>
  <si>
    <t>FY_2020</t>
  </si>
  <si>
    <t>Finance</t>
  </si>
  <si>
    <t>FII</t>
  </si>
  <si>
    <t>FY_2019</t>
  </si>
  <si>
    <t>Dep&amp;Amort</t>
  </si>
  <si>
    <t>RETAIL</t>
  </si>
  <si>
    <t>Other</t>
  </si>
  <si>
    <t>CORPORATE</t>
  </si>
  <si>
    <t>TechnicalServiceOutsource</t>
  </si>
  <si>
    <t>Marketing</t>
  </si>
  <si>
    <t>Comm.CloudExp.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</si>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</sst>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3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1"/>
      <color rgb="FFFFFFFF"/>
      <name val="Arial"/>
    </font>
    <font>
      <sz val="11"/>
      <color theme="1"/>
      <name val="Calibri"/>
    </font>
    <font>
      <sz val="11"/>
      <color theme="1"/>
      <name val="Arial"/>
    </font>
    <font>
      <b/>
      <i/>
      <sz val="11"/>
      <color theme="1"/>
      <name val="Calibri"/>
    </font>
    <font>
      <i/>
      <sz val="11"/>
      <color theme="1"/>
      <name val="Arial"/>
    </font>
    <font>
      <b/>
      <sz val="14"/>
      <color rgb="FFFFFFFF"/>
      <name val="Calibri"/>
    </font>
    <font>
      <b/>
      <sz val="11"/>
      <color rgb="FFFFFFFF"/>
      <name val="Calibri"/>
    </font>
    <font>
      <b/>
      <sz val="38"/>
      <color theme="1"/>
      <name val="Calibri"/>
    </font>
    <font>
      <b/>
      <i/>
      <u/>
      <sz val="11"/>
      <color theme="1"/>
      <name val="Calibri"/>
    </font>
    <font>
      <b/>
      <sz val="10"/>
      <color theme="1"/>
      <name val="Calibri"/>
      <scheme val="minor"/>
    </font>
    <font>
      <b/>
      <sz val="11"/>
      <color theme="1"/>
      <name val="Calibri"/>
    </font>
  </fonts>
  <fills count="4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0124D"/>
        <bgColor rgb="FF20124D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073763"/>
        <bgColor rgb="FF073763"/>
      </patternFill>
    </fill>
    <fill>
      <patternFill patternType="solid">
        <fgColor rgb="FFE67C73"/>
        <bgColor rgb="FFE67C73"/>
      </patternFill>
    </fill>
    <fill>
      <patternFill patternType="solid">
        <fgColor rgb="FF57BB8A"/>
        <bgColor rgb="FF57BB8A"/>
      </patternFill>
    </fill>
    <fill>
      <patternFill patternType="solid">
        <fgColor rgb="FF65C194"/>
        <bgColor rgb="FF65C194"/>
      </patternFill>
    </fill>
    <fill>
      <patternFill patternType="solid">
        <fgColor rgb="FFD8F0E4"/>
        <bgColor rgb="FFD8F0E4"/>
      </patternFill>
    </fill>
    <fill>
      <patternFill patternType="solid">
        <fgColor rgb="FFFEFFFE"/>
        <bgColor rgb="FFFEFFFE"/>
      </patternFill>
    </fill>
    <fill>
      <patternFill patternType="solid">
        <fgColor rgb="FFFEFEFE"/>
        <bgColor rgb="FFFEFEFE"/>
      </patternFill>
    </fill>
    <fill>
      <patternFill patternType="solid">
        <fgColor rgb="FFF1FAF6"/>
        <bgColor rgb="FFF1FAF6"/>
      </patternFill>
    </fill>
    <fill>
      <patternFill patternType="solid">
        <fgColor rgb="FFEFAEA8"/>
        <bgColor rgb="FFEFAEA8"/>
      </patternFill>
    </fill>
    <fill>
      <patternFill patternType="solid">
        <fgColor rgb="FFF7FCFA"/>
        <bgColor rgb="FFF7FCFA"/>
      </patternFill>
    </fill>
    <fill>
      <patternFill patternType="solid">
        <fgColor rgb="FFF1B9B4"/>
        <bgColor rgb="FFF1B9B4"/>
      </patternFill>
    </fill>
    <fill>
      <patternFill patternType="solid">
        <fgColor rgb="FFFAFDFC"/>
        <bgColor rgb="FFFAFDFC"/>
      </patternFill>
    </fill>
    <fill>
      <patternFill patternType="solid">
        <fgColor rgb="FFDEF2E8"/>
        <bgColor rgb="FFDEF2E8"/>
      </patternFill>
    </fill>
    <fill>
      <patternFill patternType="solid">
        <fgColor rgb="FFF3C3BF"/>
        <bgColor rgb="FFF3C3BF"/>
      </patternFill>
    </fill>
    <fill>
      <patternFill patternType="solid">
        <fgColor rgb="FFB6CA76"/>
        <bgColor rgb="FFB6CA76"/>
      </patternFill>
    </fill>
    <fill>
      <patternFill patternType="solid">
        <fgColor rgb="FFAADDC4"/>
        <bgColor rgb="FFAADDC4"/>
      </patternFill>
    </fill>
    <fill>
      <patternFill patternType="solid">
        <fgColor rgb="FFBCE4D0"/>
        <bgColor rgb="FFBCE4D0"/>
      </patternFill>
    </fill>
    <fill>
      <patternFill patternType="solid">
        <fgColor rgb="FFD4EEE1"/>
        <bgColor rgb="FFD4EEE1"/>
      </patternFill>
    </fill>
    <fill>
      <patternFill patternType="solid">
        <fgColor rgb="FFFAE7E6"/>
        <bgColor rgb="FFFAE7E6"/>
      </patternFill>
    </fill>
    <fill>
      <patternFill patternType="solid">
        <fgColor rgb="FF68C296"/>
        <bgColor rgb="FF68C296"/>
      </patternFill>
    </fill>
    <fill>
      <patternFill patternType="solid">
        <fgColor rgb="FFF3C1BC"/>
        <bgColor rgb="FFF3C1BC"/>
      </patternFill>
    </fill>
    <fill>
      <patternFill patternType="solid">
        <fgColor rgb="FFC9E9D9"/>
        <bgColor rgb="FFC9E9D9"/>
      </patternFill>
    </fill>
    <fill>
      <patternFill patternType="solid">
        <fgColor rgb="FFD3EDE0"/>
        <bgColor rgb="FFD3EDE0"/>
      </patternFill>
    </fill>
    <fill>
      <patternFill patternType="solid">
        <fgColor rgb="FFE4F4EC"/>
        <bgColor rgb="FFE4F4EC"/>
      </patternFill>
    </fill>
    <fill>
      <patternFill patternType="solid">
        <fgColor rgb="FFABDDC4"/>
        <bgColor rgb="FFABDDC4"/>
      </patternFill>
    </fill>
    <fill>
      <patternFill patternType="solid">
        <fgColor rgb="FFEA8971"/>
        <bgColor rgb="FFEA8971"/>
      </patternFill>
    </fill>
    <fill>
      <patternFill patternType="solid">
        <fgColor rgb="FF74BF84"/>
        <bgColor rgb="FF74BF84"/>
      </patternFill>
    </fill>
    <fill>
      <patternFill patternType="solid">
        <fgColor rgb="FFE0F3EA"/>
        <bgColor rgb="FFE0F3EA"/>
      </patternFill>
    </fill>
    <fill>
      <patternFill patternType="solid">
        <fgColor rgb="FFFAE4E3"/>
        <bgColor rgb="FFFAE4E3"/>
      </patternFill>
    </fill>
    <fill>
      <patternFill patternType="solid">
        <fgColor rgb="FFF0B5B0"/>
        <bgColor rgb="FFF0B5B0"/>
      </patternFill>
    </fill>
    <fill>
      <patternFill patternType="solid">
        <fgColor rgb="FFEA938B"/>
        <bgColor rgb="FFEA938B"/>
      </patternFill>
    </fill>
    <fill>
      <patternFill patternType="solid">
        <fgColor rgb="FFC9DAF8"/>
        <bgColor rgb="FFC9DAF8"/>
      </patternFill>
    </fill>
    <fill>
      <patternFill patternType="solid">
        <fgColor rgb="FFFDFEFE"/>
        <bgColor rgb="FFFDFEFE"/>
      </patternFill>
    </fill>
    <fill>
      <patternFill patternType="solid">
        <fgColor rgb="FFE6F5EE"/>
        <bgColor rgb="FFE6F5EE"/>
      </patternFill>
    </fill>
    <fill>
      <patternFill patternType="solid">
        <fgColor rgb="FFF6CFCC"/>
        <bgColor rgb="FFF6CFCC"/>
      </patternFill>
    </fill>
    <fill>
      <patternFill patternType="solid">
        <fgColor rgb="FFEA918A"/>
        <bgColor rgb="FFEA918A"/>
      </patternFill>
    </fill>
    <fill>
      <patternFill patternType="solid">
        <fgColor rgb="FFFBEDEC"/>
        <bgColor rgb="FFFBEDEC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/>
    <xf numFmtId="0" fontId="2" fillId="3" borderId="1" xfId="0" applyFont="1" applyFill="1" applyBorder="1"/>
    <xf numFmtId="0" fontId="2" fillId="2" borderId="0" xfId="0" applyFont="1" applyFill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3" xfId="0" applyFont="1" applyFill="1" applyBorder="1"/>
    <xf numFmtId="1" fontId="3" fillId="0" borderId="2" xfId="0" applyNumberFormat="1" applyFont="1" applyBorder="1"/>
    <xf numFmtId="3" fontId="4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0" borderId="2" xfId="0" applyFont="1" applyBorder="1"/>
    <xf numFmtId="2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5" fillId="4" borderId="2" xfId="0" applyNumberFormat="1" applyFont="1" applyFill="1" applyBorder="1" applyAlignment="1">
      <alignment horizontal="center"/>
    </xf>
    <xf numFmtId="9" fontId="5" fillId="4" borderId="4" xfId="0" applyNumberFormat="1" applyFont="1" applyFill="1" applyBorder="1" applyAlignment="1">
      <alignment horizontal="center"/>
    </xf>
    <xf numFmtId="0" fontId="3" fillId="0" borderId="0" xfId="0" applyFont="1"/>
    <xf numFmtId="0" fontId="2" fillId="3" borderId="0" xfId="0" applyFont="1" applyFill="1"/>
    <xf numFmtId="0" fontId="2" fillId="3" borderId="5" xfId="0" applyFont="1" applyFill="1" applyBorder="1"/>
    <xf numFmtId="0" fontId="3" fillId="0" borderId="5" xfId="0" applyFont="1" applyBorder="1"/>
    <xf numFmtId="3" fontId="2" fillId="3" borderId="2" xfId="0" applyNumberFormat="1" applyFont="1" applyFill="1" applyBorder="1"/>
    <xf numFmtId="3" fontId="2" fillId="3" borderId="4" xfId="0" applyNumberFormat="1" applyFont="1" applyFill="1" applyBorder="1"/>
    <xf numFmtId="3" fontId="2" fillId="3" borderId="5" xfId="0" applyNumberFormat="1" applyFont="1" applyFill="1" applyBorder="1"/>
    <xf numFmtId="9" fontId="4" fillId="5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1" fontId="4" fillId="5" borderId="0" xfId="0" applyNumberFormat="1" applyFont="1" applyFill="1" applyAlignment="1">
      <alignment horizontal="right"/>
    </xf>
    <xf numFmtId="165" fontId="4" fillId="5" borderId="0" xfId="0" applyNumberFormat="1" applyFont="1" applyFill="1" applyAlignment="1">
      <alignment horizontal="right"/>
    </xf>
    <xf numFmtId="164" fontId="6" fillId="5" borderId="2" xfId="0" applyNumberFormat="1" applyFont="1" applyFill="1" applyBorder="1" applyAlignment="1">
      <alignment horizontal="right"/>
    </xf>
    <xf numFmtId="164" fontId="6" fillId="5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0" fontId="7" fillId="6" borderId="2" xfId="0" applyFont="1" applyFill="1" applyBorder="1"/>
    <xf numFmtId="0" fontId="8" fillId="6" borderId="4" xfId="0" applyFont="1" applyFill="1" applyBorder="1"/>
    <xf numFmtId="0" fontId="3" fillId="0" borderId="6" xfId="0" applyFont="1" applyBorder="1"/>
    <xf numFmtId="0" fontId="7" fillId="6" borderId="4" xfId="0" applyFont="1" applyFill="1" applyBorder="1" applyAlignment="1">
      <alignment horizontal="center"/>
    </xf>
    <xf numFmtId="0" fontId="3" fillId="5" borderId="2" xfId="0" applyFont="1" applyFill="1" applyBorder="1"/>
    <xf numFmtId="3" fontId="3" fillId="5" borderId="4" xfId="0" applyNumberFormat="1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right"/>
    </xf>
    <xf numFmtId="1" fontId="3" fillId="0" borderId="6" xfId="0" applyNumberFormat="1" applyFont="1" applyBorder="1"/>
    <xf numFmtId="0" fontId="4" fillId="2" borderId="4" xfId="0" applyFont="1" applyFill="1" applyBorder="1"/>
    <xf numFmtId="9" fontId="4" fillId="7" borderId="4" xfId="0" applyNumberFormat="1" applyFont="1" applyFill="1" applyBorder="1" applyAlignment="1">
      <alignment horizontal="right"/>
    </xf>
    <xf numFmtId="9" fontId="4" fillId="2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164" fontId="9" fillId="5" borderId="0" xfId="0" applyNumberFormat="1" applyFont="1" applyFill="1" applyAlignment="1">
      <alignment horizontal="center" vertical="center"/>
    </xf>
    <xf numFmtId="9" fontId="4" fillId="10" borderId="4" xfId="0" applyNumberFormat="1" applyFont="1" applyFill="1" applyBorder="1" applyAlignment="1">
      <alignment horizontal="right"/>
    </xf>
    <xf numFmtId="0" fontId="0" fillId="0" borderId="0" xfId="0"/>
    <xf numFmtId="0" fontId="3" fillId="5" borderId="7" xfId="0" applyFont="1" applyFill="1" applyBorder="1"/>
    <xf numFmtId="3" fontId="3" fillId="5" borderId="6" xfId="0" applyNumberFormat="1" applyFont="1" applyFill="1" applyBorder="1" applyAlignment="1">
      <alignment horizontal="right"/>
    </xf>
    <xf numFmtId="1" fontId="3" fillId="5" borderId="6" xfId="0" applyNumberFormat="1" applyFont="1" applyFill="1" applyBorder="1" applyAlignment="1">
      <alignment horizontal="right"/>
    </xf>
    <xf numFmtId="0" fontId="3" fillId="0" borderId="4" xfId="0" applyFont="1" applyBorder="1"/>
    <xf numFmtId="165" fontId="3" fillId="0" borderId="4" xfId="0" applyNumberFormat="1" applyFont="1" applyBorder="1" applyAlignment="1">
      <alignment horizontal="right"/>
    </xf>
    <xf numFmtId="1" fontId="4" fillId="7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11" borderId="4" xfId="0" applyNumberFormat="1" applyFont="1" applyFill="1" applyBorder="1" applyAlignment="1">
      <alignment horizontal="center"/>
    </xf>
    <xf numFmtId="3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0" fontId="7" fillId="6" borderId="4" xfId="0" applyFont="1" applyFill="1" applyBorder="1"/>
    <xf numFmtId="0" fontId="4" fillId="8" borderId="4" xfId="0" applyFont="1" applyFill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9" fontId="3" fillId="5" borderId="4" xfId="0" applyNumberFormat="1" applyFont="1" applyFill="1" applyBorder="1" applyAlignment="1">
      <alignment horizontal="right"/>
    </xf>
    <xf numFmtId="0" fontId="7" fillId="6" borderId="1" xfId="0" applyFont="1" applyFill="1" applyBorder="1"/>
    <xf numFmtId="1" fontId="4" fillId="2" borderId="4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3" fillId="0" borderId="4" xfId="0" applyFont="1" applyBorder="1" applyAlignment="1">
      <alignment horizontal="right"/>
    </xf>
    <xf numFmtId="165" fontId="3" fillId="12" borderId="4" xfId="0" applyNumberFormat="1" applyFont="1" applyFill="1" applyBorder="1" applyAlignment="1">
      <alignment horizontal="right"/>
    </xf>
    <xf numFmtId="0" fontId="3" fillId="0" borderId="1" xfId="0" applyFont="1" applyBorder="1"/>
    <xf numFmtId="0" fontId="10" fillId="0" borderId="2" xfId="0" applyFont="1" applyBorder="1"/>
    <xf numFmtId="9" fontId="3" fillId="0" borderId="4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65" fontId="3" fillId="8" borderId="4" xfId="0" applyNumberFormat="1" applyFont="1" applyFill="1" applyBorder="1" applyAlignment="1">
      <alignment horizontal="right"/>
    </xf>
    <xf numFmtId="9" fontId="10" fillId="0" borderId="4" xfId="0" applyNumberFormat="1" applyFont="1" applyBorder="1" applyAlignment="1">
      <alignment horizontal="right"/>
    </xf>
    <xf numFmtId="1" fontId="3" fillId="0" borderId="4" xfId="0" applyNumberFormat="1" applyFont="1" applyBorder="1"/>
    <xf numFmtId="165" fontId="3" fillId="13" borderId="4" xfId="0" applyNumberFormat="1" applyFont="1" applyFill="1" applyBorder="1" applyAlignment="1">
      <alignment horizontal="right"/>
    </xf>
    <xf numFmtId="165" fontId="3" fillId="14" borderId="4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5" fontId="3" fillId="15" borderId="4" xfId="0" applyNumberFormat="1" applyFont="1" applyFill="1" applyBorder="1" applyAlignment="1">
      <alignment horizontal="right"/>
    </xf>
    <xf numFmtId="0" fontId="8" fillId="6" borderId="2" xfId="0" applyFont="1" applyFill="1" applyBorder="1"/>
    <xf numFmtId="9" fontId="3" fillId="2" borderId="4" xfId="0" applyNumberFormat="1" applyFont="1" applyFill="1" applyBorder="1" applyAlignment="1">
      <alignment horizontal="right"/>
    </xf>
    <xf numFmtId="165" fontId="3" fillId="16" borderId="4" xfId="0" applyNumberFormat="1" applyFont="1" applyFill="1" applyBorder="1" applyAlignment="1">
      <alignment horizontal="right"/>
    </xf>
    <xf numFmtId="1" fontId="3" fillId="8" borderId="4" xfId="0" applyNumberFormat="1" applyFont="1" applyFill="1" applyBorder="1" applyAlignment="1">
      <alignment horizontal="right"/>
    </xf>
    <xf numFmtId="2" fontId="3" fillId="8" borderId="4" xfId="0" applyNumberFormat="1" applyFont="1" applyFill="1" applyBorder="1" applyAlignment="1">
      <alignment horizontal="right"/>
    </xf>
    <xf numFmtId="9" fontId="3" fillId="17" borderId="4" xfId="0" applyNumberFormat="1" applyFont="1" applyFill="1" applyBorder="1" applyAlignment="1">
      <alignment horizontal="right"/>
    </xf>
    <xf numFmtId="0" fontId="3" fillId="18" borderId="4" xfId="0" applyFont="1" applyFill="1" applyBorder="1" applyAlignment="1">
      <alignment horizontal="right"/>
    </xf>
    <xf numFmtId="0" fontId="3" fillId="19" borderId="4" xfId="0" applyFont="1" applyFill="1" applyBorder="1" applyAlignment="1">
      <alignment horizontal="right"/>
    </xf>
    <xf numFmtId="1" fontId="3" fillId="20" borderId="4" xfId="0" applyNumberFormat="1" applyFont="1" applyFill="1" applyBorder="1" applyAlignment="1">
      <alignment horizontal="right"/>
    </xf>
    <xf numFmtId="0" fontId="3" fillId="8" borderId="4" xfId="0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6" fontId="3" fillId="16" borderId="4" xfId="0" applyNumberFormat="1" applyFont="1" applyFill="1" applyBorder="1" applyAlignment="1">
      <alignment horizontal="right"/>
    </xf>
    <xf numFmtId="0" fontId="11" fillId="0" borderId="0" xfId="0" applyFont="1"/>
    <xf numFmtId="0" fontId="3" fillId="2" borderId="2" xfId="0" applyFont="1" applyFill="1" applyBorder="1"/>
    <xf numFmtId="0" fontId="3" fillId="21" borderId="4" xfId="0" applyFont="1" applyFill="1" applyBorder="1" applyAlignment="1">
      <alignment horizontal="right"/>
    </xf>
    <xf numFmtId="1" fontId="3" fillId="22" borderId="4" xfId="0" applyNumberFormat="1" applyFont="1" applyFill="1" applyBorder="1" applyAlignment="1">
      <alignment horizontal="right"/>
    </xf>
    <xf numFmtId="2" fontId="3" fillId="23" borderId="4" xfId="0" applyNumberFormat="1" applyFont="1" applyFill="1" applyBorder="1" applyAlignment="1">
      <alignment horizontal="right"/>
    </xf>
    <xf numFmtId="0" fontId="3" fillId="24" borderId="4" xfId="0" applyFont="1" applyFill="1" applyBorder="1" applyAlignment="1">
      <alignment horizontal="right"/>
    </xf>
    <xf numFmtId="0" fontId="3" fillId="25" borderId="4" xfId="0" applyFont="1" applyFill="1" applyBorder="1" applyAlignment="1">
      <alignment horizontal="right"/>
    </xf>
    <xf numFmtId="0" fontId="12" fillId="0" borderId="4" xfId="0" applyFont="1" applyBorder="1"/>
    <xf numFmtId="9" fontId="3" fillId="8" borderId="4" xfId="0" applyNumberFormat="1" applyFont="1" applyFill="1" applyBorder="1" applyAlignment="1">
      <alignment horizontal="right"/>
    </xf>
    <xf numFmtId="9" fontId="3" fillId="26" borderId="4" xfId="0" applyNumberFormat="1" applyFont="1" applyFill="1" applyBorder="1" applyAlignment="1">
      <alignment horizontal="right"/>
    </xf>
    <xf numFmtId="0" fontId="1" fillId="0" borderId="0" xfId="0" applyFont="1"/>
    <xf numFmtId="9" fontId="1" fillId="0" borderId="0" xfId="0" applyNumberFormat="1" applyFont="1"/>
    <xf numFmtId="0" fontId="3" fillId="27" borderId="4" xfId="0" applyFont="1" applyFill="1" applyBorder="1" applyAlignment="1">
      <alignment horizontal="right"/>
    </xf>
    <xf numFmtId="1" fontId="3" fillId="28" borderId="4" xfId="0" applyNumberFormat="1" applyFont="1" applyFill="1" applyBorder="1" applyAlignment="1">
      <alignment horizontal="right"/>
    </xf>
    <xf numFmtId="1" fontId="3" fillId="29" borderId="4" xfId="0" applyNumberFormat="1" applyFont="1" applyFill="1" applyBorder="1" applyAlignment="1">
      <alignment horizontal="right"/>
    </xf>
    <xf numFmtId="0" fontId="3" fillId="30" borderId="4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right"/>
    </xf>
    <xf numFmtId="1" fontId="3" fillId="31" borderId="4" xfId="0" applyNumberFormat="1" applyFont="1" applyFill="1" applyBorder="1" applyAlignment="1">
      <alignment horizontal="right"/>
    </xf>
    <xf numFmtId="1" fontId="3" fillId="32" borderId="4" xfId="0" applyNumberFormat="1" applyFont="1" applyFill="1" applyBorder="1" applyAlignment="1">
      <alignment horizontal="right"/>
    </xf>
    <xf numFmtId="0" fontId="3" fillId="28" borderId="4" xfId="0" applyFont="1" applyFill="1" applyBorder="1" applyAlignment="1">
      <alignment horizontal="right"/>
    </xf>
    <xf numFmtId="0" fontId="3" fillId="33" borderId="4" xfId="0" applyFont="1" applyFill="1" applyBorder="1" applyAlignment="1">
      <alignment horizontal="right"/>
    </xf>
    <xf numFmtId="1" fontId="3" fillId="34" borderId="4" xfId="0" applyNumberFormat="1" applyFont="1" applyFill="1" applyBorder="1" applyAlignment="1">
      <alignment horizontal="right"/>
    </xf>
    <xf numFmtId="1" fontId="3" fillId="35" borderId="4" xfId="0" applyNumberFormat="1" applyFont="1" applyFill="1" applyBorder="1" applyAlignment="1">
      <alignment horizontal="right"/>
    </xf>
    <xf numFmtId="9" fontId="3" fillId="36" borderId="4" xfId="0" applyNumberFormat="1" applyFont="1" applyFill="1" applyBorder="1" applyAlignment="1">
      <alignment horizontal="right"/>
    </xf>
    <xf numFmtId="9" fontId="3" fillId="37" borderId="4" xfId="0" applyNumberFormat="1" applyFont="1" applyFill="1" applyBorder="1"/>
    <xf numFmtId="0" fontId="3" fillId="37" borderId="4" xfId="0" applyFont="1" applyFill="1" applyBorder="1"/>
    <xf numFmtId="0" fontId="3" fillId="38" borderId="4" xfId="0" applyFont="1" applyFill="1" applyBorder="1" applyAlignment="1">
      <alignment horizontal="right"/>
    </xf>
    <xf numFmtId="0" fontId="3" fillId="39" borderId="1" xfId="0" applyFont="1" applyFill="1" applyBorder="1" applyAlignment="1">
      <alignment horizontal="right"/>
    </xf>
    <xf numFmtId="1" fontId="3" fillId="40" borderId="1" xfId="0" applyNumberFormat="1" applyFont="1" applyFill="1" applyBorder="1" applyAlignment="1">
      <alignment horizontal="right"/>
    </xf>
    <xf numFmtId="1" fontId="3" fillId="41" borderId="1" xfId="0" applyNumberFormat="1" applyFont="1" applyFill="1" applyBorder="1" applyAlignment="1">
      <alignment horizontal="right"/>
    </xf>
    <xf numFmtId="9" fontId="3" fillId="36" borderId="1" xfId="0" applyNumberFormat="1" applyFont="1" applyFill="1" applyBorder="1" applyAlignment="1">
      <alignment horizontal="right"/>
    </xf>
    <xf numFmtId="9" fontId="3" fillId="37" borderId="1" xfId="0" applyNumberFormat="1" applyFont="1" applyFill="1" applyBorder="1"/>
    <xf numFmtId="0" fontId="3" fillId="37" borderId="1" xfId="0" applyFont="1" applyFill="1" applyBorder="1"/>
    <xf numFmtId="0" fontId="3" fillId="42" borderId="1" xfId="0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2" fillId="0" borderId="1" xfId="0" applyFont="1" applyBorder="1"/>
    <xf numFmtId="0" fontId="1" fillId="0" borderId="1" xfId="0" applyFont="1" applyBorder="1"/>
    <xf numFmtId="1" fontId="10" fillId="43" borderId="1" xfId="0" applyNumberFormat="1" applyFont="1" applyFill="1" applyBorder="1" applyAlignment="1">
      <alignment horizontal="right"/>
    </xf>
    <xf numFmtId="0" fontId="10" fillId="43" borderId="1" xfId="0" applyFont="1" applyFill="1" applyBorder="1"/>
    <xf numFmtId="0" fontId="7" fillId="0" borderId="0" xfId="0" applyFont="1"/>
    <xf numFmtId="0" fontId="12" fillId="0" borderId="0" xfId="0" applyFont="1"/>
    <xf numFmtId="9" fontId="3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right"/>
    </xf>
    <xf numFmtId="9" fontId="10" fillId="0" borderId="0" xfId="0" applyNumberFormat="1" applyFont="1" applyAlignment="1">
      <alignment horizontal="right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34</xdr:row>
      <xdr:rowOff>-38100</xdr:rowOff>
    </xdr:from>
    <xdr:ext cx="5934075" cy="59340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6C85F26-8EBB-4A2B-9F28-D13568F2E4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6606540"/>
          <a:ext cx="5934075" cy="5934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7CBA-0B74-4522-8643-D07EF67F1F21}">
  <sheetPr>
    <outlinePr summaryBelow="0" summaryRight="0"/>
  </sheetPr>
  <dimension ref="A1:AB101"/>
  <sheetViews>
    <sheetView showGridLines="0" tabSelected="1" workbookViewId="0"/>
  </sheetViews>
  <sheetFormatPr defaultColWidth="12.6640625" defaultRowHeight="15.75" customHeight="1" x14ac:dyDescent="0.3"/>
  <cols>
    <col min="1" max="1" width="7.88671875" customWidth="1"/>
  </cols>
  <sheetData>
    <row r="1" spans="1:28" ht="14.4" x14ac:dyDescent="0.3">
      <c r="A1" s="1"/>
      <c r="B1" s="2" t="s">
        <v>0</v>
      </c>
      <c r="C1" s="3"/>
      <c r="D1" s="3"/>
      <c r="E1" s="2" t="s">
        <v>1</v>
      </c>
      <c r="F1" s="3"/>
      <c r="G1" s="3"/>
      <c r="H1" s="3"/>
      <c r="J1" s="2" t="s">
        <v>2</v>
      </c>
      <c r="K1" s="3"/>
      <c r="L1" s="3"/>
      <c r="M1" s="3"/>
      <c r="N1" s="3"/>
      <c r="O1" s="3"/>
      <c r="P1" s="3"/>
      <c r="Q1" s="3"/>
      <c r="R1" s="3"/>
      <c r="S1" s="2" t="s">
        <v>3</v>
      </c>
      <c r="U1" s="1"/>
      <c r="V1" s="1"/>
      <c r="W1" s="1"/>
      <c r="X1" s="1"/>
      <c r="Y1" s="1"/>
      <c r="Z1" s="1"/>
      <c r="AA1" s="1"/>
      <c r="AB1" s="1"/>
    </row>
    <row r="2" spans="1:28" ht="14.4" x14ac:dyDescent="0.3">
      <c r="A2" s="4" t="s">
        <v>4</v>
      </c>
      <c r="B2" s="2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6" t="s">
        <v>22</v>
      </c>
      <c r="T2" s="2" t="s">
        <v>23</v>
      </c>
      <c r="U2" s="7" t="s">
        <v>24</v>
      </c>
      <c r="V2" s="8" t="s">
        <v>25</v>
      </c>
      <c r="W2" s="8" t="s">
        <v>26</v>
      </c>
    </row>
    <row r="3" spans="1:28" ht="15.75" customHeight="1" x14ac:dyDescent="0.3">
      <c r="B3" s="9" t="s">
        <v>27</v>
      </c>
      <c r="C3" s="10">
        <f ca="1">IFERROR(__xludf.DUMMYFUNCTION("GOOGLEFINANCE(""NSE:""&amp;B3,""PRICE"")"),2071)</f>
        <v>2071</v>
      </c>
      <c r="D3" s="10">
        <f ca="1">IFERROR(__xludf.DUMMYFUNCTION("GOOGLEFINANCE(""NSE:""&amp;B3,""MARKETCAP"")/10000000"),11266.954495)</f>
        <v>11266.954495</v>
      </c>
      <c r="E3" s="11">
        <f t="shared" ref="E3:G4" si="0">C28</f>
        <v>379</v>
      </c>
      <c r="F3" s="11">
        <f t="shared" si="0"/>
        <v>134</v>
      </c>
      <c r="G3" s="11">
        <f t="shared" si="0"/>
        <v>24.78</v>
      </c>
      <c r="H3" s="12">
        <v>2</v>
      </c>
      <c r="I3" s="13">
        <v>1373</v>
      </c>
      <c r="J3" s="14">
        <v>10.8</v>
      </c>
      <c r="K3" s="12">
        <v>660</v>
      </c>
      <c r="L3" s="12">
        <v>18.399999999999999</v>
      </c>
      <c r="M3" s="12">
        <f>5.1+2.2</f>
        <v>7.3</v>
      </c>
      <c r="N3" s="14">
        <v>434</v>
      </c>
      <c r="O3" s="14">
        <v>119</v>
      </c>
      <c r="P3" s="14">
        <v>792</v>
      </c>
      <c r="Q3" s="14">
        <v>132</v>
      </c>
      <c r="R3" s="14">
        <v>105</v>
      </c>
      <c r="S3" s="15">
        <v>27</v>
      </c>
      <c r="T3" s="16">
        <v>76</v>
      </c>
      <c r="U3" s="17">
        <v>-59</v>
      </c>
      <c r="V3" s="17">
        <v>-20</v>
      </c>
      <c r="W3" s="17">
        <f t="shared" ref="W3:W4" si="1">SUM(T3:V3)</f>
        <v>-3</v>
      </c>
    </row>
    <row r="4" spans="1:28" ht="15.75" customHeight="1" x14ac:dyDescent="0.3">
      <c r="B4" s="18" t="s">
        <v>28</v>
      </c>
      <c r="C4" s="12">
        <v>1870</v>
      </c>
      <c r="D4" s="14">
        <f ca="1">C4*D3/C3</f>
        <v>10173.445150000001</v>
      </c>
      <c r="E4" s="12">
        <f t="shared" si="0"/>
        <v>281</v>
      </c>
      <c r="F4" s="12">
        <f t="shared" si="0"/>
        <v>107</v>
      </c>
      <c r="G4" s="19">
        <f t="shared" si="0"/>
        <v>20.38</v>
      </c>
      <c r="H4" s="12">
        <v>2</v>
      </c>
      <c r="I4" s="13">
        <v>918</v>
      </c>
      <c r="J4" s="12">
        <v>10.7</v>
      </c>
      <c r="K4" s="12">
        <v>543</v>
      </c>
      <c r="L4" s="20">
        <f>16+7.4</f>
        <v>23.4</v>
      </c>
      <c r="M4" s="12">
        <f>4.6+1.5</f>
        <v>6.1</v>
      </c>
      <c r="N4" s="12">
        <v>441</v>
      </c>
      <c r="O4" s="12">
        <v>114</v>
      </c>
      <c r="P4" s="12">
        <v>671</v>
      </c>
      <c r="Q4" s="12">
        <v>128</v>
      </c>
      <c r="R4" s="12">
        <v>58</v>
      </c>
      <c r="S4" s="15">
        <v>15</v>
      </c>
      <c r="T4" s="21">
        <v>90</v>
      </c>
      <c r="U4" s="22">
        <v>-63</v>
      </c>
      <c r="V4" s="22">
        <v>8</v>
      </c>
      <c r="W4" s="22">
        <f t="shared" si="1"/>
        <v>35</v>
      </c>
    </row>
    <row r="5" spans="1:28" ht="15.75" customHeight="1" x14ac:dyDescent="0.3">
      <c r="B5" s="18" t="s">
        <v>29</v>
      </c>
      <c r="C5" s="23">
        <f t="shared" ref="C5:W5" ca="1" si="2">(C3/C4)-1</f>
        <v>0.10748663101604272</v>
      </c>
      <c r="D5" s="23">
        <f t="shared" ca="1" si="2"/>
        <v>0.10748663101604272</v>
      </c>
      <c r="E5" s="23">
        <f t="shared" si="2"/>
        <v>0.3487544483985765</v>
      </c>
      <c r="F5" s="23">
        <f t="shared" si="2"/>
        <v>0.25233644859813076</v>
      </c>
      <c r="G5" s="23">
        <f t="shared" si="2"/>
        <v>0.21589793915603539</v>
      </c>
      <c r="H5" s="23">
        <f t="shared" si="2"/>
        <v>0</v>
      </c>
      <c r="I5" s="24">
        <f t="shared" si="2"/>
        <v>0.49564270152505441</v>
      </c>
      <c r="J5" s="23">
        <f t="shared" si="2"/>
        <v>9.3457943925234765E-3</v>
      </c>
      <c r="K5" s="23">
        <f t="shared" si="2"/>
        <v>0.21546961325966851</v>
      </c>
      <c r="L5" s="23">
        <f t="shared" si="2"/>
        <v>-0.21367521367521369</v>
      </c>
      <c r="M5" s="23">
        <f t="shared" si="2"/>
        <v>0.19672131147540983</v>
      </c>
      <c r="N5" s="23">
        <f t="shared" si="2"/>
        <v>-1.5873015873015928E-2</v>
      </c>
      <c r="O5" s="23">
        <f t="shared" si="2"/>
        <v>4.3859649122806932E-2</v>
      </c>
      <c r="P5" s="23">
        <f t="shared" si="2"/>
        <v>0.18032786885245899</v>
      </c>
      <c r="Q5" s="23">
        <f t="shared" si="2"/>
        <v>3.125E-2</v>
      </c>
      <c r="R5" s="23">
        <f t="shared" si="2"/>
        <v>0.81034482758620685</v>
      </c>
      <c r="S5" s="24">
        <f t="shared" si="2"/>
        <v>0.8</v>
      </c>
      <c r="T5" s="25">
        <f t="shared" si="2"/>
        <v>-0.15555555555555556</v>
      </c>
      <c r="U5" s="26">
        <f t="shared" si="2"/>
        <v>-6.3492063492063489E-2</v>
      </c>
      <c r="V5" s="26">
        <f t="shared" si="2"/>
        <v>-3.5</v>
      </c>
      <c r="W5" s="26">
        <f t="shared" si="2"/>
        <v>-1.0857142857142856</v>
      </c>
    </row>
    <row r="6" spans="1:28" ht="15.75" customHeigh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8" ht="15.75" customHeight="1" x14ac:dyDescent="0.3">
      <c r="B7" s="28" t="s">
        <v>30</v>
      </c>
      <c r="C7" s="28" t="s">
        <v>31</v>
      </c>
      <c r="D7" s="27"/>
      <c r="E7" s="27"/>
      <c r="F7" s="28" t="s">
        <v>32</v>
      </c>
      <c r="G7" s="27"/>
      <c r="H7" s="27"/>
      <c r="I7" s="28" t="s">
        <v>33</v>
      </c>
      <c r="J7" s="27"/>
      <c r="K7" s="27"/>
      <c r="L7" s="28" t="s">
        <v>34</v>
      </c>
      <c r="M7" s="27"/>
      <c r="N7" s="27"/>
      <c r="O7" s="27"/>
      <c r="P7" s="27"/>
      <c r="Q7" s="29" t="s">
        <v>3</v>
      </c>
      <c r="R7" s="30"/>
      <c r="S7" s="30"/>
    </row>
    <row r="8" spans="1:28" ht="14.4" x14ac:dyDescent="0.3">
      <c r="B8" s="28" t="s">
        <v>35</v>
      </c>
      <c r="C8" s="28" t="s">
        <v>36</v>
      </c>
      <c r="D8" s="28" t="s">
        <v>37</v>
      </c>
      <c r="E8" s="28" t="s">
        <v>38</v>
      </c>
      <c r="F8" s="28" t="s">
        <v>39</v>
      </c>
      <c r="G8" s="28" t="s">
        <v>40</v>
      </c>
      <c r="H8" s="28" t="s">
        <v>41</v>
      </c>
      <c r="I8" s="28" t="s">
        <v>42</v>
      </c>
      <c r="J8" s="28" t="s">
        <v>43</v>
      </c>
      <c r="K8" s="28" t="s">
        <v>44</v>
      </c>
      <c r="L8" s="28" t="s">
        <v>45</v>
      </c>
      <c r="M8" s="28" t="s">
        <v>46</v>
      </c>
      <c r="N8" s="28" t="s">
        <v>47</v>
      </c>
      <c r="O8" s="28" t="s">
        <v>48</v>
      </c>
      <c r="P8" s="28" t="s">
        <v>49</v>
      </c>
      <c r="Q8" s="31" t="s">
        <v>50</v>
      </c>
      <c r="R8" s="32" t="s">
        <v>51</v>
      </c>
      <c r="S8" s="33" t="s">
        <v>52</v>
      </c>
    </row>
    <row r="9" spans="1:28" ht="15.75" customHeight="1" x14ac:dyDescent="0.3">
      <c r="B9" s="34">
        <f>Q20</f>
        <v>0.13483146067415741</v>
      </c>
      <c r="C9" s="34">
        <f>O26</f>
        <v>0.35643564356435642</v>
      </c>
      <c r="D9" s="35">
        <f>N3/O3</f>
        <v>3.6470588235294117</v>
      </c>
      <c r="E9" s="36">
        <f>(R3/E3)*365</f>
        <v>101.12137203166228</v>
      </c>
      <c r="F9" s="34">
        <f>L3/(J3+K3)</f>
        <v>2.7429934406678593E-2</v>
      </c>
      <c r="G9" s="34">
        <f>Q3/P3</f>
        <v>0.16666666666666666</v>
      </c>
      <c r="H9" s="37">
        <f>O27</f>
        <v>59.730158730158735</v>
      </c>
      <c r="I9" s="34">
        <f>F3/(K3+J3)</f>
        <v>0.19976147883124629</v>
      </c>
      <c r="J9" s="38" t="e">
        <f>#REF!/(P3-O3)</f>
        <v>#REF!</v>
      </c>
      <c r="K9" s="34">
        <f>F3/P3</f>
        <v>0.1691919191919192</v>
      </c>
      <c r="L9" s="10">
        <f ca="1">C3/G3</f>
        <v>83.575464083938655</v>
      </c>
      <c r="M9" s="38">
        <f ca="1">G3/C3</f>
        <v>1.196523418638339E-2</v>
      </c>
      <c r="N9" s="37">
        <f>(J3+K3)/(J3/H3)</f>
        <v>124.2222222222222</v>
      </c>
      <c r="O9" s="35">
        <f ca="1">C3/N9</f>
        <v>16.671735241502688</v>
      </c>
      <c r="P9" s="35">
        <f ca="1">R12</f>
        <v>3.2873015873015872</v>
      </c>
      <c r="Q9" s="39">
        <f>T3-O3</f>
        <v>-43</v>
      </c>
      <c r="R9" s="40">
        <f>T3-L3</f>
        <v>57.6</v>
      </c>
      <c r="S9" s="41">
        <f>T3-S3</f>
        <v>49</v>
      </c>
    </row>
    <row r="10" spans="1:28" ht="15.75" customHeight="1" x14ac:dyDescent="0.3">
      <c r="B10" s="30"/>
      <c r="C10" s="30"/>
      <c r="D10" s="30"/>
      <c r="E10" s="30"/>
      <c r="F10" s="30"/>
      <c r="G10" s="27"/>
      <c r="H10" s="30"/>
      <c r="I10" s="30"/>
      <c r="J10" s="30"/>
      <c r="K10" s="30"/>
      <c r="L10" s="30"/>
      <c r="M10" s="30"/>
      <c r="N10" s="27"/>
      <c r="O10" s="30"/>
      <c r="P10" s="30"/>
      <c r="Q10" s="30"/>
      <c r="R10" s="30"/>
      <c r="S10" s="27"/>
    </row>
    <row r="11" spans="1:28" ht="15.75" customHeight="1" x14ac:dyDescent="0.35">
      <c r="B11" s="42" t="s">
        <v>53</v>
      </c>
      <c r="C11" s="43" t="s">
        <v>8</v>
      </c>
      <c r="D11" s="43" t="s">
        <v>9</v>
      </c>
      <c r="E11" s="43" t="s">
        <v>54</v>
      </c>
      <c r="F11" s="43" t="s">
        <v>55</v>
      </c>
      <c r="G11" s="44"/>
      <c r="H11" s="43" t="s">
        <v>56</v>
      </c>
      <c r="I11" s="43" t="s">
        <v>57</v>
      </c>
      <c r="J11" s="43" t="s">
        <v>58</v>
      </c>
      <c r="K11" s="43" t="s">
        <v>59</v>
      </c>
      <c r="L11" s="43" t="s">
        <v>60</v>
      </c>
      <c r="M11" s="43" t="s">
        <v>61</v>
      </c>
      <c r="N11" s="44"/>
      <c r="O11" s="45" t="s">
        <v>62</v>
      </c>
      <c r="P11" s="45" t="s">
        <v>63</v>
      </c>
      <c r="Q11" s="45" t="s">
        <v>64</v>
      </c>
      <c r="R11" s="45" t="s">
        <v>65</v>
      </c>
      <c r="S11" s="27"/>
    </row>
    <row r="12" spans="1:28" ht="15.75" customHeight="1" x14ac:dyDescent="0.3">
      <c r="B12" s="46" t="s">
        <v>66</v>
      </c>
      <c r="C12" s="47">
        <f t="shared" ref="C12:E12" si="3">FV(20%,5,0,-C13,0)</f>
        <v>3453.6374999999998</v>
      </c>
      <c r="D12" s="47">
        <f t="shared" si="3"/>
        <v>1268.0805827402135</v>
      </c>
      <c r="E12" s="47">
        <f t="shared" si="3"/>
        <v>234.83513296847372</v>
      </c>
      <c r="F12" s="48">
        <f>E12*35</f>
        <v>8219.2296538965802</v>
      </c>
      <c r="G12" s="49"/>
      <c r="H12" s="50" t="s">
        <v>67</v>
      </c>
      <c r="I12" s="51">
        <v>0.27700000000000002</v>
      </c>
      <c r="J12" s="51">
        <v>0.30099999999999999</v>
      </c>
      <c r="K12" s="51">
        <v>0.34899999999999998</v>
      </c>
      <c r="L12" s="51">
        <v>0.13500000000000001</v>
      </c>
      <c r="M12" s="52">
        <v>0.2</v>
      </c>
      <c r="N12" s="44"/>
      <c r="O12" s="53">
        <v>24.78</v>
      </c>
      <c r="P12" s="54">
        <v>25.5</v>
      </c>
      <c r="Q12" s="55">
        <v>30</v>
      </c>
      <c r="R12" s="56">
        <f ca="1">Q14/21</f>
        <v>3.2873015873015872</v>
      </c>
      <c r="S12" s="27"/>
    </row>
    <row r="13" spans="1:28" ht="15.75" customHeight="1" x14ac:dyDescent="0.35">
      <c r="B13" s="46" t="s">
        <v>68</v>
      </c>
      <c r="C13" s="47">
        <f>FV(C19,5,0,-C14,0)</f>
        <v>1387.939453125</v>
      </c>
      <c r="D13" s="47">
        <f>C13*F19</f>
        <v>509.61314571285584</v>
      </c>
      <c r="E13" s="47">
        <f>(D13*E14)/D14</f>
        <v>94.37497306153297</v>
      </c>
      <c r="F13" s="48">
        <f>E13*40</f>
        <v>3774.9989224613187</v>
      </c>
      <c r="G13" s="44"/>
      <c r="H13" s="50" t="s">
        <v>69</v>
      </c>
      <c r="I13" s="57">
        <v>0.32700000000000001</v>
      </c>
      <c r="J13" s="57">
        <v>0.215</v>
      </c>
      <c r="K13" s="57">
        <v>0.252</v>
      </c>
      <c r="L13" s="57">
        <v>0.125</v>
      </c>
      <c r="M13" s="52">
        <v>0.21</v>
      </c>
      <c r="N13" s="44"/>
      <c r="O13" s="45" t="s">
        <v>70</v>
      </c>
      <c r="P13" s="45" t="s">
        <v>71</v>
      </c>
      <c r="Q13" s="45" t="s">
        <v>72</v>
      </c>
      <c r="R13" s="58"/>
      <c r="S13" s="27"/>
    </row>
    <row r="14" spans="1:28" ht="15.75" customHeight="1" x14ac:dyDescent="0.3">
      <c r="B14" s="59" t="s">
        <v>73</v>
      </c>
      <c r="C14" s="60">
        <f>FV(C18,1,0,-C28,0)</f>
        <v>454.8</v>
      </c>
      <c r="D14" s="60">
        <f>C14*F18</f>
        <v>161.90879999999999</v>
      </c>
      <c r="E14" s="60">
        <f>FV(E18,1,0,-E28,0)</f>
        <v>29.983800000000002</v>
      </c>
      <c r="F14" s="61">
        <f>E14*45</f>
        <v>1349.2710000000002</v>
      </c>
      <c r="G14" s="44"/>
      <c r="H14" s="62" t="s">
        <v>74</v>
      </c>
      <c r="I14" s="63">
        <v>0.36099999999999999</v>
      </c>
      <c r="J14" s="63">
        <v>0.35299999999999998</v>
      </c>
      <c r="K14" s="63">
        <v>0.35399999999999998</v>
      </c>
      <c r="L14" s="63">
        <v>0.35599999999999998</v>
      </c>
      <c r="M14" s="63">
        <v>0.35599999999999998</v>
      </c>
      <c r="N14" s="44"/>
      <c r="O14" s="64">
        <f>C4/O12</f>
        <v>75.46408393866021</v>
      </c>
      <c r="P14" s="65">
        <f ca="1">C3/P12</f>
        <v>81.215686274509807</v>
      </c>
      <c r="Q14" s="66">
        <f ca="1">C3/Q12</f>
        <v>69.033333333333331</v>
      </c>
      <c r="R14" s="58"/>
      <c r="S14" s="27"/>
    </row>
    <row r="15" spans="1:28" ht="15.75" customHeight="1" x14ac:dyDescent="0.3">
      <c r="B15" s="27"/>
      <c r="C15" s="67"/>
      <c r="D15" s="67"/>
      <c r="E15" s="67"/>
      <c r="F15" s="68"/>
      <c r="G15" s="27"/>
      <c r="H15" s="30"/>
      <c r="I15" s="30"/>
      <c r="J15" s="30"/>
      <c r="K15" s="30"/>
      <c r="L15" s="30"/>
      <c r="M15" s="30"/>
      <c r="N15" s="27"/>
      <c r="O15" s="27"/>
      <c r="P15" s="27"/>
      <c r="Q15" s="27"/>
      <c r="R15" s="27"/>
      <c r="S15" s="27"/>
    </row>
    <row r="16" spans="1:28" ht="15.75" customHeight="1" x14ac:dyDescent="0.3">
      <c r="B16" s="30"/>
      <c r="C16" s="27"/>
      <c r="D16" s="69"/>
      <c r="E16" s="27"/>
      <c r="F16" s="30"/>
      <c r="G16" s="44"/>
      <c r="H16" s="43" t="s">
        <v>75</v>
      </c>
      <c r="I16" s="43" t="s">
        <v>76</v>
      </c>
      <c r="J16" s="43" t="s">
        <v>77</v>
      </c>
      <c r="K16" s="43" t="s">
        <v>78</v>
      </c>
      <c r="L16" s="43" t="s">
        <v>60</v>
      </c>
      <c r="M16" s="43" t="s">
        <v>79</v>
      </c>
      <c r="N16" s="27"/>
      <c r="O16" s="27"/>
      <c r="P16" s="27"/>
      <c r="Q16" s="27"/>
      <c r="R16" s="27"/>
      <c r="S16" s="27"/>
    </row>
    <row r="17" spans="1:27" ht="15.75" customHeight="1" x14ac:dyDescent="0.35">
      <c r="B17" s="42" t="s">
        <v>80</v>
      </c>
      <c r="C17" s="42" t="s">
        <v>67</v>
      </c>
      <c r="D17" s="42" t="s">
        <v>69</v>
      </c>
      <c r="E17" s="42" t="s">
        <v>54</v>
      </c>
      <c r="F17" s="70" t="s">
        <v>74</v>
      </c>
      <c r="G17" s="44"/>
      <c r="H17" s="43" t="s">
        <v>54</v>
      </c>
      <c r="I17" s="71">
        <v>6.11</v>
      </c>
      <c r="J17" s="71">
        <v>5.69</v>
      </c>
      <c r="K17" s="71">
        <v>7.02</v>
      </c>
      <c r="L17" s="71">
        <v>6.63</v>
      </c>
      <c r="M17" s="72">
        <f>SUM(I17:L17)</f>
        <v>25.45</v>
      </c>
      <c r="N17" s="27"/>
      <c r="O17" s="27"/>
      <c r="P17" s="27"/>
      <c r="Q17" s="27"/>
      <c r="R17" s="27"/>
      <c r="S17" s="27"/>
    </row>
    <row r="18" spans="1:27" ht="15.75" customHeight="1" x14ac:dyDescent="0.3">
      <c r="B18" s="46" t="s">
        <v>81</v>
      </c>
      <c r="C18" s="73">
        <v>0.2</v>
      </c>
      <c r="D18" s="73">
        <f>(D14/D28)-1</f>
        <v>0.20827462686567144</v>
      </c>
      <c r="E18" s="73">
        <v>0.21</v>
      </c>
      <c r="F18" s="73">
        <v>0.35599999999999998</v>
      </c>
      <c r="G18" s="27"/>
      <c r="H18" s="27"/>
      <c r="I18" s="27"/>
      <c r="J18" s="27"/>
      <c r="K18" s="27"/>
      <c r="L18" s="27"/>
      <c r="M18" s="27"/>
      <c r="N18" s="30"/>
      <c r="O18" s="30"/>
      <c r="P18" s="30"/>
      <c r="Q18" s="30"/>
      <c r="R18" s="27"/>
      <c r="S18" s="27"/>
    </row>
    <row r="19" spans="1:27" ht="15.75" customHeight="1" x14ac:dyDescent="0.35">
      <c r="B19" s="46" t="s">
        <v>82</v>
      </c>
      <c r="C19" s="73">
        <v>0.25</v>
      </c>
      <c r="D19" s="73">
        <v>0.25</v>
      </c>
      <c r="E19" s="73">
        <v>0.25</v>
      </c>
      <c r="F19" s="73">
        <f>AVERAGE(F22:F23)</f>
        <v>0.36717246171325552</v>
      </c>
      <c r="G19" s="27"/>
      <c r="H19" s="27"/>
      <c r="I19" s="27"/>
      <c r="J19" s="27"/>
      <c r="K19" s="27"/>
      <c r="L19" s="27"/>
      <c r="M19" s="44"/>
      <c r="N19" s="70" t="s">
        <v>83</v>
      </c>
      <c r="O19" s="70" t="s">
        <v>84</v>
      </c>
      <c r="P19" s="70" t="s">
        <v>85</v>
      </c>
      <c r="Q19" s="70" t="s">
        <v>29</v>
      </c>
      <c r="R19" s="27"/>
      <c r="S19" s="74" t="s">
        <v>83</v>
      </c>
      <c r="T19" s="70" t="s">
        <v>86</v>
      </c>
      <c r="U19" s="70" t="s">
        <v>87</v>
      </c>
      <c r="V19" s="70" t="s">
        <v>29</v>
      </c>
      <c r="X19" s="70" t="s">
        <v>83</v>
      </c>
      <c r="Y19" s="70" t="s">
        <v>88</v>
      </c>
      <c r="Z19" s="70" t="s">
        <v>89</v>
      </c>
      <c r="AA19" s="70" t="s">
        <v>29</v>
      </c>
    </row>
    <row r="20" spans="1:27" ht="15.75" customHeight="1" x14ac:dyDescent="0.3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44"/>
      <c r="N20" s="50" t="s">
        <v>90</v>
      </c>
      <c r="O20" s="75">
        <v>101</v>
      </c>
      <c r="P20" s="75">
        <v>89</v>
      </c>
      <c r="Q20" s="76">
        <f t="shared" ref="Q20:Q25" si="4">(O20/P20)^(1/1)-1</f>
        <v>0.13483146067415741</v>
      </c>
      <c r="R20" s="69"/>
      <c r="S20" s="77" t="s">
        <v>90</v>
      </c>
      <c r="T20" s="75">
        <v>106</v>
      </c>
      <c r="U20" s="75">
        <v>72</v>
      </c>
      <c r="V20" s="76">
        <f t="shared" ref="V20:V25" si="5">(T20/U20)^(1/1)-1</f>
        <v>0.47222222222222232</v>
      </c>
      <c r="X20" s="50" t="s">
        <v>90</v>
      </c>
      <c r="Y20" s="75">
        <v>379</v>
      </c>
      <c r="Z20" s="75">
        <v>281</v>
      </c>
      <c r="AA20" s="76">
        <f t="shared" ref="AA20:AA25" si="6">(Y20/Z20)^(1/1)-1</f>
        <v>0.3487544483985765</v>
      </c>
    </row>
    <row r="21" spans="1:27" ht="15.75" customHeight="1" x14ac:dyDescent="0.35">
      <c r="B21" s="42" t="s">
        <v>29</v>
      </c>
      <c r="C21" s="43" t="s">
        <v>8</v>
      </c>
      <c r="D21" s="43" t="s">
        <v>9</v>
      </c>
      <c r="E21" s="43" t="s">
        <v>54</v>
      </c>
      <c r="F21" s="43" t="s">
        <v>74</v>
      </c>
      <c r="G21" s="43" t="s">
        <v>91</v>
      </c>
      <c r="H21" s="43" t="s">
        <v>92</v>
      </c>
      <c r="I21" s="43" t="s">
        <v>93</v>
      </c>
      <c r="J21" s="43" t="s">
        <v>94</v>
      </c>
      <c r="K21" s="43" t="s">
        <v>95</v>
      </c>
      <c r="L21" s="43" t="s">
        <v>96</v>
      </c>
      <c r="M21" s="44"/>
      <c r="N21" s="62" t="s">
        <v>97</v>
      </c>
      <c r="O21" s="78">
        <v>64</v>
      </c>
      <c r="P21" s="78">
        <v>56</v>
      </c>
      <c r="Q21" s="79">
        <f t="shared" si="4"/>
        <v>0.14285714285714279</v>
      </c>
      <c r="R21" s="27"/>
      <c r="S21" s="80" t="s">
        <v>97</v>
      </c>
      <c r="T21" s="78">
        <v>72</v>
      </c>
      <c r="U21" s="78">
        <v>48</v>
      </c>
      <c r="V21" s="79">
        <f t="shared" si="5"/>
        <v>0.5</v>
      </c>
      <c r="X21" s="62" t="s">
        <v>97</v>
      </c>
      <c r="Y21" s="78">
        <v>241</v>
      </c>
      <c r="Z21" s="78">
        <v>176</v>
      </c>
      <c r="AA21" s="79">
        <f t="shared" si="6"/>
        <v>0.36931818181818188</v>
      </c>
    </row>
    <row r="22" spans="1:27" ht="15.75" customHeight="1" x14ac:dyDescent="0.3">
      <c r="B22" s="81" t="s">
        <v>98</v>
      </c>
      <c r="C22" s="82">
        <f t="shared" ref="C22:E22" si="7">(C28/C29)-1</f>
        <v>0.3487544483985765</v>
      </c>
      <c r="D22" s="82">
        <f t="shared" si="7"/>
        <v>0.25233644859813076</v>
      </c>
      <c r="E22" s="82">
        <f t="shared" si="7"/>
        <v>0.21589793915603539</v>
      </c>
      <c r="F22" s="82">
        <f>F28</f>
        <v>0.35356200527704484</v>
      </c>
      <c r="G22" s="82">
        <f t="shared" ref="G22:H22" si="8">(G28/G29)-1</f>
        <v>0.36538461538461542</v>
      </c>
      <c r="H22" s="82">
        <f t="shared" si="8"/>
        <v>-5.0556117290192493E-3</v>
      </c>
      <c r="I22" s="83">
        <f t="shared" ref="I22:J22" si="9">I28</f>
        <v>94.552058111380134</v>
      </c>
      <c r="J22" s="83">
        <f t="shared" si="9"/>
        <v>39.709443099273606</v>
      </c>
      <c r="K22" s="82">
        <f t="shared" ref="K22:L22" si="10">(K28/K29)-1</f>
        <v>0</v>
      </c>
      <c r="L22" s="82">
        <f t="shared" si="10"/>
        <v>0.22033898305084754</v>
      </c>
      <c r="M22" s="44"/>
      <c r="N22" s="62" t="s">
        <v>1</v>
      </c>
      <c r="O22" s="78">
        <v>0.63</v>
      </c>
      <c r="P22" s="78">
        <v>0.67</v>
      </c>
      <c r="Q22" s="84">
        <f t="shared" si="4"/>
        <v>-5.9701492537313494E-2</v>
      </c>
      <c r="R22" s="27"/>
      <c r="S22" s="80" t="s">
        <v>1</v>
      </c>
      <c r="T22" s="78">
        <v>0.77</v>
      </c>
      <c r="U22" s="78">
        <v>0.86</v>
      </c>
      <c r="V22" s="84">
        <f t="shared" si="5"/>
        <v>-0.10465116279069764</v>
      </c>
      <c r="X22" s="62" t="s">
        <v>1</v>
      </c>
      <c r="Y22" s="78">
        <v>2.93</v>
      </c>
      <c r="Z22" s="78">
        <v>2.79</v>
      </c>
      <c r="AA22" s="84">
        <f t="shared" si="6"/>
        <v>5.017921146953408E-2</v>
      </c>
    </row>
    <row r="23" spans="1:27" ht="15.75" customHeight="1" x14ac:dyDescent="0.3">
      <c r="B23" s="81" t="s">
        <v>99</v>
      </c>
      <c r="C23" s="85">
        <f t="shared" ref="C23:D23" si="11">(C28/C32)^(1/4)-1</f>
        <v>0.23484629033762805</v>
      </c>
      <c r="D23" s="85">
        <f t="shared" si="11"/>
        <v>0.53717527078934757</v>
      </c>
      <c r="E23" s="85">
        <f>(E28/E31)^(1/3)-1</f>
        <v>0.29614328232370024</v>
      </c>
      <c r="F23" s="63">
        <f>MEDIAN(F28:F32)</f>
        <v>0.38078291814946619</v>
      </c>
      <c r="G23" s="85">
        <f t="shared" ref="G23:H23" si="12">(G28/G30)^(1/2)-1</f>
        <v>0.10554159678513342</v>
      </c>
      <c r="H23" s="85">
        <f t="shared" si="12"/>
        <v>-0.11872948142243522</v>
      </c>
      <c r="I23" s="86">
        <f t="shared" ref="I23:J23" si="13">AVERAGE(I28:I30)</f>
        <v>98.690571942180782</v>
      </c>
      <c r="J23" s="86">
        <f t="shared" si="13"/>
        <v>55.259063792566515</v>
      </c>
      <c r="K23" s="85">
        <f t="shared" ref="K23:L23" si="14">(K28/K31)^(1/3)-1</f>
        <v>-0.56830464182811113</v>
      </c>
      <c r="L23" s="85">
        <f t="shared" si="14"/>
        <v>0.42487137738949476</v>
      </c>
      <c r="M23" s="44"/>
      <c r="N23" s="50" t="s">
        <v>9</v>
      </c>
      <c r="O23" s="75">
        <v>36</v>
      </c>
      <c r="P23" s="75">
        <v>32</v>
      </c>
      <c r="Q23" s="87">
        <f t="shared" si="4"/>
        <v>0.125</v>
      </c>
      <c r="R23" s="69"/>
      <c r="S23" s="77" t="s">
        <v>9</v>
      </c>
      <c r="T23" s="75">
        <v>38</v>
      </c>
      <c r="U23" s="75">
        <v>28</v>
      </c>
      <c r="V23" s="87">
        <f t="shared" si="5"/>
        <v>0.35714285714285721</v>
      </c>
      <c r="X23" s="50" t="s">
        <v>9</v>
      </c>
      <c r="Y23" s="75">
        <v>134</v>
      </c>
      <c r="Z23" s="75">
        <v>107</v>
      </c>
      <c r="AA23" s="87">
        <f t="shared" si="6"/>
        <v>0.25233644859813076</v>
      </c>
    </row>
    <row r="24" spans="1:27" ht="15.75" customHeight="1" x14ac:dyDescent="0.3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44"/>
      <c r="N24" s="50" t="s">
        <v>95</v>
      </c>
      <c r="O24" s="75">
        <v>11</v>
      </c>
      <c r="P24" s="75">
        <v>11</v>
      </c>
      <c r="Q24" s="88">
        <f t="shared" si="4"/>
        <v>0</v>
      </c>
      <c r="R24" s="27"/>
      <c r="S24" s="77" t="s">
        <v>95</v>
      </c>
      <c r="T24" s="75">
        <v>11</v>
      </c>
      <c r="U24" s="75">
        <v>11</v>
      </c>
      <c r="V24" s="88">
        <f t="shared" si="5"/>
        <v>0</v>
      </c>
      <c r="X24" s="50" t="s">
        <v>95</v>
      </c>
      <c r="Y24" s="75">
        <v>11</v>
      </c>
      <c r="Z24" s="75">
        <v>11</v>
      </c>
      <c r="AA24" s="88">
        <f t="shared" si="6"/>
        <v>0</v>
      </c>
    </row>
    <row r="25" spans="1:27" ht="15.75" customHeight="1" x14ac:dyDescent="0.35">
      <c r="B25" s="42" t="s">
        <v>100</v>
      </c>
      <c r="C25" s="62" t="s">
        <v>101</v>
      </c>
      <c r="D25" s="62"/>
      <c r="E25" s="62"/>
      <c r="F25" s="62"/>
      <c r="G25" s="62"/>
      <c r="H25" s="62"/>
      <c r="I25" s="62"/>
      <c r="J25" s="62"/>
      <c r="K25" s="62"/>
      <c r="L25" s="62"/>
      <c r="M25" s="44"/>
      <c r="N25" s="50" t="s">
        <v>54</v>
      </c>
      <c r="O25" s="89">
        <v>6.63</v>
      </c>
      <c r="P25" s="89">
        <v>6</v>
      </c>
      <c r="Q25" s="90">
        <f t="shared" si="4"/>
        <v>0.10499999999999998</v>
      </c>
      <c r="R25" s="27"/>
      <c r="S25" s="77" t="s">
        <v>54</v>
      </c>
      <c r="T25" s="89">
        <v>7.02</v>
      </c>
      <c r="U25" s="89">
        <v>5.59</v>
      </c>
      <c r="V25" s="90">
        <f t="shared" si="5"/>
        <v>0.2558139534883721</v>
      </c>
      <c r="X25" s="50" t="s">
        <v>54</v>
      </c>
      <c r="Y25" s="89">
        <v>24.78</v>
      </c>
      <c r="Z25" s="89">
        <v>20.38</v>
      </c>
      <c r="AA25" s="90">
        <f t="shared" si="6"/>
        <v>0.21589793915603539</v>
      </c>
    </row>
    <row r="26" spans="1:27" ht="14.4" x14ac:dyDescent="0.3">
      <c r="B26" s="91" t="s">
        <v>102</v>
      </c>
      <c r="C26" s="43" t="s">
        <v>8</v>
      </c>
      <c r="D26" s="43" t="s">
        <v>9</v>
      </c>
      <c r="E26" s="43" t="s">
        <v>54</v>
      </c>
      <c r="F26" s="43" t="s">
        <v>103</v>
      </c>
      <c r="G26" s="43" t="s">
        <v>91</v>
      </c>
      <c r="H26" s="43" t="s">
        <v>92</v>
      </c>
      <c r="I26" s="43" t="s">
        <v>93</v>
      </c>
      <c r="J26" s="43" t="s">
        <v>104</v>
      </c>
      <c r="K26" s="43" t="s">
        <v>95</v>
      </c>
      <c r="L26" s="43" t="s">
        <v>96</v>
      </c>
      <c r="M26" s="44"/>
      <c r="N26" s="50" t="s">
        <v>103</v>
      </c>
      <c r="O26" s="76">
        <f t="shared" ref="O26:P26" si="15">O23/O20</f>
        <v>0.35643564356435642</v>
      </c>
      <c r="P26" s="92">
        <f t="shared" si="15"/>
        <v>0.3595505617977528</v>
      </c>
      <c r="Q26" s="93">
        <f t="shared" ref="Q26:Q27" si="16">O26-P26</f>
        <v>-3.1149182333963799E-3</v>
      </c>
      <c r="R26" s="27"/>
      <c r="S26" s="77" t="s">
        <v>103</v>
      </c>
      <c r="T26" s="76">
        <f t="shared" ref="T26:U26" si="17">T23/T20</f>
        <v>0.35849056603773582</v>
      </c>
      <c r="U26" s="92">
        <f t="shared" si="17"/>
        <v>0.3888888888888889</v>
      </c>
      <c r="V26" s="93">
        <f t="shared" ref="V26:V27" si="18">T26-U26</f>
        <v>-3.039832285115307E-2</v>
      </c>
      <c r="X26" s="50" t="s">
        <v>103</v>
      </c>
      <c r="Y26" s="76">
        <f t="shared" ref="Y26:Z26" si="19">Y23/Y20</f>
        <v>0.35356200527704484</v>
      </c>
      <c r="Z26" s="92">
        <f t="shared" si="19"/>
        <v>0.38078291814946619</v>
      </c>
      <c r="AA26" s="93">
        <f t="shared" ref="AA26:AA27" si="20">Y26-Z26</f>
        <v>-2.7220912872421343E-2</v>
      </c>
    </row>
    <row r="27" spans="1:27" ht="14.4" x14ac:dyDescent="0.3">
      <c r="B27" s="18" t="s">
        <v>105</v>
      </c>
      <c r="C27" s="94">
        <f>C28+O20-P20</f>
        <v>391</v>
      </c>
      <c r="D27" s="94">
        <f>D28+O23-P23</f>
        <v>138</v>
      </c>
      <c r="E27" s="95">
        <v>25.5</v>
      </c>
      <c r="F27" s="96">
        <f t="shared" ref="F27:F33" si="21">D27/C27</f>
        <v>0.35294117647058826</v>
      </c>
      <c r="G27" s="97">
        <v>2748</v>
      </c>
      <c r="H27" s="98">
        <v>1751</v>
      </c>
      <c r="I27" s="99">
        <f t="shared" ref="I27:I30" si="22">G27/E27</f>
        <v>107.76470588235294</v>
      </c>
      <c r="J27" s="94">
        <f t="shared" ref="J27:J30" si="23">H27/E27</f>
        <v>68.666666666666671</v>
      </c>
      <c r="K27" s="83">
        <v>10.7</v>
      </c>
      <c r="L27" s="100">
        <v>648</v>
      </c>
      <c r="N27" s="62" t="s">
        <v>41</v>
      </c>
      <c r="O27" s="101">
        <f t="shared" ref="O27:P27" si="24">(O20-O21+O22)/O22</f>
        <v>59.730158730158735</v>
      </c>
      <c r="P27" s="101">
        <f t="shared" si="24"/>
        <v>50.253731343283583</v>
      </c>
      <c r="Q27" s="102">
        <f t="shared" si="16"/>
        <v>9.4764273868751516</v>
      </c>
      <c r="R27" s="27"/>
      <c r="S27" s="80" t="s">
        <v>41</v>
      </c>
      <c r="T27" s="101">
        <f t="shared" ref="T27:U27" si="25">(T20-T21+T22)/T22</f>
        <v>45.155844155844157</v>
      </c>
      <c r="U27" s="101">
        <f t="shared" si="25"/>
        <v>28.906976744186046</v>
      </c>
      <c r="V27" s="102">
        <f t="shared" si="18"/>
        <v>16.248867411658111</v>
      </c>
      <c r="X27" s="62" t="s">
        <v>41</v>
      </c>
      <c r="Y27" s="101">
        <f t="shared" ref="Y27:Z27" si="26">(Y20-Y21+Y22)/Y22</f>
        <v>48.098976109215016</v>
      </c>
      <c r="Z27" s="101">
        <f t="shared" si="26"/>
        <v>38.634408602150536</v>
      </c>
      <c r="AA27" s="102">
        <f t="shared" si="20"/>
        <v>9.4645675070644799</v>
      </c>
    </row>
    <row r="28" spans="1:27" ht="14.4" x14ac:dyDescent="0.3">
      <c r="B28" s="18" t="s">
        <v>106</v>
      </c>
      <c r="C28" s="100">
        <v>379</v>
      </c>
      <c r="D28" s="100">
        <v>134</v>
      </c>
      <c r="E28" s="95">
        <v>24.78</v>
      </c>
      <c r="F28" s="96">
        <f t="shared" si="21"/>
        <v>0.35356200527704484</v>
      </c>
      <c r="G28" s="97">
        <v>2343</v>
      </c>
      <c r="H28" s="98">
        <v>984</v>
      </c>
      <c r="I28" s="99">
        <f t="shared" si="22"/>
        <v>94.552058111380134</v>
      </c>
      <c r="J28" s="94">
        <f t="shared" si="23"/>
        <v>39.709443099273606</v>
      </c>
      <c r="K28" s="83">
        <v>10.7</v>
      </c>
      <c r="L28" s="100">
        <v>648</v>
      </c>
      <c r="M28" s="44"/>
      <c r="N28" s="30"/>
      <c r="O28" s="30"/>
      <c r="P28" s="30"/>
      <c r="Q28" s="30"/>
      <c r="R28" s="30"/>
      <c r="S28" s="27"/>
    </row>
    <row r="29" spans="1:27" ht="18" x14ac:dyDescent="0.35">
      <c r="B29" s="18" t="s">
        <v>107</v>
      </c>
      <c r="C29" s="100">
        <v>281</v>
      </c>
      <c r="D29" s="100">
        <v>107</v>
      </c>
      <c r="E29" s="95">
        <v>20.38</v>
      </c>
      <c r="F29" s="96">
        <f t="shared" si="21"/>
        <v>0.38078291814946619</v>
      </c>
      <c r="G29" s="97">
        <v>1716</v>
      </c>
      <c r="H29" s="98">
        <v>989</v>
      </c>
      <c r="I29" s="99">
        <f t="shared" si="22"/>
        <v>84.20019627085378</v>
      </c>
      <c r="J29" s="94">
        <f t="shared" si="23"/>
        <v>48.527968596663399</v>
      </c>
      <c r="K29" s="83">
        <v>10.7</v>
      </c>
      <c r="L29" s="100">
        <v>531</v>
      </c>
      <c r="M29" s="27"/>
      <c r="N29" s="70" t="s">
        <v>108</v>
      </c>
      <c r="O29" s="70" t="s">
        <v>84</v>
      </c>
      <c r="P29" s="70" t="s">
        <v>85</v>
      </c>
      <c r="Q29" s="70" t="s">
        <v>109</v>
      </c>
      <c r="R29" s="70" t="s">
        <v>30</v>
      </c>
      <c r="S29" s="27"/>
      <c r="T29" s="70" t="s">
        <v>110</v>
      </c>
      <c r="U29" s="70" t="s">
        <v>111</v>
      </c>
      <c r="V29" s="70" t="s">
        <v>85</v>
      </c>
    </row>
    <row r="30" spans="1:27" ht="14.4" x14ac:dyDescent="0.3">
      <c r="A30" s="103" t="s">
        <v>112</v>
      </c>
      <c r="B30" s="104" t="s">
        <v>113</v>
      </c>
      <c r="C30" s="105">
        <v>201</v>
      </c>
      <c r="D30" s="106">
        <v>87</v>
      </c>
      <c r="E30" s="107">
        <v>16.34</v>
      </c>
      <c r="F30" s="96">
        <f t="shared" si="21"/>
        <v>0.43283582089552236</v>
      </c>
      <c r="G30" s="100">
        <v>1917</v>
      </c>
      <c r="H30" s="108">
        <v>1267</v>
      </c>
      <c r="I30" s="99">
        <f t="shared" si="22"/>
        <v>117.31946144430844</v>
      </c>
      <c r="J30" s="94">
        <f t="shared" si="23"/>
        <v>77.539779681762553</v>
      </c>
      <c r="K30" s="83">
        <v>10.6</v>
      </c>
      <c r="L30" s="109">
        <v>435</v>
      </c>
      <c r="M30" s="44"/>
      <c r="N30" s="110" t="s">
        <v>114</v>
      </c>
      <c r="O30" s="78">
        <v>10</v>
      </c>
      <c r="P30" s="78">
        <v>14</v>
      </c>
      <c r="Q30" s="111">
        <f t="shared" ref="Q30:Q37" si="27">O30/$O$39</f>
        <v>0.15671524839366871</v>
      </c>
      <c r="R30" s="112">
        <f t="shared" ref="R30:R37" si="28">(O30/P30)-1</f>
        <v>-0.2857142857142857</v>
      </c>
      <c r="S30" s="27"/>
      <c r="T30" s="113" t="s">
        <v>115</v>
      </c>
      <c r="U30" s="114">
        <v>0.5373</v>
      </c>
      <c r="V30" s="114">
        <v>0.53300000000000003</v>
      </c>
    </row>
    <row r="31" spans="1:27" ht="14.4" x14ac:dyDescent="0.3">
      <c r="A31" s="103" t="s">
        <v>116</v>
      </c>
      <c r="B31" s="18" t="s">
        <v>117</v>
      </c>
      <c r="C31" s="115">
        <v>152</v>
      </c>
      <c r="D31" s="116">
        <v>60</v>
      </c>
      <c r="E31" s="117">
        <v>11.38</v>
      </c>
      <c r="F31" s="96">
        <f t="shared" si="21"/>
        <v>0.39473684210526316</v>
      </c>
      <c r="G31" s="118"/>
      <c r="H31" s="119"/>
      <c r="I31" s="120"/>
      <c r="J31" s="121"/>
      <c r="K31" s="83">
        <v>133</v>
      </c>
      <c r="L31" s="122">
        <v>224</v>
      </c>
      <c r="M31" s="44"/>
      <c r="N31" s="110" t="s">
        <v>118</v>
      </c>
      <c r="O31" s="78">
        <v>21</v>
      </c>
      <c r="P31" s="78">
        <v>17</v>
      </c>
      <c r="Q31" s="111">
        <f t="shared" si="27"/>
        <v>0.32910202162670432</v>
      </c>
      <c r="R31" s="112">
        <f t="shared" si="28"/>
        <v>0.23529411764705888</v>
      </c>
      <c r="S31" s="27"/>
      <c r="T31" s="113" t="s">
        <v>119</v>
      </c>
      <c r="U31" s="114">
        <v>5.0999999999999997E-2</v>
      </c>
      <c r="V31" s="114">
        <v>6.9400000000000003E-2</v>
      </c>
    </row>
    <row r="32" spans="1:27" ht="14.4" x14ac:dyDescent="0.3">
      <c r="B32" s="104" t="s">
        <v>120</v>
      </c>
      <c r="C32" s="123">
        <v>163</v>
      </c>
      <c r="D32" s="124">
        <v>24</v>
      </c>
      <c r="E32" s="125"/>
      <c r="F32" s="126">
        <f t="shared" si="21"/>
        <v>0.14723926380368099</v>
      </c>
      <c r="G32" s="127"/>
      <c r="H32" s="128"/>
      <c r="I32" s="128"/>
      <c r="J32" s="128"/>
      <c r="K32" s="128"/>
      <c r="L32" s="129"/>
      <c r="M32" s="44"/>
      <c r="N32" s="110" t="s">
        <v>121</v>
      </c>
      <c r="O32" s="101">
        <v>0.63</v>
      </c>
      <c r="P32" s="101">
        <v>0.67</v>
      </c>
      <c r="Q32" s="111">
        <f t="shared" si="27"/>
        <v>9.8730606488011286E-3</v>
      </c>
      <c r="R32" s="112">
        <f t="shared" si="28"/>
        <v>-5.9701492537313494E-2</v>
      </c>
      <c r="S32" s="27"/>
      <c r="T32" s="113" t="s">
        <v>122</v>
      </c>
      <c r="U32" s="114">
        <v>5.8000000000000003E-2</v>
      </c>
      <c r="V32" s="114">
        <v>4.02E-2</v>
      </c>
    </row>
    <row r="33" spans="2:22" ht="14.4" x14ac:dyDescent="0.3">
      <c r="B33" s="18" t="s">
        <v>123</v>
      </c>
      <c r="C33" s="130">
        <v>163</v>
      </c>
      <c r="D33" s="131">
        <v>34</v>
      </c>
      <c r="E33" s="132"/>
      <c r="F33" s="133">
        <f t="shared" si="21"/>
        <v>0.20858895705521471</v>
      </c>
      <c r="G33" s="134"/>
      <c r="H33" s="135"/>
      <c r="I33" s="135"/>
      <c r="J33" s="135"/>
      <c r="K33" s="135"/>
      <c r="L33" s="136"/>
      <c r="M33" s="44"/>
      <c r="N33" s="110" t="s">
        <v>124</v>
      </c>
      <c r="O33" s="78">
        <v>5</v>
      </c>
      <c r="P33" s="78">
        <v>4</v>
      </c>
      <c r="Q33" s="111">
        <f t="shared" si="27"/>
        <v>7.8357624196834355E-2</v>
      </c>
      <c r="R33" s="112">
        <f t="shared" si="28"/>
        <v>0.25</v>
      </c>
      <c r="S33" s="27"/>
      <c r="T33" s="113" t="s">
        <v>125</v>
      </c>
      <c r="U33" s="114">
        <v>7.4999999999999997E-2</v>
      </c>
      <c r="V33" s="114">
        <v>0.1075</v>
      </c>
    </row>
    <row r="34" spans="2:22" ht="14.4" x14ac:dyDescent="0.3">
      <c r="B34" s="137"/>
      <c r="C34" s="138"/>
      <c r="D34" s="139"/>
      <c r="E34" s="68"/>
      <c r="F34" s="140"/>
      <c r="G34" s="27"/>
      <c r="H34" s="27"/>
      <c r="I34" s="27"/>
      <c r="J34" s="27"/>
      <c r="K34" s="27"/>
      <c r="L34" s="141"/>
      <c r="M34" s="44"/>
      <c r="N34" s="110" t="s">
        <v>126</v>
      </c>
      <c r="O34" s="78">
        <v>9</v>
      </c>
      <c r="P34" s="78">
        <v>8</v>
      </c>
      <c r="Q34" s="111">
        <f t="shared" si="27"/>
        <v>0.14104372355430184</v>
      </c>
      <c r="R34" s="112">
        <f t="shared" si="28"/>
        <v>0.125</v>
      </c>
      <c r="S34" s="27"/>
      <c r="T34" s="113" t="s">
        <v>127</v>
      </c>
      <c r="U34" s="114">
        <v>0.27800000000000002</v>
      </c>
      <c r="V34" s="114">
        <v>0.23669999999999999</v>
      </c>
    </row>
    <row r="35" spans="2:22" ht="14.4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142" t="s">
        <v>128</v>
      </c>
      <c r="O35" s="80">
        <v>12</v>
      </c>
      <c r="P35" s="80">
        <v>8</v>
      </c>
      <c r="Q35" s="111">
        <f t="shared" si="27"/>
        <v>0.18805829807240246</v>
      </c>
      <c r="R35" s="112">
        <f t="shared" si="28"/>
        <v>0.5</v>
      </c>
      <c r="S35" s="27"/>
    </row>
    <row r="36" spans="2:22" ht="14.4" x14ac:dyDescent="0.3">
      <c r="B36" s="13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44"/>
      <c r="N36" s="142" t="s">
        <v>129</v>
      </c>
      <c r="O36" s="143">
        <v>2.1800000000000002</v>
      </c>
      <c r="P36" s="143">
        <v>1.67</v>
      </c>
      <c r="Q36" s="111">
        <f t="shared" si="27"/>
        <v>3.416392414981978E-2</v>
      </c>
      <c r="R36" s="112">
        <f t="shared" si="28"/>
        <v>0.3053892215568863</v>
      </c>
      <c r="S36" s="27"/>
      <c r="T36" s="144" t="s">
        <v>26</v>
      </c>
      <c r="U36" s="144">
        <v>1</v>
      </c>
      <c r="V36" s="144">
        <v>1</v>
      </c>
    </row>
    <row r="37" spans="2:22" ht="14.4" x14ac:dyDescent="0.3">
      <c r="B37" s="13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142" t="s">
        <v>130</v>
      </c>
      <c r="O37" s="143">
        <v>4</v>
      </c>
      <c r="P37" s="143">
        <v>3</v>
      </c>
      <c r="Q37" s="111">
        <f t="shared" si="27"/>
        <v>6.2686099357467481E-2</v>
      </c>
      <c r="R37" s="112">
        <f t="shared" si="28"/>
        <v>0.33333333333333326</v>
      </c>
      <c r="S37" s="27"/>
    </row>
    <row r="38" spans="2:22" ht="14.4" x14ac:dyDescent="0.3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S38" s="27"/>
    </row>
    <row r="39" spans="2:22" ht="14.4" x14ac:dyDescent="0.3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45" t="s">
        <v>131</v>
      </c>
      <c r="O39" s="144">
        <f t="shared" ref="O39:P39" si="29">SUM(O30:O37)</f>
        <v>63.809999999999995</v>
      </c>
      <c r="P39" s="144">
        <f t="shared" si="29"/>
        <v>56.34</v>
      </c>
      <c r="Q39" s="144">
        <v>100</v>
      </c>
      <c r="R39" s="144">
        <v>100</v>
      </c>
      <c r="S39" s="27"/>
    </row>
    <row r="40" spans="2:22" ht="14.4" x14ac:dyDescent="0.3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44"/>
      <c r="S40" s="27"/>
    </row>
    <row r="41" spans="2:22" ht="14.4" x14ac:dyDescent="0.3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2:22" ht="18" x14ac:dyDescent="0.3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146"/>
      <c r="O42" s="146"/>
      <c r="P42" s="146"/>
      <c r="Q42" s="146"/>
      <c r="R42" s="146"/>
      <c r="S42" s="27"/>
    </row>
    <row r="43" spans="2:22" ht="14.4" x14ac:dyDescent="0.3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147"/>
      <c r="O43" s="139"/>
      <c r="P43" s="139"/>
      <c r="Q43" s="140"/>
      <c r="R43" s="140"/>
      <c r="S43" s="27"/>
    </row>
    <row r="44" spans="2:22" ht="14.4" x14ac:dyDescent="0.3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147"/>
      <c r="O44" s="141"/>
      <c r="P44" s="141"/>
      <c r="Q44" s="140"/>
      <c r="R44" s="140"/>
      <c r="S44" s="27"/>
    </row>
    <row r="45" spans="2:22" ht="14.4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147"/>
      <c r="O45" s="141"/>
      <c r="P45" s="141"/>
      <c r="Q45" s="148"/>
      <c r="R45" s="148"/>
      <c r="S45" s="27"/>
    </row>
    <row r="46" spans="2:22" ht="14.4" x14ac:dyDescent="0.3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2:22" ht="14.4" x14ac:dyDescent="0.3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149"/>
      <c r="O47" s="150"/>
      <c r="P47" s="150"/>
      <c r="Q47" s="151"/>
      <c r="R47" s="151"/>
      <c r="S47" s="27"/>
    </row>
    <row r="48" spans="2:22" ht="14.4" x14ac:dyDescent="0.3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2:19" ht="14.4" x14ac:dyDescent="0.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44"/>
      <c r="S49" s="27"/>
    </row>
    <row r="50" spans="2:19" ht="14.4" x14ac:dyDescent="0.3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44"/>
      <c r="O50" s="152"/>
      <c r="S50" s="27"/>
    </row>
    <row r="51" spans="2:19" ht="14.4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44"/>
      <c r="O51" s="114"/>
      <c r="P51" s="152"/>
      <c r="Q51" s="114"/>
      <c r="S51" s="27"/>
    </row>
    <row r="52" spans="2:19" ht="14.4" x14ac:dyDescent="0.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44"/>
      <c r="O52" s="114"/>
      <c r="Q52" s="114"/>
      <c r="S52" s="27"/>
    </row>
    <row r="53" spans="2:19" ht="14.4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O53" s="114"/>
      <c r="Q53" s="114"/>
      <c r="S53" s="27"/>
    </row>
    <row r="54" spans="2:19" ht="14.4" x14ac:dyDescent="0.3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O54" s="152"/>
      <c r="Q54" s="114"/>
      <c r="S54" s="27"/>
    </row>
    <row r="55" spans="2:19" ht="14.4" x14ac:dyDescent="0.3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O55" s="152"/>
      <c r="Q55" s="114"/>
      <c r="S55" s="27"/>
    </row>
    <row r="56" spans="2:19" ht="14.4" x14ac:dyDescent="0.3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O56" s="152"/>
      <c r="Q56" s="114"/>
      <c r="S56" s="27"/>
    </row>
    <row r="57" spans="2:19" ht="14.4" x14ac:dyDescent="0.3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S57" s="27"/>
    </row>
    <row r="58" spans="2:19" ht="14.4" x14ac:dyDescent="0.3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2:19" ht="14.4" x14ac:dyDescent="0.3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2:19" ht="14.4" x14ac:dyDescent="0.3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2:19" ht="14.4" x14ac:dyDescent="0.3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2:19" ht="14.4" x14ac:dyDescent="0.3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2:19" ht="14.4" x14ac:dyDescent="0.3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2:19" ht="14.4" x14ac:dyDescent="0.3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2:19" ht="14.4" x14ac:dyDescent="0.3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ht="14.4" x14ac:dyDescent="0.3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ht="14.4" x14ac:dyDescent="0.3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2:19" ht="14.4" x14ac:dyDescent="0.3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2:19" ht="14.4" x14ac:dyDescent="0.3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2:19" ht="14.4" x14ac:dyDescent="0.3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2:19" ht="14.4" x14ac:dyDescent="0.3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2:19" ht="14.4" x14ac:dyDescent="0.3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2:19" ht="14.4" x14ac:dyDescent="0.3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2:19" ht="14.4" x14ac:dyDescent="0.3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2:19" ht="14.4" x14ac:dyDescent="0.3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2:19" ht="14.4" x14ac:dyDescent="0.3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2:19" ht="14.4" x14ac:dyDescent="0.3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2:19" ht="14.4" x14ac:dyDescent="0.3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2:19" ht="14.4" x14ac:dyDescent="0.3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2:19" ht="14.4" x14ac:dyDescent="0.3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2:19" ht="14.4" x14ac:dyDescent="0.3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2:19" ht="14.4" x14ac:dyDescent="0.3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2:19" ht="14.4" x14ac:dyDescent="0.3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2:19" ht="14.4" x14ac:dyDescent="0.3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2:19" ht="14.4" x14ac:dyDescent="0.3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ht="14.4" x14ac:dyDescent="0.3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 ht="14.4" x14ac:dyDescent="0.3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2:19" ht="14.4" x14ac:dyDescent="0.3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2:19" ht="14.4" x14ac:dyDescent="0.3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2:19" ht="14.4" x14ac:dyDescent="0.3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2:19" ht="14.4" x14ac:dyDescent="0.3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2:19" ht="14.4" x14ac:dyDescent="0.3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2:19" ht="14.4" x14ac:dyDescent="0.3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2:19" ht="14.4" x14ac:dyDescent="0.3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2:19" ht="14.4" x14ac:dyDescent="0.3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2:19" ht="14.4" x14ac:dyDescent="0.3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2:19" ht="14.4" x14ac:dyDescent="0.3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2:19" ht="14.4" x14ac:dyDescent="0.3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2:19" ht="14.4" x14ac:dyDescent="0.3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2:19" ht="14.4" x14ac:dyDescent="0.3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2:19" ht="14.4" x14ac:dyDescent="0.3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</sheetData>
  <mergeCells count="1">
    <mergeCell ref="R12:R14"/>
  </mergeCells>
  <conditionalFormatting sqref="C18:E19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2:H23 K22:L2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8:F19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2:J23">
    <cfRule type="colorScale" priority="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2:L13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4:L14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0:V3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MayMyIndia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2024-09-20T15:53:58Z</dcterms:created>
  <dcterms:modified xsi:type="dcterms:W3CDTF">2024-09-20T15:54:24Z</dcterms:modified>
</cp:coreProperties>
</file>