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FY_24\"/>
    </mc:Choice>
  </mc:AlternateContent>
  <xr:revisionPtr revIDLastSave="0" documentId="8_{C69B6FDD-71B2-4499-9ED2-A4B256289D6C}" xr6:coauthVersionLast="47" xr6:coauthVersionMax="47" xr10:uidLastSave="{00000000-0000-0000-0000-000000000000}"/>
  <bookViews>
    <workbookView xWindow="-108" yWindow="-108" windowWidth="23256" windowHeight="12456" xr2:uid="{8710D995-F5F7-4E7B-94FA-28BC78532C29}"/>
  </bookViews>
  <sheets>
    <sheet name="Pidilitind" sheetId="1" r:id="rId1"/>
    <sheet name="Specialty Chemicals " sheetId="2" r:id="rId2"/>
  </sheets>
  <externalReferences>
    <externalReference r:id="rId3"/>
  </externalReferences>
  <definedNames>
    <definedName name="_xlnm._FilterDatabase" localSheetId="1" hidden="1">'Specialty Chemicals '!$A$156:$D$248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48" i="2" l="1"/>
  <c r="Y248" i="2"/>
  <c r="W248" i="2"/>
  <c r="V248" i="2"/>
  <c r="U248" i="2"/>
  <c r="T248" i="2"/>
  <c r="AN248" i="2" s="1"/>
  <c r="S248" i="2"/>
  <c r="AM248" i="2" s="1"/>
  <c r="R248" i="2"/>
  <c r="Z248" i="2" s="1"/>
  <c r="Q248" i="2"/>
  <c r="AL248" i="2" s="1"/>
  <c r="O248" i="2"/>
  <c r="M248" i="2"/>
  <c r="L248" i="2"/>
  <c r="AB248" i="2" s="1"/>
  <c r="K248" i="2"/>
  <c r="AC248" i="2" s="1"/>
  <c r="J248" i="2"/>
  <c r="AJ248" i="2" s="1"/>
  <c r="I248" i="2"/>
  <c r="H248" i="2"/>
  <c r="G248" i="2"/>
  <c r="AD248" i="2" s="1"/>
  <c r="F248" i="2"/>
  <c r="E248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AL207" i="2"/>
  <c r="AJ207" i="2"/>
  <c r="AG207" i="2"/>
  <c r="AF207" i="2"/>
  <c r="AE207" i="2"/>
  <c r="AD207" i="2"/>
  <c r="AC207" i="2"/>
  <c r="AB207" i="2"/>
  <c r="AA207" i="2"/>
  <c r="Z207" i="2"/>
  <c r="X207" i="2"/>
  <c r="D207" i="2"/>
  <c r="C207" i="2"/>
  <c r="AK207" i="2" s="1"/>
  <c r="AL206" i="2"/>
  <c r="AJ206" i="2"/>
  <c r="AI206" i="2"/>
  <c r="AG206" i="2"/>
  <c r="AF206" i="2"/>
  <c r="AE206" i="2"/>
  <c r="AD206" i="2"/>
  <c r="AC206" i="2"/>
  <c r="AB206" i="2"/>
  <c r="AA206" i="2"/>
  <c r="Z206" i="2"/>
  <c r="X206" i="2"/>
  <c r="D206" i="2"/>
  <c r="C206" i="2"/>
  <c r="AK206" i="2" s="1"/>
  <c r="AL205" i="2"/>
  <c r="AJ205" i="2"/>
  <c r="AI205" i="2"/>
  <c r="AG205" i="2"/>
  <c r="AF205" i="2"/>
  <c r="AE205" i="2"/>
  <c r="AD205" i="2"/>
  <c r="AC205" i="2"/>
  <c r="AB205" i="2"/>
  <c r="AA205" i="2"/>
  <c r="Z205" i="2"/>
  <c r="X205" i="2"/>
  <c r="D205" i="2"/>
  <c r="C205" i="2"/>
  <c r="AK205" i="2" s="1"/>
  <c r="AL204" i="2"/>
  <c r="AJ204" i="2"/>
  <c r="AI204" i="2"/>
  <c r="AG204" i="2"/>
  <c r="AF204" i="2"/>
  <c r="AE204" i="2"/>
  <c r="AD204" i="2"/>
  <c r="AC204" i="2"/>
  <c r="AB204" i="2"/>
  <c r="AA204" i="2"/>
  <c r="Z204" i="2"/>
  <c r="X204" i="2"/>
  <c r="D204" i="2"/>
  <c r="C204" i="2"/>
  <c r="AK204" i="2" s="1"/>
  <c r="AL203" i="2"/>
  <c r="AJ203" i="2"/>
  <c r="AG203" i="2"/>
  <c r="AF203" i="2"/>
  <c r="AE203" i="2"/>
  <c r="AD203" i="2"/>
  <c r="AC203" i="2"/>
  <c r="AB203" i="2"/>
  <c r="AA203" i="2"/>
  <c r="Z203" i="2"/>
  <c r="X203" i="2"/>
  <c r="D203" i="2"/>
  <c r="C203" i="2"/>
  <c r="AK203" i="2" s="1"/>
  <c r="AL202" i="2"/>
  <c r="AJ202" i="2"/>
  <c r="AI202" i="2"/>
  <c r="AG202" i="2"/>
  <c r="AF202" i="2"/>
  <c r="AE202" i="2"/>
  <c r="AD202" i="2"/>
  <c r="AC202" i="2"/>
  <c r="AB202" i="2"/>
  <c r="AA202" i="2"/>
  <c r="Z202" i="2"/>
  <c r="X202" i="2"/>
  <c r="D202" i="2"/>
  <c r="C202" i="2"/>
  <c r="AK202" i="2" s="1"/>
  <c r="AL201" i="2"/>
  <c r="AJ201" i="2"/>
  <c r="AI201" i="2"/>
  <c r="AG201" i="2"/>
  <c r="AF201" i="2"/>
  <c r="AE201" i="2"/>
  <c r="AD201" i="2"/>
  <c r="AC201" i="2"/>
  <c r="AB201" i="2"/>
  <c r="AA201" i="2"/>
  <c r="Z201" i="2"/>
  <c r="X201" i="2"/>
  <c r="D201" i="2"/>
  <c r="C201" i="2"/>
  <c r="AK201" i="2" s="1"/>
  <c r="AL200" i="2"/>
  <c r="AJ200" i="2"/>
  <c r="AG200" i="2"/>
  <c r="AF200" i="2"/>
  <c r="AE200" i="2"/>
  <c r="AD200" i="2"/>
  <c r="AC200" i="2"/>
  <c r="AB200" i="2"/>
  <c r="AA200" i="2"/>
  <c r="Z200" i="2"/>
  <c r="X200" i="2"/>
  <c r="D200" i="2"/>
  <c r="C200" i="2"/>
  <c r="AK200" i="2" s="1"/>
  <c r="AL199" i="2"/>
  <c r="AJ199" i="2"/>
  <c r="AG199" i="2"/>
  <c r="AF199" i="2"/>
  <c r="AE199" i="2"/>
  <c r="AD199" i="2"/>
  <c r="AC199" i="2"/>
  <c r="AB199" i="2"/>
  <c r="AA199" i="2"/>
  <c r="Z199" i="2"/>
  <c r="X199" i="2"/>
  <c r="D199" i="2"/>
  <c r="C199" i="2"/>
  <c r="AK199" i="2" s="1"/>
  <c r="AL198" i="2"/>
  <c r="AJ198" i="2"/>
  <c r="AG198" i="2"/>
  <c r="AF198" i="2"/>
  <c r="AE198" i="2"/>
  <c r="AD198" i="2"/>
  <c r="AC198" i="2"/>
  <c r="AB198" i="2"/>
  <c r="AA198" i="2"/>
  <c r="Z198" i="2"/>
  <c r="X198" i="2"/>
  <c r="D198" i="2"/>
  <c r="C198" i="2"/>
  <c r="AK198" i="2" s="1"/>
  <c r="AL197" i="2"/>
  <c r="AJ197" i="2"/>
  <c r="AI197" i="2"/>
  <c r="AG197" i="2"/>
  <c r="AF197" i="2"/>
  <c r="AE197" i="2"/>
  <c r="AD197" i="2"/>
  <c r="AC197" i="2"/>
  <c r="AB197" i="2"/>
  <c r="AA197" i="2"/>
  <c r="Z197" i="2"/>
  <c r="X197" i="2"/>
  <c r="D197" i="2"/>
  <c r="C197" i="2"/>
  <c r="AK197" i="2" s="1"/>
  <c r="AL196" i="2"/>
  <c r="AJ196" i="2"/>
  <c r="AG196" i="2"/>
  <c r="AF196" i="2"/>
  <c r="AE196" i="2"/>
  <c r="AD196" i="2"/>
  <c r="AC196" i="2"/>
  <c r="AB196" i="2"/>
  <c r="AA196" i="2"/>
  <c r="Z196" i="2"/>
  <c r="X196" i="2"/>
  <c r="D196" i="2"/>
  <c r="C196" i="2"/>
  <c r="AK196" i="2" s="1"/>
  <c r="AL195" i="2"/>
  <c r="AJ195" i="2"/>
  <c r="AG195" i="2"/>
  <c r="AF195" i="2"/>
  <c r="AE195" i="2"/>
  <c r="AD195" i="2"/>
  <c r="AC195" i="2"/>
  <c r="AB195" i="2"/>
  <c r="AA195" i="2"/>
  <c r="Z195" i="2"/>
  <c r="X195" i="2"/>
  <c r="D195" i="2"/>
  <c r="C195" i="2"/>
  <c r="AK195" i="2" s="1"/>
  <c r="AL194" i="2"/>
  <c r="AJ194" i="2"/>
  <c r="AG194" i="2"/>
  <c r="AF194" i="2"/>
  <c r="AE194" i="2"/>
  <c r="AD194" i="2"/>
  <c r="AC194" i="2"/>
  <c r="AB194" i="2"/>
  <c r="AA194" i="2"/>
  <c r="Z194" i="2"/>
  <c r="X194" i="2"/>
  <c r="D194" i="2"/>
  <c r="C194" i="2"/>
  <c r="AK194" i="2" s="1"/>
  <c r="AL193" i="2"/>
  <c r="AJ193" i="2"/>
  <c r="AI193" i="2"/>
  <c r="AG193" i="2"/>
  <c r="AF193" i="2"/>
  <c r="AE193" i="2"/>
  <c r="AD193" i="2"/>
  <c r="AC193" i="2"/>
  <c r="AB193" i="2"/>
  <c r="AA193" i="2"/>
  <c r="Z193" i="2"/>
  <c r="X193" i="2"/>
  <c r="D193" i="2"/>
  <c r="C193" i="2"/>
  <c r="AK193" i="2" s="1"/>
  <c r="AL192" i="2"/>
  <c r="AJ192" i="2"/>
  <c r="AG192" i="2"/>
  <c r="AF192" i="2"/>
  <c r="AE192" i="2"/>
  <c r="AD192" i="2"/>
  <c r="AC192" i="2"/>
  <c r="AB192" i="2"/>
  <c r="AA192" i="2"/>
  <c r="Z192" i="2"/>
  <c r="X192" i="2"/>
  <c r="D192" i="2"/>
  <c r="C192" i="2"/>
  <c r="AK192" i="2" s="1"/>
  <c r="AL191" i="2"/>
  <c r="AJ191" i="2"/>
  <c r="AG191" i="2"/>
  <c r="AF191" i="2"/>
  <c r="AE191" i="2"/>
  <c r="AD191" i="2"/>
  <c r="AC191" i="2"/>
  <c r="AB191" i="2"/>
  <c r="AA191" i="2"/>
  <c r="Z191" i="2"/>
  <c r="X191" i="2"/>
  <c r="D191" i="2"/>
  <c r="C191" i="2"/>
  <c r="AK191" i="2" s="1"/>
  <c r="AL190" i="2"/>
  <c r="AJ190" i="2"/>
  <c r="AG190" i="2"/>
  <c r="AF190" i="2"/>
  <c r="AE190" i="2"/>
  <c r="AD190" i="2"/>
  <c r="AC190" i="2"/>
  <c r="AB190" i="2"/>
  <c r="AA190" i="2"/>
  <c r="Z190" i="2"/>
  <c r="X190" i="2"/>
  <c r="D190" i="2"/>
  <c r="C190" i="2"/>
  <c r="AK190" i="2" s="1"/>
  <c r="AL189" i="2"/>
  <c r="AJ189" i="2"/>
  <c r="AI189" i="2"/>
  <c r="AG189" i="2"/>
  <c r="AF189" i="2"/>
  <c r="AE189" i="2"/>
  <c r="AD189" i="2"/>
  <c r="AC189" i="2"/>
  <c r="AB189" i="2"/>
  <c r="AA189" i="2"/>
  <c r="Z189" i="2"/>
  <c r="X189" i="2"/>
  <c r="D189" i="2"/>
  <c r="C189" i="2"/>
  <c r="AK189" i="2" s="1"/>
  <c r="AL188" i="2"/>
  <c r="AJ188" i="2"/>
  <c r="AG188" i="2"/>
  <c r="AF188" i="2"/>
  <c r="AE188" i="2"/>
  <c r="AD188" i="2"/>
  <c r="AC188" i="2"/>
  <c r="AB188" i="2"/>
  <c r="AA188" i="2"/>
  <c r="Z188" i="2"/>
  <c r="X188" i="2"/>
  <c r="D188" i="2"/>
  <c r="C188" i="2"/>
  <c r="AK188" i="2" s="1"/>
  <c r="AL187" i="2"/>
  <c r="AJ187" i="2"/>
  <c r="AI187" i="2"/>
  <c r="AG187" i="2"/>
  <c r="AF187" i="2"/>
  <c r="AE187" i="2"/>
  <c r="AD187" i="2"/>
  <c r="AC187" i="2"/>
  <c r="AB187" i="2"/>
  <c r="AA187" i="2"/>
  <c r="Z187" i="2"/>
  <c r="X187" i="2"/>
  <c r="D187" i="2"/>
  <c r="C187" i="2"/>
  <c r="AK187" i="2" s="1"/>
  <c r="AL186" i="2"/>
  <c r="AJ186" i="2"/>
  <c r="AI186" i="2"/>
  <c r="AG186" i="2"/>
  <c r="AF186" i="2"/>
  <c r="AE186" i="2"/>
  <c r="AD186" i="2"/>
  <c r="AC186" i="2"/>
  <c r="AB186" i="2"/>
  <c r="AA186" i="2"/>
  <c r="Z186" i="2"/>
  <c r="X186" i="2"/>
  <c r="D186" i="2"/>
  <c r="C186" i="2"/>
  <c r="AK186" i="2" s="1"/>
  <c r="AL185" i="2"/>
  <c r="AJ185" i="2"/>
  <c r="AI185" i="2"/>
  <c r="AG185" i="2"/>
  <c r="AF185" i="2"/>
  <c r="AE185" i="2"/>
  <c r="AD185" i="2"/>
  <c r="AC185" i="2"/>
  <c r="AB185" i="2"/>
  <c r="AA185" i="2"/>
  <c r="Z185" i="2"/>
  <c r="X185" i="2"/>
  <c r="D185" i="2"/>
  <c r="C185" i="2"/>
  <c r="AK185" i="2" s="1"/>
  <c r="AL184" i="2"/>
  <c r="AJ184" i="2"/>
  <c r="AG184" i="2"/>
  <c r="AF184" i="2"/>
  <c r="AE184" i="2"/>
  <c r="AD184" i="2"/>
  <c r="AC184" i="2"/>
  <c r="AB184" i="2"/>
  <c r="AA184" i="2"/>
  <c r="Z184" i="2"/>
  <c r="X184" i="2"/>
  <c r="D184" i="2"/>
  <c r="C184" i="2"/>
  <c r="AK184" i="2" s="1"/>
  <c r="AL183" i="2"/>
  <c r="AJ183" i="2"/>
  <c r="AI183" i="2"/>
  <c r="AG183" i="2"/>
  <c r="AF183" i="2"/>
  <c r="AE183" i="2"/>
  <c r="AD183" i="2"/>
  <c r="AC183" i="2"/>
  <c r="AB183" i="2"/>
  <c r="AA183" i="2"/>
  <c r="Z183" i="2"/>
  <c r="X183" i="2"/>
  <c r="D183" i="2"/>
  <c r="C183" i="2"/>
  <c r="AK183" i="2" s="1"/>
  <c r="AL182" i="2"/>
  <c r="AJ182" i="2"/>
  <c r="AI182" i="2"/>
  <c r="AG182" i="2"/>
  <c r="AF182" i="2"/>
  <c r="AE182" i="2"/>
  <c r="AD182" i="2"/>
  <c r="AC182" i="2"/>
  <c r="AB182" i="2"/>
  <c r="AA182" i="2"/>
  <c r="Z182" i="2"/>
  <c r="X182" i="2"/>
  <c r="D182" i="2"/>
  <c r="C182" i="2"/>
  <c r="AK182" i="2" s="1"/>
  <c r="AL181" i="2"/>
  <c r="AJ181" i="2"/>
  <c r="AI181" i="2"/>
  <c r="AG181" i="2"/>
  <c r="AF181" i="2"/>
  <c r="AE181" i="2"/>
  <c r="AD181" i="2"/>
  <c r="AC181" i="2"/>
  <c r="AB181" i="2"/>
  <c r="AA181" i="2"/>
  <c r="Z181" i="2"/>
  <c r="X181" i="2"/>
  <c r="D181" i="2"/>
  <c r="C181" i="2"/>
  <c r="AK181" i="2" s="1"/>
  <c r="AL180" i="2"/>
  <c r="AJ180" i="2"/>
  <c r="AG180" i="2"/>
  <c r="AF180" i="2"/>
  <c r="AE180" i="2"/>
  <c r="AD180" i="2"/>
  <c r="AC180" i="2"/>
  <c r="AB180" i="2"/>
  <c r="AA180" i="2"/>
  <c r="Z180" i="2"/>
  <c r="X180" i="2"/>
  <c r="D180" i="2"/>
  <c r="C180" i="2"/>
  <c r="AK180" i="2" s="1"/>
  <c r="AL179" i="2"/>
  <c r="AJ179" i="2"/>
  <c r="AI179" i="2"/>
  <c r="AG179" i="2"/>
  <c r="AF179" i="2"/>
  <c r="AE179" i="2"/>
  <c r="AD179" i="2"/>
  <c r="AC179" i="2"/>
  <c r="AB179" i="2"/>
  <c r="AA179" i="2"/>
  <c r="Z179" i="2"/>
  <c r="X179" i="2"/>
  <c r="D179" i="2"/>
  <c r="C179" i="2"/>
  <c r="AK179" i="2" s="1"/>
  <c r="AL178" i="2"/>
  <c r="AJ178" i="2"/>
  <c r="AI178" i="2"/>
  <c r="AG178" i="2"/>
  <c r="AF178" i="2"/>
  <c r="AE178" i="2"/>
  <c r="AD178" i="2"/>
  <c r="AC178" i="2"/>
  <c r="AB178" i="2"/>
  <c r="AA178" i="2"/>
  <c r="Z178" i="2"/>
  <c r="X178" i="2"/>
  <c r="D178" i="2"/>
  <c r="C178" i="2"/>
  <c r="AK178" i="2" s="1"/>
  <c r="AL177" i="2"/>
  <c r="AJ177" i="2"/>
  <c r="AI177" i="2"/>
  <c r="AG177" i="2"/>
  <c r="AF177" i="2"/>
  <c r="AE177" i="2"/>
  <c r="AD177" i="2"/>
  <c r="AC177" i="2"/>
  <c r="AB177" i="2"/>
  <c r="AA177" i="2"/>
  <c r="Z177" i="2"/>
  <c r="X177" i="2"/>
  <c r="D177" i="2"/>
  <c r="C177" i="2"/>
  <c r="AK177" i="2" s="1"/>
  <c r="AL176" i="2"/>
  <c r="AJ176" i="2"/>
  <c r="AG176" i="2"/>
  <c r="AF176" i="2"/>
  <c r="AE176" i="2"/>
  <c r="AD176" i="2"/>
  <c r="AC176" i="2"/>
  <c r="AB176" i="2"/>
  <c r="AA176" i="2"/>
  <c r="Z176" i="2"/>
  <c r="X176" i="2"/>
  <c r="D176" i="2"/>
  <c r="C176" i="2"/>
  <c r="AK176" i="2" s="1"/>
  <c r="AL175" i="2"/>
  <c r="AJ175" i="2"/>
  <c r="AI175" i="2"/>
  <c r="AG175" i="2"/>
  <c r="AF175" i="2"/>
  <c r="AE175" i="2"/>
  <c r="AD175" i="2"/>
  <c r="AC175" i="2"/>
  <c r="AB175" i="2"/>
  <c r="AA175" i="2"/>
  <c r="Z175" i="2"/>
  <c r="X175" i="2"/>
  <c r="D175" i="2"/>
  <c r="C175" i="2"/>
  <c r="AK175" i="2" s="1"/>
  <c r="AL174" i="2"/>
  <c r="AJ174" i="2"/>
  <c r="AI174" i="2"/>
  <c r="AG174" i="2"/>
  <c r="AF174" i="2"/>
  <c r="AE174" i="2"/>
  <c r="AD174" i="2"/>
  <c r="AC174" i="2"/>
  <c r="AB174" i="2"/>
  <c r="AA174" i="2"/>
  <c r="Z174" i="2"/>
  <c r="X174" i="2"/>
  <c r="D174" i="2"/>
  <c r="C174" i="2"/>
  <c r="AK174" i="2" s="1"/>
  <c r="AL173" i="2"/>
  <c r="AJ173" i="2"/>
  <c r="AI173" i="2"/>
  <c r="AG173" i="2"/>
  <c r="AF173" i="2"/>
  <c r="AE173" i="2"/>
  <c r="AD173" i="2"/>
  <c r="AC173" i="2"/>
  <c r="AB173" i="2"/>
  <c r="AA173" i="2"/>
  <c r="Z173" i="2"/>
  <c r="X173" i="2"/>
  <c r="D173" i="2"/>
  <c r="C173" i="2"/>
  <c r="AK173" i="2" s="1"/>
  <c r="AN172" i="2"/>
  <c r="AM172" i="2"/>
  <c r="AL172" i="2"/>
  <c r="AJ172" i="2"/>
  <c r="AG172" i="2"/>
  <c r="AF172" i="2"/>
  <c r="AE172" i="2"/>
  <c r="AD172" i="2"/>
  <c r="AC172" i="2"/>
  <c r="AB172" i="2"/>
  <c r="AA172" i="2"/>
  <c r="Z172" i="2"/>
  <c r="Y172" i="2"/>
  <c r="X172" i="2"/>
  <c r="D172" i="2"/>
  <c r="C172" i="2"/>
  <c r="AH172" i="2" s="1"/>
  <c r="AN171" i="2"/>
  <c r="AM171" i="2"/>
  <c r="AL171" i="2"/>
  <c r="AJ171" i="2"/>
  <c r="AG171" i="2"/>
  <c r="AF171" i="2"/>
  <c r="AE171" i="2"/>
  <c r="AD171" i="2"/>
  <c r="AC171" i="2"/>
  <c r="AB171" i="2"/>
  <c r="AA171" i="2"/>
  <c r="Z171" i="2"/>
  <c r="Y171" i="2"/>
  <c r="X171" i="2"/>
  <c r="D171" i="2"/>
  <c r="C171" i="2"/>
  <c r="AK171" i="2" s="1"/>
  <c r="AN170" i="2"/>
  <c r="AM170" i="2"/>
  <c r="AL170" i="2"/>
  <c r="AJ170" i="2"/>
  <c r="AI170" i="2"/>
  <c r="AG170" i="2"/>
  <c r="AF170" i="2"/>
  <c r="AE170" i="2"/>
  <c r="AD170" i="2"/>
  <c r="AC170" i="2"/>
  <c r="AB170" i="2"/>
  <c r="AA170" i="2"/>
  <c r="Z170" i="2"/>
  <c r="Y170" i="2"/>
  <c r="X170" i="2"/>
  <c r="D170" i="2"/>
  <c r="C170" i="2"/>
  <c r="AK170" i="2" s="1"/>
  <c r="AN169" i="2"/>
  <c r="AM169" i="2"/>
  <c r="AL169" i="2"/>
  <c r="AJ169" i="2"/>
  <c r="AG169" i="2"/>
  <c r="AF169" i="2"/>
  <c r="AE169" i="2"/>
  <c r="AD169" i="2"/>
  <c r="AC169" i="2"/>
  <c r="AB169" i="2"/>
  <c r="AA169" i="2"/>
  <c r="Z169" i="2"/>
  <c r="Y169" i="2"/>
  <c r="X169" i="2"/>
  <c r="D169" i="2"/>
  <c r="C169" i="2"/>
  <c r="AI169" i="2" s="1"/>
  <c r="AN168" i="2"/>
  <c r="AM168" i="2"/>
  <c r="AL168" i="2"/>
  <c r="AJ168" i="2"/>
  <c r="AK168" i="2" s="1"/>
  <c r="AG168" i="2"/>
  <c r="AF168" i="2"/>
  <c r="AE168" i="2"/>
  <c r="AD168" i="2"/>
  <c r="AC168" i="2"/>
  <c r="AB168" i="2"/>
  <c r="AA168" i="2"/>
  <c r="Z168" i="2"/>
  <c r="Y168" i="2"/>
  <c r="X168" i="2"/>
  <c r="D168" i="2"/>
  <c r="C168" i="2"/>
  <c r="AI168" i="2" s="1"/>
  <c r="AN167" i="2"/>
  <c r="AM167" i="2"/>
  <c r="AL167" i="2"/>
  <c r="AJ167" i="2"/>
  <c r="AK167" i="2" s="1"/>
  <c r="AH167" i="2"/>
  <c r="AG167" i="2"/>
  <c r="AF167" i="2"/>
  <c r="AE167" i="2"/>
  <c r="AD167" i="2"/>
  <c r="AC167" i="2"/>
  <c r="AB167" i="2"/>
  <c r="AA167" i="2"/>
  <c r="Z167" i="2"/>
  <c r="Y167" i="2"/>
  <c r="X167" i="2"/>
  <c r="D167" i="2"/>
  <c r="C167" i="2"/>
  <c r="AI167" i="2" s="1"/>
  <c r="AN166" i="2"/>
  <c r="AM166" i="2"/>
  <c r="AL166" i="2"/>
  <c r="AJ166" i="2"/>
  <c r="AG166" i="2"/>
  <c r="AF166" i="2"/>
  <c r="AE166" i="2"/>
  <c r="AD166" i="2"/>
  <c r="AC166" i="2"/>
  <c r="AB166" i="2"/>
  <c r="AA166" i="2"/>
  <c r="Z166" i="2"/>
  <c r="Y166" i="2"/>
  <c r="X166" i="2"/>
  <c r="D166" i="2"/>
  <c r="C166" i="2"/>
  <c r="AK166" i="2" s="1"/>
  <c r="AN165" i="2"/>
  <c r="AM165" i="2"/>
  <c r="AL165" i="2"/>
  <c r="AJ165" i="2"/>
  <c r="AG165" i="2"/>
  <c r="AF165" i="2"/>
  <c r="AE165" i="2"/>
  <c r="AD165" i="2"/>
  <c r="AC165" i="2"/>
  <c r="AB165" i="2"/>
  <c r="AA165" i="2"/>
  <c r="Z165" i="2"/>
  <c r="Y165" i="2"/>
  <c r="X165" i="2"/>
  <c r="D165" i="2"/>
  <c r="C165" i="2"/>
  <c r="AK165" i="2" s="1"/>
  <c r="AN164" i="2"/>
  <c r="AM164" i="2"/>
  <c r="AL164" i="2"/>
  <c r="AJ164" i="2"/>
  <c r="AG164" i="2"/>
  <c r="AF164" i="2"/>
  <c r="AE164" i="2"/>
  <c r="AD164" i="2"/>
  <c r="AC164" i="2"/>
  <c r="AB164" i="2"/>
  <c r="AA164" i="2"/>
  <c r="Z164" i="2"/>
  <c r="Y164" i="2"/>
  <c r="X164" i="2"/>
  <c r="D164" i="2"/>
  <c r="C164" i="2"/>
  <c r="AH164" i="2" s="1"/>
  <c r="AN163" i="2"/>
  <c r="AM163" i="2"/>
  <c r="AL163" i="2"/>
  <c r="AJ163" i="2"/>
  <c r="AG163" i="2"/>
  <c r="AF163" i="2"/>
  <c r="AE163" i="2"/>
  <c r="AD163" i="2"/>
  <c r="AC163" i="2"/>
  <c r="AB163" i="2"/>
  <c r="AA163" i="2"/>
  <c r="Z163" i="2"/>
  <c r="Y163" i="2"/>
  <c r="X163" i="2"/>
  <c r="D163" i="2"/>
  <c r="C163" i="2"/>
  <c r="AK163" i="2" s="1"/>
  <c r="AN162" i="2"/>
  <c r="AM162" i="2"/>
  <c r="AL162" i="2"/>
  <c r="AJ162" i="2"/>
  <c r="AI162" i="2"/>
  <c r="AG162" i="2"/>
  <c r="AF162" i="2"/>
  <c r="AE162" i="2"/>
  <c r="AD162" i="2"/>
  <c r="AC162" i="2"/>
  <c r="AB162" i="2"/>
  <c r="AA162" i="2"/>
  <c r="Z162" i="2"/>
  <c r="Y162" i="2"/>
  <c r="X162" i="2"/>
  <c r="D162" i="2"/>
  <c r="C162" i="2"/>
  <c r="AK162" i="2" s="1"/>
  <c r="AN161" i="2"/>
  <c r="AM161" i="2"/>
  <c r="AL161" i="2"/>
  <c r="AJ161" i="2"/>
  <c r="AG161" i="2"/>
  <c r="AF161" i="2"/>
  <c r="AE161" i="2"/>
  <c r="AD161" i="2"/>
  <c r="AC161" i="2"/>
  <c r="AB161" i="2"/>
  <c r="AA161" i="2"/>
  <c r="Z161" i="2"/>
  <c r="Y161" i="2"/>
  <c r="X161" i="2"/>
  <c r="D161" i="2"/>
  <c r="C161" i="2"/>
  <c r="AI161" i="2" s="1"/>
  <c r="AN160" i="2"/>
  <c r="AM160" i="2"/>
  <c r="AL160" i="2"/>
  <c r="AJ160" i="2"/>
  <c r="AK160" i="2" s="1"/>
  <c r="AG160" i="2"/>
  <c r="AF160" i="2"/>
  <c r="AE160" i="2"/>
  <c r="AD160" i="2"/>
  <c r="AC160" i="2"/>
  <c r="AB160" i="2"/>
  <c r="AA160" i="2"/>
  <c r="Z160" i="2"/>
  <c r="Y160" i="2"/>
  <c r="X160" i="2"/>
  <c r="D160" i="2"/>
  <c r="C160" i="2"/>
  <c r="AI160" i="2" s="1"/>
  <c r="AN159" i="2"/>
  <c r="AM159" i="2"/>
  <c r="AL159" i="2"/>
  <c r="AJ159" i="2"/>
  <c r="AK159" i="2" s="1"/>
  <c r="AH159" i="2"/>
  <c r="AG159" i="2"/>
  <c r="AF159" i="2"/>
  <c r="AE159" i="2"/>
  <c r="AD159" i="2"/>
  <c r="AC159" i="2"/>
  <c r="AB159" i="2"/>
  <c r="AA159" i="2"/>
  <c r="Z159" i="2"/>
  <c r="Y159" i="2"/>
  <c r="X159" i="2"/>
  <c r="D159" i="2"/>
  <c r="C159" i="2"/>
  <c r="AI159" i="2" s="1"/>
  <c r="AN158" i="2"/>
  <c r="AM158" i="2"/>
  <c r="AL158" i="2"/>
  <c r="AJ158" i="2"/>
  <c r="AG158" i="2"/>
  <c r="AF158" i="2"/>
  <c r="AE158" i="2"/>
  <c r="AD158" i="2"/>
  <c r="AC158" i="2"/>
  <c r="AB158" i="2"/>
  <c r="AA158" i="2"/>
  <c r="Z158" i="2"/>
  <c r="Y158" i="2"/>
  <c r="X158" i="2"/>
  <c r="D158" i="2"/>
  <c r="C158" i="2"/>
  <c r="AK158" i="2" s="1"/>
  <c r="AN157" i="2"/>
  <c r="AM157" i="2"/>
  <c r="AL157" i="2"/>
  <c r="AJ157" i="2"/>
  <c r="AG157" i="2"/>
  <c r="AF157" i="2"/>
  <c r="AE157" i="2"/>
  <c r="AD157" i="2"/>
  <c r="AC157" i="2"/>
  <c r="AB157" i="2"/>
  <c r="AA157" i="2"/>
  <c r="Z157" i="2"/>
  <c r="Y157" i="2"/>
  <c r="X157" i="2"/>
  <c r="D157" i="2"/>
  <c r="C157" i="2"/>
  <c r="AK157" i="2" s="1"/>
  <c r="C27" i="2"/>
  <c r="T26" i="2"/>
  <c r="W26" i="2" s="1"/>
  <c r="S26" i="2"/>
  <c r="U26" i="2" s="1"/>
  <c r="Q26" i="2"/>
  <c r="P26" i="2"/>
  <c r="R26" i="2" s="1"/>
  <c r="H26" i="2"/>
  <c r="C26" i="2"/>
  <c r="X24" i="2"/>
  <c r="W24" i="2"/>
  <c r="V24" i="2"/>
  <c r="U24" i="2"/>
  <c r="R24" i="2"/>
  <c r="X23" i="2"/>
  <c r="W23" i="2"/>
  <c r="V23" i="2"/>
  <c r="U23" i="2"/>
  <c r="R23" i="2"/>
  <c r="X22" i="2"/>
  <c r="W22" i="2"/>
  <c r="V22" i="2"/>
  <c r="U22" i="2"/>
  <c r="R22" i="2"/>
  <c r="X21" i="2"/>
  <c r="W21" i="2"/>
  <c r="V21" i="2"/>
  <c r="U21" i="2"/>
  <c r="R21" i="2"/>
  <c r="X20" i="2"/>
  <c r="W20" i="2"/>
  <c r="V20" i="2"/>
  <c r="U20" i="2"/>
  <c r="R20" i="2"/>
  <c r="X19" i="2"/>
  <c r="W19" i="2"/>
  <c r="V19" i="2"/>
  <c r="U19" i="2"/>
  <c r="R19" i="2"/>
  <c r="X18" i="2"/>
  <c r="W18" i="2"/>
  <c r="V18" i="2"/>
  <c r="U18" i="2"/>
  <c r="R18" i="2"/>
  <c r="X17" i="2"/>
  <c r="W17" i="2"/>
  <c r="V17" i="2"/>
  <c r="U17" i="2"/>
  <c r="R17" i="2"/>
  <c r="X16" i="2"/>
  <c r="W16" i="2"/>
  <c r="V16" i="2"/>
  <c r="U16" i="2"/>
  <c r="R16" i="2"/>
  <c r="X15" i="2"/>
  <c r="W15" i="2"/>
  <c r="V15" i="2"/>
  <c r="U15" i="2"/>
  <c r="R15" i="2"/>
  <c r="X14" i="2"/>
  <c r="W14" i="2"/>
  <c r="V14" i="2"/>
  <c r="U14" i="2"/>
  <c r="R14" i="2"/>
  <c r="X13" i="2"/>
  <c r="W13" i="2"/>
  <c r="V13" i="2"/>
  <c r="U13" i="2"/>
  <c r="R13" i="2"/>
  <c r="X12" i="2"/>
  <c r="W12" i="2"/>
  <c r="V12" i="2"/>
  <c r="U12" i="2"/>
  <c r="R12" i="2"/>
  <c r="X11" i="2"/>
  <c r="W11" i="2"/>
  <c r="V11" i="2"/>
  <c r="U11" i="2"/>
  <c r="R11" i="2"/>
  <c r="X10" i="2"/>
  <c r="W10" i="2"/>
  <c r="V10" i="2"/>
  <c r="U10" i="2"/>
  <c r="R10" i="2"/>
  <c r="X9" i="2"/>
  <c r="W9" i="2"/>
  <c r="V9" i="2"/>
  <c r="U9" i="2"/>
  <c r="R9" i="2"/>
  <c r="L4" i="2"/>
  <c r="K4" i="2"/>
  <c r="J4" i="2"/>
  <c r="I4" i="2"/>
  <c r="S62" i="1"/>
  <c r="R62" i="1"/>
  <c r="T62" i="1" s="1"/>
  <c r="Q62" i="1"/>
  <c r="L62" i="1"/>
  <c r="K62" i="1"/>
  <c r="M62" i="1" s="1"/>
  <c r="T60" i="1"/>
  <c r="S60" i="1"/>
  <c r="M60" i="1"/>
  <c r="T59" i="1"/>
  <c r="S59" i="1"/>
  <c r="M59" i="1"/>
  <c r="T58" i="1"/>
  <c r="S58" i="1"/>
  <c r="M58" i="1"/>
  <c r="T57" i="1"/>
  <c r="S57" i="1"/>
  <c r="M57" i="1"/>
  <c r="T56" i="1"/>
  <c r="S56" i="1"/>
  <c r="T55" i="1"/>
  <c r="S55" i="1"/>
  <c r="T54" i="1"/>
  <c r="S54" i="1"/>
  <c r="J54" i="1"/>
  <c r="I54" i="1"/>
  <c r="L53" i="1"/>
  <c r="AC50" i="1"/>
  <c r="AB50" i="1"/>
  <c r="AD50" i="1" s="1"/>
  <c r="X50" i="1"/>
  <c r="W50" i="1"/>
  <c r="Y50" i="1" s="1"/>
  <c r="R50" i="1"/>
  <c r="Q50" i="1"/>
  <c r="S50" i="1" s="1"/>
  <c r="AC49" i="1"/>
  <c r="AB49" i="1"/>
  <c r="AD49" i="1" s="1"/>
  <c r="X49" i="1"/>
  <c r="W49" i="1"/>
  <c r="Y49" i="1" s="1"/>
  <c r="R49" i="1"/>
  <c r="S49" i="1" s="1"/>
  <c r="Q49" i="1"/>
  <c r="M49" i="1"/>
  <c r="AD48" i="1"/>
  <c r="Y48" i="1"/>
  <c r="S48" i="1"/>
  <c r="E48" i="1"/>
  <c r="G48" i="1" s="1"/>
  <c r="C48" i="1"/>
  <c r="D48" i="1" s="1"/>
  <c r="D44" i="1" s="1"/>
  <c r="AD47" i="1"/>
  <c r="Y47" i="1"/>
  <c r="S47" i="1"/>
  <c r="AD46" i="1"/>
  <c r="Y46" i="1"/>
  <c r="S46" i="1"/>
  <c r="AD45" i="1"/>
  <c r="Y45" i="1"/>
  <c r="S45" i="1"/>
  <c r="AD44" i="1"/>
  <c r="Y44" i="1"/>
  <c r="S44" i="1"/>
  <c r="B9" i="1" s="1"/>
  <c r="N41" i="1"/>
  <c r="K41" i="1"/>
  <c r="J41" i="1"/>
  <c r="H41" i="1"/>
  <c r="G41" i="1"/>
  <c r="F41" i="1"/>
  <c r="E41" i="1"/>
  <c r="D41" i="1"/>
  <c r="C41" i="1"/>
  <c r="M40" i="1"/>
  <c r="K40" i="1"/>
  <c r="J40" i="1"/>
  <c r="H40" i="1"/>
  <c r="G40" i="1"/>
  <c r="F40" i="1"/>
  <c r="E40" i="1"/>
  <c r="D40" i="1"/>
  <c r="C40" i="1"/>
  <c r="K39" i="1"/>
  <c r="J39" i="1"/>
  <c r="H39" i="1"/>
  <c r="G39" i="1"/>
  <c r="F39" i="1"/>
  <c r="E39" i="1"/>
  <c r="D39" i="1"/>
  <c r="C39" i="1"/>
  <c r="M38" i="1"/>
  <c r="K38" i="1"/>
  <c r="J38" i="1"/>
  <c r="H38" i="1"/>
  <c r="G38" i="1"/>
  <c r="F38" i="1"/>
  <c r="E38" i="1"/>
  <c r="D38" i="1"/>
  <c r="C38" i="1"/>
  <c r="C45" i="1" s="1"/>
  <c r="C49" i="1" s="1"/>
  <c r="F37" i="1"/>
  <c r="E37" i="1"/>
  <c r="D37" i="1"/>
  <c r="C37" i="1"/>
  <c r="K35" i="1"/>
  <c r="K37" i="1" s="1"/>
  <c r="J35" i="1"/>
  <c r="J37" i="1" s="1"/>
  <c r="H35" i="1"/>
  <c r="H37" i="1" s="1"/>
  <c r="O34" i="1"/>
  <c r="M34" i="1"/>
  <c r="M41" i="1" s="1"/>
  <c r="L34" i="1"/>
  <c r="L41" i="1" s="1"/>
  <c r="I34" i="1"/>
  <c r="I41" i="1" s="1"/>
  <c r="O33" i="1"/>
  <c r="M33" i="1"/>
  <c r="L33" i="1"/>
  <c r="I33" i="1"/>
  <c r="O32" i="1"/>
  <c r="M32" i="1"/>
  <c r="L32" i="1"/>
  <c r="I32" i="1"/>
  <c r="O31" i="1"/>
  <c r="M31" i="1"/>
  <c r="L31" i="1"/>
  <c r="I31" i="1"/>
  <c r="O30" i="1"/>
  <c r="M30" i="1"/>
  <c r="L30" i="1"/>
  <c r="I30" i="1"/>
  <c r="O29" i="1"/>
  <c r="N40" i="1" s="1"/>
  <c r="M29" i="1"/>
  <c r="L29" i="1"/>
  <c r="L40" i="1" s="1"/>
  <c r="I29" i="1"/>
  <c r="I40" i="1" s="1"/>
  <c r="O28" i="1"/>
  <c r="M28" i="1"/>
  <c r="L28" i="1"/>
  <c r="I28" i="1"/>
  <c r="I39" i="1" s="1"/>
  <c r="O27" i="1"/>
  <c r="M27" i="1"/>
  <c r="L27" i="1"/>
  <c r="I27" i="1"/>
  <c r="N26" i="1"/>
  <c r="O26" i="1" s="1"/>
  <c r="M26" i="1"/>
  <c r="L26" i="1"/>
  <c r="I26" i="1"/>
  <c r="O25" i="1"/>
  <c r="M25" i="1"/>
  <c r="L25" i="1"/>
  <c r="I25" i="1"/>
  <c r="O24" i="1"/>
  <c r="M24" i="1"/>
  <c r="M39" i="1" s="1"/>
  <c r="L24" i="1"/>
  <c r="L39" i="1" s="1"/>
  <c r="I24" i="1"/>
  <c r="O23" i="1"/>
  <c r="M23" i="1"/>
  <c r="L23" i="1"/>
  <c r="I23" i="1"/>
  <c r="O22" i="1"/>
  <c r="M22" i="1"/>
  <c r="L22" i="1"/>
  <c r="I22" i="1"/>
  <c r="O21" i="1"/>
  <c r="M21" i="1"/>
  <c r="L21" i="1"/>
  <c r="I21" i="1"/>
  <c r="O20" i="1"/>
  <c r="M20" i="1"/>
  <c r="L20" i="1"/>
  <c r="I20" i="1"/>
  <c r="O19" i="1"/>
  <c r="M19" i="1"/>
  <c r="L19" i="1"/>
  <c r="I19" i="1"/>
  <c r="O18" i="1"/>
  <c r="M18" i="1"/>
  <c r="L18" i="1"/>
  <c r="I18" i="1"/>
  <c r="O17" i="1"/>
  <c r="M17" i="1"/>
  <c r="L17" i="1"/>
  <c r="I17" i="1"/>
  <c r="N16" i="1"/>
  <c r="M16" i="1"/>
  <c r="L16" i="1"/>
  <c r="I16" i="1"/>
  <c r="N15" i="1"/>
  <c r="M15" i="1"/>
  <c r="L15" i="1"/>
  <c r="I15" i="1"/>
  <c r="N14" i="1"/>
  <c r="M14" i="1"/>
  <c r="L14" i="1"/>
  <c r="L38" i="1" s="1"/>
  <c r="I14" i="1"/>
  <c r="I38" i="1" s="1"/>
  <c r="N13" i="1"/>
  <c r="M13" i="1"/>
  <c r="L13" i="1"/>
  <c r="I13" i="1"/>
  <c r="N12" i="1"/>
  <c r="M12" i="1"/>
  <c r="L12" i="1"/>
  <c r="I12" i="1"/>
  <c r="T9" i="1"/>
  <c r="S9" i="1"/>
  <c r="R9" i="1"/>
  <c r="Q9" i="1"/>
  <c r="O9" i="1"/>
  <c r="I9" i="1"/>
  <c r="H9" i="1"/>
  <c r="G9" i="1"/>
  <c r="F9" i="1"/>
  <c r="E9" i="1"/>
  <c r="D9" i="1"/>
  <c r="C9" i="1"/>
  <c r="V5" i="1"/>
  <c r="R5" i="1"/>
  <c r="Q5" i="1"/>
  <c r="P5" i="1"/>
  <c r="O5" i="1"/>
  <c r="N5" i="1"/>
  <c r="M5" i="1"/>
  <c r="L5" i="1"/>
  <c r="J5" i="1"/>
  <c r="I5" i="1"/>
  <c r="H5" i="1"/>
  <c r="G5" i="1"/>
  <c r="U4" i="1"/>
  <c r="K4" i="1"/>
  <c r="G4" i="1"/>
  <c r="F4" i="1"/>
  <c r="E4" i="1"/>
  <c r="D4" i="1"/>
  <c r="U3" i="1"/>
  <c r="U5" i="1" s="1"/>
  <c r="K3" i="1"/>
  <c r="K5" i="1" s="1"/>
  <c r="G3" i="1"/>
  <c r="F3" i="1"/>
  <c r="L9" i="1" s="1"/>
  <c r="E3" i="1"/>
  <c r="E5" i="1" s="1"/>
  <c r="D3" i="1"/>
  <c r="D5" i="1" s="1"/>
  <c r="C3" i="1"/>
  <c r="M9" i="1" s="1"/>
  <c r="AI192" i="2" l="1"/>
  <c r="AI196" i="2"/>
  <c r="AI176" i="2"/>
  <c r="AI180" i="2"/>
  <c r="AI184" i="2"/>
  <c r="AI203" i="2"/>
  <c r="AI207" i="2"/>
  <c r="AI195" i="2"/>
  <c r="AI158" i="2"/>
  <c r="AI191" i="2"/>
  <c r="AI199" i="2"/>
  <c r="AI190" i="2"/>
  <c r="AI194" i="2"/>
  <c r="AI198" i="2"/>
  <c r="AH157" i="2"/>
  <c r="AK164" i="2"/>
  <c r="AH165" i="2"/>
  <c r="AK172" i="2"/>
  <c r="AH158" i="2"/>
  <c r="AH166" i="2"/>
  <c r="AI188" i="2"/>
  <c r="AI200" i="2"/>
  <c r="AI166" i="2"/>
  <c r="D248" i="2"/>
  <c r="AI164" i="2"/>
  <c r="AI172" i="2"/>
  <c r="AG248" i="2"/>
  <c r="AK161" i="2"/>
  <c r="AH162" i="2"/>
  <c r="AK169" i="2"/>
  <c r="AH170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N9" i="1"/>
  <c r="V26" i="2"/>
  <c r="AI157" i="2"/>
  <c r="AH160" i="2"/>
  <c r="AI165" i="2"/>
  <c r="AH168" i="2"/>
  <c r="AH163" i="2"/>
  <c r="AH171" i="2"/>
  <c r="C248" i="2"/>
  <c r="AI163" i="2"/>
  <c r="AI171" i="2"/>
  <c r="AH161" i="2"/>
  <c r="AH169" i="2"/>
  <c r="AE248" i="2"/>
  <c r="X248" i="2"/>
  <c r="AF248" i="2"/>
  <c r="N39" i="1"/>
  <c r="F45" i="1"/>
  <c r="D49" i="1" s="1"/>
  <c r="M42" i="1"/>
  <c r="C50" i="1"/>
  <c r="N38" i="1"/>
  <c r="F48" i="1"/>
  <c r="C5" i="1"/>
  <c r="P9" i="1"/>
  <c r="J9" i="1"/>
  <c r="F5" i="1"/>
  <c r="K9" i="1"/>
  <c r="K54" i="1"/>
  <c r="AK248" i="2" l="1"/>
  <c r="AI248" i="2"/>
  <c r="AH248" i="2"/>
  <c r="D50" i="1"/>
  <c r="E49" i="1"/>
  <c r="E50" i="1" l="1"/>
  <c r="G49" i="1"/>
  <c r="F49" i="1"/>
  <c r="F50" i="1" l="1"/>
  <c r="G50" i="1"/>
</calcChain>
</file>

<file path=xl/sharedStrings.xml><?xml version="1.0" encoding="utf-8"?>
<sst xmlns="http://schemas.openxmlformats.org/spreadsheetml/2006/main" count="578" uniqueCount="266">
  <si>
    <t>INC.STAT</t>
  </si>
  <si>
    <t>BAL. SHEET</t>
  </si>
  <si>
    <t>CASHFLOW</t>
  </si>
  <si>
    <t>PIDILITIND</t>
  </si>
  <si>
    <t>COMPANY</t>
  </si>
  <si>
    <t>PRICE</t>
  </si>
  <si>
    <t>MCAP</t>
  </si>
  <si>
    <t>SALES</t>
  </si>
  <si>
    <t>PROFIT</t>
  </si>
  <si>
    <t>EPS</t>
  </si>
  <si>
    <t>EQUITY</t>
  </si>
  <si>
    <t>TOTAL EQ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</si>
  <si>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</si>
  <si>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</si>
  <si>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</si>
  <si>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</si>
  <si>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</si>
  <si>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</si>
  <si>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</si>
  <si>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</si>
  <si>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CFO</t>
  </si>
  <si>
    <t>CFI</t>
  </si>
  <si>
    <t>CFF</t>
  </si>
  <si>
    <t>NET</t>
  </si>
  <si>
    <t>PPE</t>
  </si>
  <si>
    <t>LAST YEAR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</si>
  <si>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</si>
  <si>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</si>
  <si>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</si>
  <si>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</si>
  <si>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</si>
  <si>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</si>
  <si>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</si>
  <si>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</si>
  <si>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</si>
  <si>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</si>
  <si>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</si>
  <si>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</si>
  <si>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</si>
  <si>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</si>
  <si>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ROPE</t>
  </si>
  <si>
    <t>ROA</t>
  </si>
  <si>
    <t>PE</t>
  </si>
  <si>
    <t>YIELD</t>
  </si>
  <si>
    <t>BOOKVALUE</t>
  </si>
  <si>
    <t>PBV</t>
  </si>
  <si>
    <t>PEG</t>
  </si>
  <si>
    <t>OCFR</t>
  </si>
  <si>
    <t>CFD</t>
  </si>
  <si>
    <t>FCF IN CR</t>
  </si>
  <si>
    <t>HISTORY</t>
  </si>
  <si>
    <t>Year</t>
  </si>
  <si>
    <t>Revenue</t>
  </si>
  <si>
    <t>Expenditure</t>
  </si>
  <si>
    <t>Interest</t>
  </si>
  <si>
    <t>Net Profit</t>
  </si>
  <si>
    <t>Equity</t>
  </si>
  <si>
    <t>NPM %</t>
  </si>
  <si>
    <t>HIGHPRICE</t>
  </si>
  <si>
    <t>LOWPRICE</t>
  </si>
  <si>
    <t>HIGHPE</t>
  </si>
  <si>
    <t>LOWPE</t>
  </si>
  <si>
    <t>dividend</t>
  </si>
  <si>
    <t>div%</t>
  </si>
  <si>
    <t>Split10:1</t>
  </si>
  <si>
    <t>Bonus</t>
  </si>
  <si>
    <t>X</t>
  </si>
  <si>
    <t>20 Year Growth</t>
  </si>
  <si>
    <t>10 Year Growth</t>
  </si>
  <si>
    <t>5 Year Growth</t>
  </si>
  <si>
    <t>Cy Growth</t>
  </si>
  <si>
    <t>GR_EST</t>
  </si>
  <si>
    <t>Volume</t>
  </si>
  <si>
    <t>Profit</t>
  </si>
  <si>
    <t>MARGIN</t>
  </si>
  <si>
    <t>Trend</t>
  </si>
  <si>
    <t>Q1_FY_24</t>
  </si>
  <si>
    <t>H1_FY24</t>
  </si>
  <si>
    <t>9M_FY24</t>
  </si>
  <si>
    <t>FY_24</t>
  </si>
  <si>
    <t>EST_FY25</t>
  </si>
  <si>
    <t>Results</t>
  </si>
  <si>
    <t>fy_24</t>
  </si>
  <si>
    <t>CHANGE</t>
  </si>
  <si>
    <t>Q4_fy24</t>
  </si>
  <si>
    <t>Q4_fy23</t>
  </si>
  <si>
    <t>9M_FY_24</t>
  </si>
  <si>
    <t>9M_FY_23</t>
  </si>
  <si>
    <t>Current Year</t>
  </si>
  <si>
    <t>Sales</t>
  </si>
  <si>
    <t>LongTerm</t>
  </si>
  <si>
    <t>COST</t>
  </si>
  <si>
    <t>FINANCE</t>
  </si>
  <si>
    <t>ESTIMATE</t>
  </si>
  <si>
    <t>FairValue</t>
  </si>
  <si>
    <t>Dividend</t>
  </si>
  <si>
    <t>fy_2025</t>
  </si>
  <si>
    <t>Q1</t>
  </si>
  <si>
    <t>Q2</t>
  </si>
  <si>
    <t>Q3</t>
  </si>
  <si>
    <t>Q4</t>
  </si>
  <si>
    <t>T_EPS_24</t>
  </si>
  <si>
    <t>fy_2030</t>
  </si>
  <si>
    <t>fy_2035</t>
  </si>
  <si>
    <t>EPS_23</t>
  </si>
  <si>
    <t>ESP_24</t>
  </si>
  <si>
    <t>F_EPS_25</t>
  </si>
  <si>
    <t>PE_23</t>
  </si>
  <si>
    <t>PE_24</t>
  </si>
  <si>
    <t>F_PE_25</t>
  </si>
  <si>
    <t>Major Cost</t>
  </si>
  <si>
    <t>Share</t>
  </si>
  <si>
    <t>Growth</t>
  </si>
  <si>
    <t>SEGMENT SALES</t>
  </si>
  <si>
    <t>Material</t>
  </si>
  <si>
    <t>Adhesives &amp; Sealants</t>
  </si>
  <si>
    <t>StockinTrade</t>
  </si>
  <si>
    <t>Construction &amp; Paint Chemicals</t>
  </si>
  <si>
    <t>SHP</t>
  </si>
  <si>
    <t>Investors</t>
  </si>
  <si>
    <t>Inventory</t>
  </si>
  <si>
    <t>Art &amp; Craft Materials</t>
  </si>
  <si>
    <t>Promoters</t>
  </si>
  <si>
    <t>Employee</t>
  </si>
  <si>
    <t>Industrial Adhesives</t>
  </si>
  <si>
    <t>MF, INSURAMCE</t>
  </si>
  <si>
    <t>Finance</t>
  </si>
  <si>
    <t>Industrial Resins, Construction chemicals</t>
  </si>
  <si>
    <t>FPI</t>
  </si>
  <si>
    <t>D&amp;A</t>
  </si>
  <si>
    <t>Pigment &amp; Preparations</t>
  </si>
  <si>
    <t>Retail</t>
  </si>
  <si>
    <t>OtherExp</t>
  </si>
  <si>
    <t>Others</t>
  </si>
  <si>
    <t>TOTAL</t>
  </si>
  <si>
    <t>Net</t>
  </si>
  <si>
    <t>INDUSTRY</t>
  </si>
  <si>
    <t>Listed Companies</t>
  </si>
  <si>
    <t>Marketpcap</t>
  </si>
  <si>
    <t>TOT. EQUITY</t>
  </si>
  <si>
    <t>TOT. ASSET</t>
  </si>
  <si>
    <t>SALES_18</t>
  </si>
  <si>
    <t>SALES_23</t>
  </si>
  <si>
    <t>TRAIL_SALES</t>
  </si>
  <si>
    <t>PROFIT_23</t>
  </si>
  <si>
    <t>TRAIL_PROFIT</t>
  </si>
  <si>
    <t>CUR. RATIO</t>
  </si>
  <si>
    <t>TR.DAYS</t>
  </si>
  <si>
    <t>TRAIL_PE</t>
  </si>
  <si>
    <t>MarketCap</t>
  </si>
  <si>
    <t>COMPANIES</t>
  </si>
  <si>
    <t>SALES 5Y GR</t>
  </si>
  <si>
    <t>CURRENT TREND</t>
  </si>
  <si>
    <t>16 = 80%</t>
  </si>
  <si>
    <t>SALES GR</t>
  </si>
  <si>
    <t>PROFIT GR</t>
  </si>
  <si>
    <t>TRAIL_MARGIN</t>
  </si>
  <si>
    <t>MARGIN_23</t>
  </si>
  <si>
    <t>CHART</t>
  </si>
  <si>
    <t>SRF</t>
  </si>
  <si>
    <t>74 = 20%</t>
  </si>
  <si>
    <t>FLUOROCHEM</t>
  </si>
  <si>
    <t>DEEPAKNI</t>
  </si>
  <si>
    <t>AARTIIND</t>
  </si>
  <si>
    <t>DEEPAKNTR</t>
  </si>
  <si>
    <t>ATUL</t>
  </si>
  <si>
    <t>VINATIORGA</t>
  </si>
  <si>
    <t>HSCL</t>
  </si>
  <si>
    <t>CLEAN</t>
  </si>
  <si>
    <t>FINEORG</t>
  </si>
  <si>
    <t>BASF</t>
  </si>
  <si>
    <t>ALKYLAMINE</t>
  </si>
  <si>
    <t>AETHER</t>
  </si>
  <si>
    <t>ANURAS</t>
  </si>
  <si>
    <t>GALAXYSURF</t>
  </si>
  <si>
    <t>ACI</t>
  </si>
  <si>
    <t>OTHERS_74</t>
  </si>
  <si>
    <t>INDSUTRY</t>
  </si>
  <si>
    <t>CORRECTION MODE</t>
  </si>
  <si>
    <t>MARGIN %</t>
  </si>
  <si>
    <t>Security Code</t>
  </si>
  <si>
    <t>price</t>
  </si>
  <si>
    <t>CUR ASSET</t>
  </si>
  <si>
    <t>CUR LIABILITY</t>
  </si>
  <si>
    <t>TOT. LIABILITY</t>
  </si>
  <si>
    <t>TRADE REC.</t>
  </si>
  <si>
    <t>NPA in % (For banks only)</t>
  </si>
  <si>
    <t>TRAIL_EPS</t>
  </si>
  <si>
    <t>Companies weightage</t>
  </si>
  <si>
    <t>EXPENSE</t>
  </si>
  <si>
    <t>TRAIL_SALES_GR</t>
  </si>
  <si>
    <t>TRAIL_PROFIT_GR</t>
  </si>
  <si>
    <t>BALAMINES</t>
  </si>
  <si>
    <t>LXCHEM</t>
  </si>
  <si>
    <t>JUBLINGREA</t>
  </si>
  <si>
    <t>ELANTAS</t>
  </si>
  <si>
    <t>PRIVISCL</t>
  </si>
  <si>
    <t>NOCIL</t>
  </si>
  <si>
    <t>ROSSARI</t>
  </si>
  <si>
    <t>EPIGRAL</t>
  </si>
  <si>
    <t>NEOGEN</t>
  </si>
  <si>
    <t>FCL</t>
  </si>
  <si>
    <t>TATVA</t>
  </si>
  <si>
    <t>STYRENIX</t>
  </si>
  <si>
    <t>BEPL</t>
  </si>
  <si>
    <t>FOSECOIND</t>
  </si>
  <si>
    <t>DDEVPLASTIK</t>
  </si>
  <si>
    <t>CAMLINFINE</t>
  </si>
  <si>
    <t>VISHNU</t>
  </si>
  <si>
    <t>VIDHIING</t>
  </si>
  <si>
    <t>YASHO</t>
  </si>
  <si>
    <t>JYOTIRES</t>
  </si>
  <si>
    <t>PAUSHAKLTD</t>
  </si>
  <si>
    <t>FAIRCHEMOR</t>
  </si>
  <si>
    <t>VALIANTORG</t>
  </si>
  <si>
    <t>OAL</t>
  </si>
  <si>
    <t>INDOAMIN</t>
  </si>
  <si>
    <t>TINNARUBR</t>
  </si>
  <si>
    <t>HPAL</t>
  </si>
  <si>
    <t>EXCELINDUS</t>
  </si>
  <si>
    <t>CHEMCON</t>
  </si>
  <si>
    <t>JUBLINDS</t>
  </si>
  <si>
    <t>NITTAGELA</t>
  </si>
  <si>
    <t>PLASTIBLEN</t>
  </si>
  <si>
    <t>JAYAGROGN</t>
  </si>
  <si>
    <t>DMCC</t>
  </si>
  <si>
    <t>BLACKROSE</t>
  </si>
  <si>
    <t>CHEMBOND</t>
  </si>
  <si>
    <t>SUNSHIEL</t>
  </si>
  <si>
    <t>NIKHILAD</t>
  </si>
  <si>
    <t>VIKASECO</t>
  </si>
  <si>
    <t>AARTISURF</t>
  </si>
  <si>
    <t>AMAL</t>
  </si>
  <si>
    <t>DIAMINESQ</t>
  </si>
  <si>
    <t>CHEMCRUX</t>
  </si>
  <si>
    <t>INDTONER</t>
  </si>
  <si>
    <t>TITANBIO</t>
  </si>
  <si>
    <t>DYNPRO</t>
  </si>
  <si>
    <t>DAICHI</t>
  </si>
  <si>
    <t>MULTIBASE</t>
  </si>
  <si>
    <t>INDGELA</t>
  </si>
  <si>
    <t>VIPULORG</t>
  </si>
  <si>
    <t>SHAWGELTIN</t>
  </si>
  <si>
    <t>DEEP</t>
  </si>
  <si>
    <t>COCHINM</t>
  </si>
  <si>
    <t>SUDARSHAN</t>
  </si>
  <si>
    <t>POLSON</t>
  </si>
  <si>
    <t>ALKALI</t>
  </si>
  <si>
    <t>RESONANCE</t>
  </si>
  <si>
    <t>ISHANCH</t>
  </si>
  <si>
    <t>JAYSYN</t>
  </si>
  <si>
    <t>KKALPANAIND</t>
  </si>
  <si>
    <t>SEYAIND</t>
  </si>
  <si>
    <t>EIKO</t>
  </si>
  <si>
    <t>DAIKAFFI</t>
  </si>
  <si>
    <t>BCCL</t>
  </si>
  <si>
    <t>YUG</t>
  </si>
  <si>
    <t>KEMISTAR</t>
  </si>
  <si>
    <t>HARDCAS</t>
  </si>
  <si>
    <t>DYNAMIND</t>
  </si>
  <si>
    <t>CRSTCHM</t>
  </si>
  <si>
    <t>OMKARCHEM</t>
  </si>
  <si>
    <t>PRATIKSH</t>
  </si>
  <si>
    <t>INDOEURO</t>
  </si>
  <si>
    <t>JDORGOCHEM</t>
  </si>
  <si>
    <t>ORGCOAT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</si>
</sst>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"/>
    <numFmt numFmtId="165" formatCode="0.0%"/>
    <numFmt numFmtId="166" formatCode="#,##0.0"/>
    <numFmt numFmtId="167" formatCode="#,##0;\(#,##0\)"/>
    <numFmt numFmtId="168" formatCode="#,##0;[Red]#,##0"/>
    <numFmt numFmtId="169" formatCode="#,##0.0;[Red]#,##0.0"/>
  </numFmts>
  <fonts count="21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Calibri"/>
    </font>
    <font>
      <sz val="11"/>
      <color theme="1"/>
      <name val="Arial"/>
    </font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Calibri"/>
    </font>
    <font>
      <b/>
      <sz val="14"/>
      <color rgb="FFFFFFFF"/>
      <name val="Calibri"/>
      <scheme val="minor"/>
    </font>
    <font>
      <b/>
      <sz val="11"/>
      <color rgb="FF000000"/>
      <name val="Calibri"/>
      <scheme val="minor"/>
    </font>
    <font>
      <sz val="12"/>
      <color rgb="FF000000"/>
      <name val="Calibri"/>
      <scheme val="minor"/>
    </font>
    <font>
      <i/>
      <sz val="11"/>
      <color rgb="FF000000"/>
      <name val="Calibri"/>
      <scheme val="minor"/>
    </font>
    <font>
      <b/>
      <sz val="11"/>
      <color theme="1"/>
      <name val="Calibri"/>
      <scheme val="minor"/>
    </font>
    <font>
      <b/>
      <sz val="12"/>
      <color rgb="FF000000"/>
      <name val="Calibri"/>
      <scheme val="minor"/>
    </font>
    <font>
      <sz val="14"/>
      <color theme="1"/>
      <name val="Calibri"/>
      <scheme val="minor"/>
    </font>
    <font>
      <sz val="11"/>
      <color rgb="FFFFFFFF"/>
      <name val="Arial"/>
    </font>
    <font>
      <sz val="11"/>
      <name val="Arial"/>
    </font>
    <font>
      <b/>
      <i/>
      <sz val="11"/>
      <color theme="1"/>
      <name val="Arial"/>
    </font>
    <font>
      <b/>
      <i/>
      <u/>
      <sz val="11"/>
      <color theme="1"/>
      <name val="Arial"/>
    </font>
    <font>
      <b/>
      <i/>
      <u/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073763"/>
        <bgColor rgb="FF073763"/>
      </patternFill>
    </fill>
    <fill>
      <patternFill patternType="solid">
        <fgColor rgb="FFEAEAEA"/>
        <bgColor rgb="FFEAEAEA"/>
      </patternFill>
    </fill>
    <fill>
      <patternFill patternType="solid">
        <fgColor rgb="FFB8CCE4"/>
        <bgColor rgb="FFB8CCE4"/>
      </patternFill>
    </fill>
    <fill>
      <patternFill patternType="solid">
        <fgColor rgb="FF7F6000"/>
        <bgColor rgb="FF7F6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1" fillId="3" borderId="0" xfId="0" applyFont="1" applyFill="1"/>
    <xf numFmtId="1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1" fillId="3" borderId="1" xfId="0" applyNumberFormat="1" applyFont="1" applyFill="1" applyBorder="1"/>
    <xf numFmtId="3" fontId="1" fillId="0" borderId="1" xfId="0" applyNumberFormat="1" applyFont="1" applyBorder="1"/>
    <xf numFmtId="0" fontId="3" fillId="0" borderId="4" xfId="0" applyFont="1" applyBorder="1"/>
    <xf numFmtId="164" fontId="3" fillId="0" borderId="3" xfId="0" applyNumberFormat="1" applyFont="1" applyBorder="1" applyAlignment="1">
      <alignment horizontal="right"/>
    </xf>
    <xf numFmtId="3" fontId="4" fillId="3" borderId="1" xfId="0" applyNumberFormat="1" applyFont="1" applyFill="1" applyBorder="1"/>
    <xf numFmtId="0" fontId="5" fillId="0" borderId="1" xfId="0" applyFont="1" applyBorder="1"/>
    <xf numFmtId="10" fontId="5" fillId="0" borderId="1" xfId="0" applyNumberFormat="1" applyFont="1" applyBorder="1"/>
    <xf numFmtId="165" fontId="5" fillId="0" borderId="1" xfId="0" applyNumberFormat="1" applyFont="1" applyBorder="1"/>
    <xf numFmtId="9" fontId="5" fillId="0" borderId="1" xfId="0" applyNumberFormat="1" applyFont="1" applyBorder="1"/>
    <xf numFmtId="0" fontId="5" fillId="0" borderId="5" xfId="0" applyFont="1" applyBorder="1"/>
    <xf numFmtId="0" fontId="5" fillId="0" borderId="0" xfId="0" applyFont="1"/>
    <xf numFmtId="0" fontId="4" fillId="3" borderId="0" xfId="0" applyFont="1" applyFill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4" xfId="0" applyFont="1" applyFill="1" applyBorder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9" fontId="3" fillId="4" borderId="4" xfId="0" applyNumberFormat="1" applyFont="1" applyFill="1" applyBorder="1" applyAlignment="1">
      <alignment horizontal="right"/>
    </xf>
    <xf numFmtId="9" fontId="3" fillId="4" borderId="3" xfId="0" applyNumberFormat="1" applyFont="1" applyFill="1" applyBorder="1" applyAlignment="1">
      <alignment horizontal="right"/>
    </xf>
    <xf numFmtId="166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165" fontId="3" fillId="4" borderId="3" xfId="0" applyNumberFormat="1" applyFont="1" applyFill="1" applyBorder="1" applyAlignment="1">
      <alignment horizontal="right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8" fillId="6" borderId="1" xfId="0" applyFont="1" applyFill="1" applyBorder="1" applyAlignment="1">
      <alignment horizontal="left"/>
    </xf>
    <xf numFmtId="1" fontId="8" fillId="6" borderId="1" xfId="0" applyNumberFormat="1" applyFont="1" applyFill="1" applyBorder="1" applyAlignment="1">
      <alignment horizontal="left"/>
    </xf>
    <xf numFmtId="15" fontId="8" fillId="6" borderId="1" xfId="0" applyNumberFormat="1" applyFont="1" applyFill="1" applyBorder="1" applyAlignment="1">
      <alignment horizontal="left"/>
    </xf>
    <xf numFmtId="167" fontId="4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1" fillId="0" borderId="0" xfId="0" applyFont="1"/>
    <xf numFmtId="0" fontId="2" fillId="0" borderId="0" xfId="0" applyFont="1"/>
    <xf numFmtId="9" fontId="1" fillId="0" borderId="0" xfId="0" applyNumberFormat="1" applyFont="1"/>
    <xf numFmtId="10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0" fontId="1" fillId="0" borderId="0" xfId="0" applyNumberFormat="1" applyFont="1"/>
    <xf numFmtId="3" fontId="1" fillId="0" borderId="0" xfId="0" applyNumberFormat="1" applyFont="1"/>
    <xf numFmtId="3" fontId="8" fillId="3" borderId="1" xfId="0" applyNumberFormat="1" applyFont="1" applyFill="1" applyBorder="1" applyAlignment="1">
      <alignment horizontal="right"/>
    </xf>
    <xf numFmtId="1" fontId="4" fillId="0" borderId="0" xfId="0" applyNumberFormat="1" applyFont="1"/>
    <xf numFmtId="164" fontId="1" fillId="0" borderId="0" xfId="0" applyNumberFormat="1" applyFont="1"/>
    <xf numFmtId="0" fontId="4" fillId="0" borderId="0" xfId="0" applyFont="1"/>
    <xf numFmtId="0" fontId="1" fillId="0" borderId="1" xfId="0" applyFont="1" applyBorder="1"/>
    <xf numFmtId="1" fontId="1" fillId="0" borderId="1" xfId="0" applyNumberFormat="1" applyFont="1" applyBorder="1"/>
    <xf numFmtId="164" fontId="1" fillId="0" borderId="1" xfId="0" applyNumberFormat="1" applyFont="1" applyBorder="1"/>
    <xf numFmtId="164" fontId="4" fillId="0" borderId="0" xfId="0" applyNumberFormat="1" applyFont="1"/>
    <xf numFmtId="9" fontId="4" fillId="3" borderId="1" xfId="0" applyNumberFormat="1" applyFont="1" applyFill="1" applyBorder="1"/>
    <xf numFmtId="9" fontId="9" fillId="3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/>
    </xf>
    <xf numFmtId="1" fontId="1" fillId="3" borderId="1" xfId="0" applyNumberFormat="1" applyFont="1" applyFill="1" applyBorder="1"/>
    <xf numFmtId="3" fontId="10" fillId="7" borderId="0" xfId="0" applyNumberFormat="1" applyFont="1" applyFill="1"/>
    <xf numFmtId="0" fontId="11" fillId="0" borderId="0" xfId="0" applyFont="1"/>
    <xf numFmtId="10" fontId="11" fillId="0" borderId="0" xfId="0" applyNumberFormat="1" applyFont="1"/>
    <xf numFmtId="9" fontId="4" fillId="3" borderId="1" xfId="0" applyNumberFormat="1" applyFont="1" applyFill="1" applyBorder="1" applyAlignment="1">
      <alignment horizontal="right"/>
    </xf>
    <xf numFmtId="9" fontId="1" fillId="3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/>
    <xf numFmtId="9" fontId="5" fillId="0" borderId="1" xfId="0" applyNumberFormat="1" applyFont="1" applyBorder="1" applyAlignment="1">
      <alignment horizontal="right"/>
    </xf>
    <xf numFmtId="0" fontId="5" fillId="0" borderId="4" xfId="0" applyFont="1" applyBorder="1"/>
    <xf numFmtId="0" fontId="5" fillId="0" borderId="3" xfId="0" applyFont="1" applyBorder="1" applyAlignment="1">
      <alignment horizontal="right"/>
    </xf>
    <xf numFmtId="9" fontId="5" fillId="0" borderId="3" xfId="0" applyNumberFormat="1" applyFont="1" applyBorder="1" applyAlignment="1">
      <alignment horizontal="right"/>
    </xf>
    <xf numFmtId="165" fontId="4" fillId="3" borderId="1" xfId="0" applyNumberFormat="1" applyFont="1" applyFill="1" applyBorder="1"/>
    <xf numFmtId="0" fontId="12" fillId="3" borderId="0" xfId="0" applyFont="1" applyFill="1" applyAlignment="1">
      <alignment horizontal="center"/>
    </xf>
    <xf numFmtId="165" fontId="5" fillId="0" borderId="1" xfId="0" applyNumberFormat="1" applyFont="1" applyBorder="1" applyAlignment="1">
      <alignment horizontal="right"/>
    </xf>
    <xf numFmtId="0" fontId="7" fillId="5" borderId="6" xfId="0" applyFont="1" applyFill="1" applyBorder="1" applyAlignment="1">
      <alignment horizontal="center"/>
    </xf>
    <xf numFmtId="165" fontId="1" fillId="0" borderId="0" xfId="0" applyNumberFormat="1" applyFont="1"/>
    <xf numFmtId="168" fontId="4" fillId="4" borderId="1" xfId="0" applyNumberFormat="1" applyFont="1" applyFill="1" applyBorder="1"/>
    <xf numFmtId="1" fontId="4" fillId="4" borderId="1" xfId="0" applyNumberFormat="1" applyFont="1" applyFill="1" applyBorder="1"/>
    <xf numFmtId="164" fontId="4" fillId="3" borderId="1" xfId="0" applyNumberFormat="1" applyFont="1" applyFill="1" applyBorder="1"/>
    <xf numFmtId="165" fontId="5" fillId="0" borderId="3" xfId="0" applyNumberFormat="1" applyFont="1" applyBorder="1" applyAlignment="1">
      <alignment horizontal="right"/>
    </xf>
    <xf numFmtId="1" fontId="5" fillId="0" borderId="3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8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9" fontId="1" fillId="3" borderId="1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164" fontId="13" fillId="4" borderId="0" xfId="0" applyNumberFormat="1" applyFont="1" applyFill="1" applyAlignment="1">
      <alignment horizontal="center"/>
    </xf>
    <xf numFmtId="1" fontId="1" fillId="0" borderId="0" xfId="0" applyNumberFormat="1" applyFont="1"/>
    <xf numFmtId="168" fontId="4" fillId="3" borderId="0" xfId="0" applyNumberFormat="1" applyFont="1" applyFill="1"/>
    <xf numFmtId="1" fontId="1" fillId="3" borderId="1" xfId="0" applyNumberFormat="1" applyFont="1" applyFill="1" applyBorder="1" applyAlignment="1">
      <alignment horizontal="center"/>
    </xf>
    <xf numFmtId="9" fontId="1" fillId="0" borderId="1" xfId="0" applyNumberFormat="1" applyFont="1" applyBorder="1"/>
    <xf numFmtId="9" fontId="0" fillId="0" borderId="1" xfId="0" applyNumberFormat="1" applyBorder="1"/>
    <xf numFmtId="10" fontId="5" fillId="0" borderId="1" xfId="0" applyNumberFormat="1" applyFont="1" applyBorder="1" applyAlignment="1">
      <alignment horizontal="right"/>
    </xf>
    <xf numFmtId="168" fontId="1" fillId="3" borderId="0" xfId="0" applyNumberFormat="1" applyFont="1" applyFill="1"/>
    <xf numFmtId="10" fontId="1" fillId="0" borderId="1" xfId="0" applyNumberFormat="1" applyFont="1" applyBorder="1"/>
    <xf numFmtId="168" fontId="1" fillId="0" borderId="0" xfId="0" applyNumberFormat="1" applyFont="1"/>
    <xf numFmtId="0" fontId="8" fillId="3" borderId="0" xfId="0" applyFont="1" applyFill="1"/>
    <xf numFmtId="0" fontId="11" fillId="0" borderId="7" xfId="0" applyFont="1" applyBorder="1"/>
    <xf numFmtId="9" fontId="11" fillId="0" borderId="7" xfId="0" applyNumberFormat="1" applyFont="1" applyBorder="1"/>
    <xf numFmtId="0" fontId="11" fillId="0" borderId="1" xfId="0" applyFont="1" applyBorder="1"/>
    <xf numFmtId="9" fontId="11" fillId="0" borderId="1" xfId="0" applyNumberFormat="1" applyFont="1" applyBorder="1"/>
    <xf numFmtId="15" fontId="1" fillId="0" borderId="0" xfId="0" applyNumberFormat="1" applyFont="1"/>
    <xf numFmtId="167" fontId="1" fillId="0" borderId="0" xfId="0" applyNumberFormat="1" applyFont="1"/>
    <xf numFmtId="1" fontId="3" fillId="0" borderId="0" xfId="0" applyNumberFormat="1" applyFont="1"/>
    <xf numFmtId="2" fontId="3" fillId="0" borderId="0" xfId="0" applyNumberFormat="1" applyFont="1"/>
    <xf numFmtId="0" fontId="14" fillId="5" borderId="1" xfId="0" applyFont="1" applyFill="1" applyBorder="1"/>
    <xf numFmtId="0" fontId="14" fillId="8" borderId="1" xfId="0" applyFont="1" applyFill="1" applyBorder="1"/>
    <xf numFmtId="1" fontId="3" fillId="0" borderId="1" xfId="0" applyNumberFormat="1" applyFont="1" applyBorder="1"/>
    <xf numFmtId="2" fontId="1" fillId="0" borderId="1" xfId="0" applyNumberFormat="1" applyFont="1" applyBorder="1"/>
    <xf numFmtId="165" fontId="1" fillId="0" borderId="1" xfId="0" applyNumberFormat="1" applyFont="1" applyBorder="1"/>
    <xf numFmtId="165" fontId="3" fillId="0" borderId="1" xfId="0" applyNumberFormat="1" applyFont="1" applyBorder="1"/>
    <xf numFmtId="165" fontId="3" fillId="0" borderId="0" xfId="0" applyNumberFormat="1" applyFont="1"/>
    <xf numFmtId="0" fontId="14" fillId="5" borderId="0" xfId="0" applyFont="1" applyFill="1"/>
    <xf numFmtId="0" fontId="3" fillId="0" borderId="0" xfId="0" applyFont="1"/>
    <xf numFmtId="0" fontId="3" fillId="0" borderId="1" xfId="0" applyFont="1" applyBorder="1"/>
    <xf numFmtId="9" fontId="3" fillId="0" borderId="0" xfId="0" applyNumberFormat="1" applyFont="1"/>
    <xf numFmtId="0" fontId="14" fillId="5" borderId="0" xfId="0" applyFont="1" applyFill="1"/>
    <xf numFmtId="0" fontId="0" fillId="0" borderId="0" xfId="0"/>
    <xf numFmtId="1" fontId="1" fillId="0" borderId="6" xfId="0" applyNumberFormat="1" applyFont="1" applyBorder="1"/>
    <xf numFmtId="0" fontId="15" fillId="0" borderId="2" xfId="0" applyFont="1" applyBorder="1"/>
    <xf numFmtId="1" fontId="3" fillId="0" borderId="6" xfId="0" applyNumberFormat="1" applyFont="1" applyBorder="1"/>
    <xf numFmtId="1" fontId="3" fillId="0" borderId="5" xfId="0" applyNumberFormat="1" applyFont="1" applyBorder="1"/>
    <xf numFmtId="0" fontId="3" fillId="0" borderId="5" xfId="0" applyFont="1" applyBorder="1"/>
    <xf numFmtId="0" fontId="16" fillId="0" borderId="5" xfId="0" applyFont="1" applyBorder="1"/>
    <xf numFmtId="1" fontId="16" fillId="0" borderId="5" xfId="0" applyNumberFormat="1" applyFont="1" applyBorder="1"/>
    <xf numFmtId="9" fontId="16" fillId="0" borderId="5" xfId="0" applyNumberFormat="1" applyFont="1" applyBorder="1"/>
    <xf numFmtId="0" fontId="17" fillId="4" borderId="5" xfId="0" applyFont="1" applyFill="1" applyBorder="1"/>
    <xf numFmtId="3" fontId="18" fillId="4" borderId="0" xfId="0" applyNumberFormat="1" applyFont="1" applyFill="1"/>
    <xf numFmtId="165" fontId="18" fillId="4" borderId="0" xfId="0" applyNumberFormat="1" applyFont="1" applyFill="1"/>
    <xf numFmtId="1" fontId="18" fillId="4" borderId="0" xfId="0" applyNumberFormat="1" applyFont="1" applyFill="1"/>
    <xf numFmtId="1" fontId="17" fillId="4" borderId="0" xfId="0" applyNumberFormat="1" applyFont="1" applyFill="1"/>
    <xf numFmtId="10" fontId="3" fillId="0" borderId="0" xfId="0" applyNumberFormat="1" applyFont="1"/>
    <xf numFmtId="164" fontId="3" fillId="0" borderId="0" xfId="0" applyNumberFormat="1" applyFont="1"/>
    <xf numFmtId="10" fontId="3" fillId="0" borderId="5" xfId="0" applyNumberFormat="1" applyFont="1" applyBorder="1"/>
    <xf numFmtId="164" fontId="3" fillId="0" borderId="5" xfId="0" applyNumberFormat="1" applyFont="1" applyBorder="1"/>
    <xf numFmtId="164" fontId="16" fillId="0" borderId="5" xfId="0" applyNumberFormat="1" applyFont="1" applyBorder="1"/>
    <xf numFmtId="165" fontId="3" fillId="0" borderId="5" xfId="0" applyNumberFormat="1" applyFont="1" applyBorder="1"/>
    <xf numFmtId="0" fontId="14" fillId="8" borderId="0" xfId="0" applyFont="1" applyFill="1"/>
    <xf numFmtId="0" fontId="19" fillId="0" borderId="1" xfId="0" applyFont="1" applyBorder="1" applyAlignment="1">
      <alignment horizontal="right"/>
    </xf>
    <xf numFmtId="0" fontId="19" fillId="0" borderId="1" xfId="0" applyFont="1" applyBorder="1"/>
    <xf numFmtId="2" fontId="3" fillId="0" borderId="1" xfId="0" applyNumberFormat="1" applyFont="1" applyBorder="1"/>
    <xf numFmtId="0" fontId="3" fillId="0" borderId="8" xfId="0" applyFont="1" applyBorder="1" applyAlignment="1">
      <alignment horizontal="right"/>
    </xf>
    <xf numFmtId="10" fontId="3" fillId="0" borderId="1" xfId="0" applyNumberFormat="1" applyFont="1" applyBorder="1"/>
    <xf numFmtId="164" fontId="3" fillId="0" borderId="1" xfId="0" applyNumberFormat="1" applyFont="1" applyBorder="1"/>
    <xf numFmtId="9" fontId="3" fillId="0" borderId="1" xfId="0" applyNumberFormat="1" applyFont="1" applyBorder="1"/>
    <xf numFmtId="0" fontId="3" fillId="0" borderId="5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19" fillId="0" borderId="10" xfId="0" applyFont="1" applyBorder="1" applyAlignment="1">
      <alignment horizontal="right"/>
    </xf>
    <xf numFmtId="0" fontId="19" fillId="0" borderId="0" xfId="0" applyFont="1" applyAlignment="1">
      <alignment horizontal="right"/>
    </xf>
    <xf numFmtId="0" fontId="19" fillId="0" borderId="2" xfId="0" applyFont="1" applyBorder="1"/>
    <xf numFmtId="0" fontId="3" fillId="0" borderId="11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1" fontId="3" fillId="0" borderId="2" xfId="0" applyNumberFormat="1" applyFont="1" applyBorder="1"/>
    <xf numFmtId="1" fontId="3" fillId="0" borderId="6" xfId="0" applyNumberFormat="1" applyFont="1" applyBorder="1"/>
    <xf numFmtId="0" fontId="20" fillId="0" borderId="1" xfId="0" applyFont="1" applyBorder="1"/>
    <xf numFmtId="0" fontId="20" fillId="0" borderId="0" xfId="0" applyFont="1"/>
    <xf numFmtId="2" fontId="20" fillId="0" borderId="0" xfId="0" applyNumberFormat="1" applyFont="1"/>
    <xf numFmtId="1" fontId="20" fillId="0" borderId="0" xfId="0" applyNumberFormat="1" applyFont="1"/>
    <xf numFmtId="0" fontId="17" fillId="4" borderId="1" xfId="0" applyFont="1" applyFill="1" applyBorder="1"/>
    <xf numFmtId="1" fontId="17" fillId="4" borderId="1" xfId="0" applyNumberFormat="1" applyFont="1" applyFill="1" applyBorder="1"/>
    <xf numFmtId="10" fontId="17" fillId="4" borderId="1" xfId="0" applyNumberFormat="1" applyFont="1" applyFill="1" applyBorder="1"/>
    <xf numFmtId="0" fontId="17" fillId="4" borderId="4" xfId="0" applyFont="1" applyFill="1" applyBorder="1"/>
    <xf numFmtId="1" fontId="17" fillId="4" borderId="2" xfId="0" applyNumberFormat="1" applyFont="1" applyFill="1" applyBorder="1"/>
    <xf numFmtId="2" fontId="17" fillId="4" borderId="1" xfId="0" applyNumberFormat="1" applyFont="1" applyFill="1" applyBorder="1"/>
    <xf numFmtId="164" fontId="17" fillId="4" borderId="1" xfId="0" applyNumberFormat="1" applyFont="1" applyFill="1" applyBorder="1"/>
    <xf numFmtId="9" fontId="17" fillId="4" borderId="1" xfId="0" applyNumberFormat="1" applyFont="1" applyFill="1" applyBorder="1"/>
    <xf numFmtId="9" fontId="17" fillId="4" borderId="0" xfId="0" applyNumberFormat="1" applyFont="1" applyFill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TableStyle="TableStyleMedium2" defaultPivotStyle="PivotStyleLight16">
    <tableStyle name="Specialty Chemicals -style" pivot="0" count="3" xr9:uid="{2FC80BDC-A8DF-49B2-A84A-D80B3B7341AE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MarketCap: 5.4 LAKH CR</a:t>
            </a:r>
          </a:p>
        </c:rich>
      </c:tx>
      <c:layout>
        <c:manualLayout>
          <c:xMode val="edge"/>
          <c:yMode val="edge"/>
          <c:x val="3.0917874396135268E-2"/>
          <c:y val="4.0977822580645168E-2"/>
        </c:manualLayout>
      </c:layout>
      <c:overlay val="0"/>
    </c:title>
    <c:autoTitleDeleted val="0"/>
    <c:plotArea>
      <c:layout>
        <c:manualLayout>
          <c:xMode val="edge"/>
          <c:yMode val="edge"/>
          <c:x val="3.0917874396135268E-2"/>
          <c:y val="0.15755208333333331"/>
          <c:w val="0.68557715210681691"/>
          <c:h val="0.7885416666666667"/>
        </c:manualLayout>
      </c:layout>
      <c:pieChart>
        <c:varyColors val="1"/>
        <c:ser>
          <c:idx val="0"/>
          <c:order val="0"/>
          <c:tx>
            <c:strRef>
              <c:f>'Specialty Chemicals '!$C$7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2B6-4C9A-880A-87351B972243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2B6-4C9A-880A-87351B972243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2B6-4C9A-880A-87351B972243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2B6-4C9A-880A-87351B972243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2B6-4C9A-880A-87351B972243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2B6-4C9A-880A-87351B972243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2B6-4C9A-880A-87351B972243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2B6-4C9A-880A-87351B972243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72B6-4C9A-880A-87351B972243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72B6-4C9A-880A-87351B972243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72B6-4C9A-880A-87351B972243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72B6-4C9A-880A-87351B972243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72B6-4C9A-880A-87351B972243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72B6-4C9A-880A-87351B972243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72B6-4C9A-880A-87351B972243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72B6-4C9A-880A-87351B972243}"/>
              </c:ext>
            </c:extLst>
          </c:dPt>
          <c:dPt>
            <c:idx val="16"/>
            <c:bubble3D val="0"/>
            <c:spPr>
              <a:solidFill>
                <a:srgbClr val="FFC599"/>
              </a:solidFill>
            </c:spPr>
            <c:extLst>
              <c:ext xmlns:c16="http://schemas.microsoft.com/office/drawing/2014/chart" uri="{C3380CC4-5D6E-409C-BE32-E72D297353CC}">
                <c16:uniqueId val="{00000021-72B6-4C9A-880A-87351B97224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'Specialty Chemicals '!$B$8:$B$24</c:f>
              <c:strCache>
                <c:ptCount val="17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  <c:pt idx="16">
                  <c:v>OTHERS_74</c:v>
                </c:pt>
              </c:strCache>
            </c:strRef>
          </c:cat>
          <c:val>
            <c:numRef>
              <c:f>'Specialty Chemicals '!$C$8:$C$24</c:f>
              <c:numCache>
                <c:formatCode>0</c:formatCode>
                <c:ptCount val="17"/>
                <c:pt idx="0">
                  <c:v>127864.37802</c:v>
                </c:pt>
                <c:pt idx="1">
                  <c:v>68567.330799999996</c:v>
                </c:pt>
                <c:pt idx="2">
                  <c:v>39005.334244899997</c:v>
                </c:pt>
                <c:pt idx="3">
                  <c:v>30725.933075000001</c:v>
                </c:pt>
                <c:pt idx="4">
                  <c:v>23316.257722499999</c:v>
                </c:pt>
                <c:pt idx="5">
                  <c:v>18739.673875</c:v>
                </c:pt>
                <c:pt idx="6">
                  <c:v>17688.782200000001</c:v>
                </c:pt>
                <c:pt idx="7">
                  <c:v>17713.542799999999</c:v>
                </c:pt>
                <c:pt idx="8">
                  <c:v>15506.1782</c:v>
                </c:pt>
                <c:pt idx="9">
                  <c:v>14403.942541599999</c:v>
                </c:pt>
                <c:pt idx="10">
                  <c:v>13158.834559999999</c:v>
                </c:pt>
                <c:pt idx="11">
                  <c:v>11783.37667</c:v>
                </c:pt>
                <c:pt idx="12">
                  <c:v>11228.3271183</c:v>
                </c:pt>
                <c:pt idx="13">
                  <c:v>10413.261181</c:v>
                </c:pt>
                <c:pt idx="14">
                  <c:v>9214.9057279999997</c:v>
                </c:pt>
                <c:pt idx="15">
                  <c:v>7645.8078949000001</c:v>
                </c:pt>
                <c:pt idx="16">
                  <c:v>10927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2B6-4C9A-880A-87351B972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SALES_23: 87000 CR</a:t>
            </a:r>
          </a:p>
        </c:rich>
      </c:tx>
      <c:layout>
        <c:manualLayout>
          <c:xMode val="edge"/>
          <c:yMode val="edge"/>
          <c:x val="3.3333333333333333E-2"/>
          <c:y val="4.2187500000000003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'Specialty Chemicals '!$H$7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2B77-4D91-BFDD-EBE19F36424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2B77-4D91-BFDD-EBE19F36424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2B77-4D91-BFDD-EBE19F36424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2B77-4D91-BFDD-EBE19F36424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2B77-4D91-BFDD-EBE19F36424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2B77-4D91-BFDD-EBE19F36424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2B77-4D91-BFDD-EBE19F36424E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2B77-4D91-BFDD-EBE19F36424E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2B77-4D91-BFDD-EBE19F36424E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2B77-4D91-BFDD-EBE19F36424E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2B77-4D91-BFDD-EBE19F36424E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2B77-4D91-BFDD-EBE19F36424E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2B77-4D91-BFDD-EBE19F36424E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2B77-4D91-BFDD-EBE19F36424E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2B77-4D91-BFDD-EBE19F36424E}"/>
              </c:ext>
            </c:extLst>
          </c:dPt>
          <c:dPt>
            <c:idx val="15"/>
            <c:bubble3D val="0"/>
            <c:spPr>
              <a:solidFill>
                <a:srgbClr val="AEDCBA"/>
              </a:solidFill>
            </c:spPr>
            <c:extLst>
              <c:ext xmlns:c16="http://schemas.microsoft.com/office/drawing/2014/chart" uri="{C3380CC4-5D6E-409C-BE32-E72D297353CC}">
                <c16:uniqueId val="{0000001F-2B77-4D91-BFDD-EBE19F36424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'Specialty Chemicals '!$G$8:$G$23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'!$H$8:$H$23</c:f>
              <c:numCache>
                <c:formatCode>0</c:formatCode>
                <c:ptCount val="16"/>
                <c:pt idx="0">
                  <c:v>11799</c:v>
                </c:pt>
                <c:pt idx="1">
                  <c:v>14870</c:v>
                </c:pt>
                <c:pt idx="2">
                  <c:v>5612</c:v>
                </c:pt>
                <c:pt idx="3">
                  <c:v>7972</c:v>
                </c:pt>
                <c:pt idx="4">
                  <c:v>7282</c:v>
                </c:pt>
                <c:pt idx="5">
                  <c:v>5427</c:v>
                </c:pt>
                <c:pt idx="6">
                  <c:v>2085</c:v>
                </c:pt>
                <c:pt idx="7">
                  <c:v>4172</c:v>
                </c:pt>
                <c:pt idx="8">
                  <c:v>936</c:v>
                </c:pt>
                <c:pt idx="9">
                  <c:v>3023</c:v>
                </c:pt>
                <c:pt idx="10">
                  <c:v>13645</c:v>
                </c:pt>
                <c:pt idx="11">
                  <c:v>1865</c:v>
                </c:pt>
                <c:pt idx="12">
                  <c:v>651</c:v>
                </c:pt>
                <c:pt idx="13">
                  <c:v>1602</c:v>
                </c:pt>
                <c:pt idx="14">
                  <c:v>4445</c:v>
                </c:pt>
                <c:pt idx="15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B77-4D91-BFDD-EBE19F364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 5Y GR: INDUSTRY 17%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'!$L$7</c:f>
              <c:strCache>
                <c:ptCount val="1"/>
                <c:pt idx="0">
                  <c:v>SALES 5Y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ADF-4625-8DA7-D77C73D2DC24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ADF-4625-8DA7-D77C73D2DC24}"/>
              </c:ext>
            </c:extLst>
          </c:dPt>
          <c:dPt>
            <c:idx val="8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ADF-4625-8DA7-D77C73D2DC24}"/>
              </c:ext>
            </c:extLst>
          </c:dPt>
          <c:dPt>
            <c:idx val="1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ADF-4625-8DA7-D77C73D2DC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'!$K$8:$K$23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'!$L$8:$L$23</c:f>
              <c:numCache>
                <c:formatCode>0%</c:formatCode>
                <c:ptCount val="16"/>
                <c:pt idx="0">
                  <c:v>0.13668177473675258</c:v>
                </c:pt>
                <c:pt idx="1">
                  <c:v>0.21208026420680182</c:v>
                </c:pt>
                <c:pt idx="2">
                  <c:v>0.15510862145635573</c:v>
                </c:pt>
                <c:pt idx="3">
                  <c:v>0.36602502385962632</c:v>
                </c:pt>
                <c:pt idx="4">
                  <c:v>0.1385611956259134</c:v>
                </c:pt>
                <c:pt idx="5">
                  <c:v>0.10215004567551755</c:v>
                </c:pt>
                <c:pt idx="6">
                  <c:v>0.22494574302872405</c:v>
                </c:pt>
                <c:pt idx="7">
                  <c:v>0.15024647160757487</c:v>
                </c:pt>
                <c:pt idx="8">
                  <c:v>0.30958567246848689</c:v>
                </c:pt>
                <c:pt idx="9">
                  <c:v>0.28584298293062282</c:v>
                </c:pt>
                <c:pt idx="10">
                  <c:v>0.18983060934892348</c:v>
                </c:pt>
                <c:pt idx="11">
                  <c:v>0.21790641863949589</c:v>
                </c:pt>
                <c:pt idx="12">
                  <c:v>0.264960563797497</c:v>
                </c:pt>
                <c:pt idx="13">
                  <c:v>0.36264154727692621</c:v>
                </c:pt>
                <c:pt idx="14">
                  <c:v>0.12533407819159215</c:v>
                </c:pt>
                <c:pt idx="15">
                  <c:v>0.14227100923130154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DADF-4625-8DA7-D77C73D2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18064"/>
        <c:axId val="87041432"/>
      </c:barChart>
      <c:catAx>
        <c:axId val="126631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041432"/>
        <c:crosses val="autoZero"/>
        <c:auto val="1"/>
        <c:lblAlgn val="ctr"/>
        <c:lblOffset val="100"/>
        <c:noMultiLvlLbl val="1"/>
      </c:catAx>
      <c:valAx>
        <c:axId val="870414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 5Y 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663180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MARGIN: INDUSTRY10.3%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'!$C$46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348-4058-97D2-1D5363D01A89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348-4058-97D2-1D5363D01A89}"/>
              </c:ext>
            </c:extLst>
          </c:dPt>
          <c:dPt>
            <c:idx val="8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348-4058-97D2-1D5363D01A89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348-4058-97D2-1D5363D01A89}"/>
              </c:ext>
            </c:extLst>
          </c:dPt>
          <c:dPt>
            <c:idx val="15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348-4058-97D2-1D5363D01A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'!$B$47:$B$62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'!$C$47:$C$62</c:f>
              <c:numCache>
                <c:formatCode>0.00%</c:formatCode>
                <c:ptCount val="16"/>
                <c:pt idx="0">
                  <c:v>0.10916179337231968</c:v>
                </c:pt>
                <c:pt idx="1">
                  <c:v>0.14539340954942839</c:v>
                </c:pt>
                <c:pt idx="2">
                  <c:v>0.24144689950106915</c:v>
                </c:pt>
                <c:pt idx="3">
                  <c:v>0.10687405920722529</c:v>
                </c:pt>
                <c:pt idx="4">
                  <c:v>7.4842076352650375E-2</c:v>
                </c:pt>
                <c:pt idx="5">
                  <c:v>9.3237516123088268E-2</c:v>
                </c:pt>
                <c:pt idx="6">
                  <c:v>0.21966426858513188</c:v>
                </c:pt>
                <c:pt idx="7">
                  <c:v>5.1773729626078617E-2</c:v>
                </c:pt>
                <c:pt idx="8">
                  <c:v>0.31517094017094016</c:v>
                </c:pt>
                <c:pt idx="9">
                  <c:v>0.20443268276546478</c:v>
                </c:pt>
                <c:pt idx="10">
                  <c:v>2.9534628068889703E-2</c:v>
                </c:pt>
                <c:pt idx="11">
                  <c:v>0.12278820375335121</c:v>
                </c:pt>
                <c:pt idx="12">
                  <c:v>0.19969278033794163</c:v>
                </c:pt>
                <c:pt idx="13">
                  <c:v>0.13545568039950062</c:v>
                </c:pt>
                <c:pt idx="14">
                  <c:v>8.5714285714285715E-2</c:v>
                </c:pt>
                <c:pt idx="15">
                  <c:v>0.26578764746703676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F348-4058-97D2-1D5363D01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399664"/>
        <c:axId val="984814089"/>
      </c:barChart>
      <c:catAx>
        <c:axId val="143239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4814089"/>
        <c:crosses val="autoZero"/>
        <c:auto val="1"/>
        <c:lblAlgn val="ctr"/>
        <c:lblOffset val="100"/>
        <c:noMultiLvlLbl val="1"/>
      </c:catAx>
      <c:valAx>
        <c:axId val="98481408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MARGIN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323996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RATIO: 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'!$G$46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5E-480B-8BC3-78661A384EAD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5E-480B-8BC3-78661A384EAD}"/>
              </c:ext>
            </c:extLst>
          </c:dPt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15E-480B-8BC3-78661A384E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'!$F$47:$F$62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'!$G$47:$G$62</c:f>
              <c:numCache>
                <c:formatCode>0.0</c:formatCode>
                <c:ptCount val="16"/>
                <c:pt idx="0">
                  <c:v>1.813278112449799</c:v>
                </c:pt>
                <c:pt idx="1">
                  <c:v>1.0641618497109826</c:v>
                </c:pt>
                <c:pt idx="2">
                  <c:v>1.3928273561301083</c:v>
                </c:pt>
                <c:pt idx="3">
                  <c:v>3.7425499455139848</c:v>
                </c:pt>
                <c:pt idx="4">
                  <c:v>1.0578125</c:v>
                </c:pt>
                <c:pt idx="5">
                  <c:v>2.5844963331779942</c:v>
                </c:pt>
                <c:pt idx="6">
                  <c:v>5.0907794416104437</c:v>
                </c:pt>
                <c:pt idx="7">
                  <c:v>1.3523622047244095</c:v>
                </c:pt>
                <c:pt idx="8">
                  <c:v>5.1621621621621623</c:v>
                </c:pt>
                <c:pt idx="9">
                  <c:v>9.9911202185792352</c:v>
                </c:pt>
                <c:pt idx="10">
                  <c:v>1.6191217689193398</c:v>
                </c:pt>
                <c:pt idx="11">
                  <c:v>1.4113260232922427</c:v>
                </c:pt>
                <c:pt idx="12">
                  <c:v>6.2536231884057969</c:v>
                </c:pt>
                <c:pt idx="13">
                  <c:v>1.9826689774696706</c:v>
                </c:pt>
                <c:pt idx="14">
                  <c:v>2.7966609664509985</c:v>
                </c:pt>
                <c:pt idx="15">
                  <c:v>4.3687500000000004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15E-480B-8BC3-78661A384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35072"/>
        <c:axId val="455493419"/>
      </c:barChart>
      <c:catAx>
        <c:axId val="1576935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55493419"/>
        <c:crosses val="autoZero"/>
        <c:auto val="1"/>
        <c:lblAlgn val="ctr"/>
        <c:lblOffset val="100"/>
        <c:noMultiLvlLbl val="1"/>
      </c:catAx>
      <c:valAx>
        <c:axId val="4554934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693507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 vs Listed Companies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'!$K$46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295-4180-BA07-220F2E50D01E}"/>
              </c:ext>
            </c:extLst>
          </c:dPt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295-4180-BA07-220F2E50D01E}"/>
              </c:ext>
            </c:extLst>
          </c:dPt>
          <c:dPt>
            <c:idx val="1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295-4180-BA07-220F2E50D01E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295-4180-BA07-220F2E50D01E}"/>
              </c:ext>
            </c:extLst>
          </c:dPt>
          <c:dPt>
            <c:idx val="15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295-4180-BA07-220F2E50D0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'!$J$47:$J$62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'!$K$47:$K$62</c:f>
              <c:numCache>
                <c:formatCode>0</c:formatCode>
                <c:ptCount val="16"/>
                <c:pt idx="0">
                  <c:v>54.200906856513264</c:v>
                </c:pt>
                <c:pt idx="1">
                  <c:v>42.906523201075991</c:v>
                </c:pt>
                <c:pt idx="2">
                  <c:v>47.413578047042051</c:v>
                </c:pt>
                <c:pt idx="3">
                  <c:v>55.494468138484692</c:v>
                </c:pt>
                <c:pt idx="4">
                  <c:v>39.347020049436964</c:v>
                </c:pt>
                <c:pt idx="5">
                  <c:v>60.981297217615626</c:v>
                </c:pt>
                <c:pt idx="6">
                  <c:v>34.120325982742088</c:v>
                </c:pt>
                <c:pt idx="7">
                  <c:v>100.48441247002398</c:v>
                </c:pt>
                <c:pt idx="8">
                  <c:v>51.08440170940171</c:v>
                </c:pt>
                <c:pt idx="9">
                  <c:v>349.78663579225935</c:v>
                </c:pt>
                <c:pt idx="10">
                  <c:v>63.851593990472693</c:v>
                </c:pt>
                <c:pt idx="11">
                  <c:v>43.062171581769434</c:v>
                </c:pt>
                <c:pt idx="12">
                  <c:v>141.29032258064515</c:v>
                </c:pt>
                <c:pt idx="13">
                  <c:v>144.67852684144819</c:v>
                </c:pt>
                <c:pt idx="14">
                  <c:v>52.665928008998875</c:v>
                </c:pt>
                <c:pt idx="15">
                  <c:v>29.888965995836223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9295-4180-BA07-220F2E50D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57601"/>
        <c:axId val="2069287148"/>
      </c:barChart>
      <c:catAx>
        <c:axId val="15331576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69287148"/>
        <c:crosses val="autoZero"/>
        <c:auto val="1"/>
        <c:lblAlgn val="ctr"/>
        <c:lblOffset val="100"/>
        <c:noMultiLvlLbl val="1"/>
      </c:catAx>
      <c:valAx>
        <c:axId val="20692871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3315760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DEBT2EQUITY: 0.2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'!$C$82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301-42D4-BACF-291A887D96E0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301-42D4-BACF-291A887D96E0}"/>
              </c:ext>
            </c:extLst>
          </c:dPt>
          <c:dPt>
            <c:idx val="7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301-42D4-BACF-291A887D96E0}"/>
              </c:ext>
            </c:extLst>
          </c:dPt>
          <c:dPt>
            <c:idx val="1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301-42D4-BACF-291A887D9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'!$B$83:$B$98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'!$C$83:$C$98</c:f>
              <c:numCache>
                <c:formatCode>0.00</c:formatCode>
                <c:ptCount val="16"/>
                <c:pt idx="0">
                  <c:v>2.3837308369520877E-2</c:v>
                </c:pt>
                <c:pt idx="1">
                  <c:v>0.44751635793936045</c:v>
                </c:pt>
                <c:pt idx="2">
                  <c:v>0.28313043478260869</c:v>
                </c:pt>
                <c:pt idx="3">
                  <c:v>1.2139790691675572E-2</c:v>
                </c:pt>
                <c:pt idx="4">
                  <c:v>0.62743538767395624</c:v>
                </c:pt>
                <c:pt idx="5">
                  <c:v>3.1639137243016618E-2</c:v>
                </c:pt>
                <c:pt idx="6">
                  <c:v>9.0791180285343707E-5</c:v>
                </c:pt>
                <c:pt idx="7">
                  <c:v>0.40503342508847817</c:v>
                </c:pt>
                <c:pt idx="8">
                  <c:v>1.0091743119266057E-3</c:v>
                </c:pt>
                <c:pt idx="9">
                  <c:v>5.3700677095493811E-3</c:v>
                </c:pt>
                <c:pt idx="10">
                  <c:v>0</c:v>
                </c:pt>
                <c:pt idx="11">
                  <c:v>7.5925848432857684E-2</c:v>
                </c:pt>
                <c:pt idx="12">
                  <c:v>9.7799511002444979E-4</c:v>
                </c:pt>
                <c:pt idx="13">
                  <c:v>0.43624436244362441</c:v>
                </c:pt>
                <c:pt idx="14">
                  <c:v>9.3672083649515639E-2</c:v>
                </c:pt>
                <c:pt idx="15">
                  <c:v>1.6502871729419274E-2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0301-42D4-BACF-291A887D9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6810152"/>
        <c:axId val="1767252727"/>
      </c:barChart>
      <c:catAx>
        <c:axId val="576810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7252727"/>
        <c:crosses val="autoZero"/>
        <c:auto val="1"/>
        <c:lblAlgn val="ctr"/>
        <c:lblOffset val="100"/>
        <c:noMultiLvlLbl val="1"/>
      </c:catAx>
      <c:valAx>
        <c:axId val="17672527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681015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ICR: 93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'!$G$82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9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F0D-466C-AC1D-3394476317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'!$F$83:$F$98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'!$G$83:$G$98</c:f>
              <c:numCache>
                <c:formatCode>0</c:formatCode>
                <c:ptCount val="16"/>
                <c:pt idx="0">
                  <c:v>267.44</c:v>
                </c:pt>
                <c:pt idx="1">
                  <c:v>64.986111111111114</c:v>
                </c:pt>
                <c:pt idx="2">
                  <c:v>56.29032258064516</c:v>
                </c:pt>
                <c:pt idx="3">
                  <c:v>1215</c:v>
                </c:pt>
                <c:pt idx="4">
                  <c:v>47.131313131313128</c:v>
                </c:pt>
                <c:pt idx="5">
                  <c:v>820.75</c:v>
                </c:pt>
                <c:pt idx="6">
                  <c:v>1399</c:v>
                </c:pt>
                <c:pt idx="7">
                  <c:v>46.462962962962962</c:v>
                </c:pt>
                <c:pt idx="8">
                  <c:v>696</c:v>
                </c:pt>
                <c:pt idx="9">
                  <c:v>56.642857142857146</c:v>
                </c:pt>
                <c:pt idx="10">
                  <c:v>766.77777777777783</c:v>
                </c:pt>
                <c:pt idx="11">
                  <c:v>400.33333333333331</c:v>
                </c:pt>
                <c:pt idx="12">
                  <c:v>198.5</c:v>
                </c:pt>
                <c:pt idx="13">
                  <c:v>26.157894736842106</c:v>
                </c:pt>
                <c:pt idx="14">
                  <c:v>247.27272727272728</c:v>
                </c:pt>
                <c:pt idx="15">
                  <c:v>200.6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F0D-466C-AC1D-33944763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377165"/>
        <c:axId val="1382556993"/>
      </c:barChart>
      <c:catAx>
        <c:axId val="6543771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82556993"/>
        <c:crosses val="autoZero"/>
        <c:auto val="1"/>
        <c:lblAlgn val="ctr"/>
        <c:lblOffset val="100"/>
        <c:noMultiLvlLbl val="1"/>
      </c:catAx>
      <c:valAx>
        <c:axId val="13825569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43771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DEBTRATIO: 0.3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'!$K$82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9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FFC-44E1-A4AC-BA7393595935}"/>
              </c:ext>
            </c:extLst>
          </c:dPt>
          <c:dPt>
            <c:idx val="1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FFC-44E1-A4AC-BA7393595935}"/>
              </c:ext>
            </c:extLst>
          </c:dPt>
          <c:dPt>
            <c:idx val="12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FFC-44E1-A4AC-BA7393595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'!$J$83:$J$98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'!$K$83:$K$98</c:f>
              <c:numCache>
                <c:formatCode>0.00</c:formatCode>
                <c:ptCount val="16"/>
                <c:pt idx="0">
                  <c:v>0.30948813370473538</c:v>
                </c:pt>
                <c:pt idx="1">
                  <c:v>0.44784776635799328</c:v>
                </c:pt>
                <c:pt idx="2">
                  <c:v>0.33422088446399628</c:v>
                </c:pt>
                <c:pt idx="3">
                  <c:v>0.17584196829723381</c:v>
                </c:pt>
                <c:pt idx="4">
                  <c:v>0.456098615916955</c:v>
                </c:pt>
                <c:pt idx="5">
                  <c:v>0.18827095193343799</c:v>
                </c:pt>
                <c:pt idx="6">
                  <c:v>0.12585034013605442</c:v>
                </c:pt>
                <c:pt idx="7">
                  <c:v>0.40014164305949007</c:v>
                </c:pt>
                <c:pt idx="8">
                  <c:v>0.11372867587327376</c:v>
                </c:pt>
                <c:pt idx="9">
                  <c:v>8.0107382550335574E-2</c:v>
                </c:pt>
                <c:pt idx="10">
                  <c:v>0.53472111870332117</c:v>
                </c:pt>
                <c:pt idx="11">
                  <c:v>0.23815808769614316</c:v>
                </c:pt>
                <c:pt idx="12">
                  <c:v>8.1311769991015276E-2</c:v>
                </c:pt>
                <c:pt idx="13">
                  <c:v>0.38920320603488923</c:v>
                </c:pt>
                <c:pt idx="14">
                  <c:v>0.26078990598785601</c:v>
                </c:pt>
                <c:pt idx="15">
                  <c:v>0.16640085061137694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6FFC-44E1-A4AC-BA7393595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827896"/>
        <c:axId val="805832756"/>
      </c:barChart>
      <c:catAx>
        <c:axId val="1570827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05832756"/>
        <c:crosses val="autoZero"/>
        <c:auto val="1"/>
        <c:lblAlgn val="ctr"/>
        <c:lblOffset val="100"/>
        <c:noMultiLvlLbl val="1"/>
      </c:catAx>
      <c:valAx>
        <c:axId val="8058327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7082789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'!$C$118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'!$B$119:$B$134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'!$C$119:$C$134</c:f>
              <c:numCache>
                <c:formatCode>0.0%</c:formatCode>
                <c:ptCount val="16"/>
                <c:pt idx="0">
                  <c:v>0.16626477407095686</c:v>
                </c:pt>
                <c:pt idx="1">
                  <c:v>0.19924430928025066</c:v>
                </c:pt>
                <c:pt idx="2">
                  <c:v>0.23565217391304347</c:v>
                </c:pt>
                <c:pt idx="3">
                  <c:v>0.19622655415115894</c:v>
                </c:pt>
                <c:pt idx="4">
                  <c:v>0.10834990059642147</c:v>
                </c:pt>
                <c:pt idx="5">
                  <c:v>0.10223771278476537</c:v>
                </c:pt>
                <c:pt idx="6">
                  <c:v>9.3385214007782102E-2</c:v>
                </c:pt>
                <c:pt idx="7">
                  <c:v>0.18010224144710971</c:v>
                </c:pt>
                <c:pt idx="8">
                  <c:v>0.27064220183486237</c:v>
                </c:pt>
                <c:pt idx="9">
                  <c:v>3.6072846135886058E-2</c:v>
                </c:pt>
                <c:pt idx="10">
                  <c:v>0.13763661202185792</c:v>
                </c:pt>
                <c:pt idx="11">
                  <c:v>0.19165585638364649</c:v>
                </c:pt>
                <c:pt idx="12">
                  <c:v>6.3569682151589244E-2</c:v>
                </c:pt>
                <c:pt idx="13">
                  <c:v>8.8970889708897091E-2</c:v>
                </c:pt>
                <c:pt idx="14">
                  <c:v>0.18773836859792453</c:v>
                </c:pt>
                <c:pt idx="15">
                  <c:v>0.24441608168474793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1C3-4395-88D8-775AC8CC9BAE}"/>
            </c:ext>
          </c:extLst>
        </c:ser>
        <c:ser>
          <c:idx val="1"/>
          <c:order val="1"/>
          <c:tx>
            <c:strRef>
              <c:f>'Specialty Chemicals '!$D$118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'!$B$119:$B$134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DEEPAKNI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'!$D$119:$D$134</c:f>
              <c:numCache>
                <c:formatCode>0.0%</c:formatCode>
                <c:ptCount val="16"/>
                <c:pt idx="0">
                  <c:v>0.11480779944289693</c:v>
                </c:pt>
                <c:pt idx="1">
                  <c:v>0.1100030528136766</c:v>
                </c:pt>
                <c:pt idx="2">
                  <c:v>0.15686501504978004</c:v>
                </c:pt>
                <c:pt idx="3">
                  <c:v>0.1617216906370354</c:v>
                </c:pt>
                <c:pt idx="4">
                  <c:v>5.893166089965398E-2</c:v>
                </c:pt>
                <c:pt idx="5">
                  <c:v>8.2989321275280165E-2</c:v>
                </c:pt>
                <c:pt idx="6">
                  <c:v>8.1632653061224483E-2</c:v>
                </c:pt>
                <c:pt idx="7">
                  <c:v>0.10812086874409821</c:v>
                </c:pt>
                <c:pt idx="8">
                  <c:v>0.239642567018684</c:v>
                </c:pt>
                <c:pt idx="9">
                  <c:v>3.3181208053691277E-2</c:v>
                </c:pt>
                <c:pt idx="10">
                  <c:v>6.4039408866995079E-2</c:v>
                </c:pt>
                <c:pt idx="11">
                  <c:v>0.14601146413155061</c:v>
                </c:pt>
                <c:pt idx="12">
                  <c:v>5.8400718778077267E-2</c:v>
                </c:pt>
                <c:pt idx="13">
                  <c:v>5.1155115511551157E-2</c:v>
                </c:pt>
                <c:pt idx="14">
                  <c:v>0.13877809710095834</c:v>
                </c:pt>
                <c:pt idx="15">
                  <c:v>0.20361509835194044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1C3-4395-88D8-775AC8CC9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277173"/>
        <c:axId val="1036353640"/>
      </c:barChart>
      <c:catAx>
        <c:axId val="170827717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36353640"/>
        <c:crosses val="autoZero"/>
        <c:auto val="1"/>
        <c:lblAlgn val="ctr"/>
        <c:lblOffset val="100"/>
        <c:noMultiLvlLbl val="1"/>
      </c:catAx>
      <c:valAx>
        <c:axId val="1036353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0827717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 GR and PROFIT 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'!$R$7:$R$8</c:f>
              <c:strCache>
                <c:ptCount val="2"/>
                <c:pt idx="0">
                  <c:v>CURRENT TREND</c:v>
                </c:pt>
                <c:pt idx="1">
                  <c:v>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'!$O$9:$O$24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DEEPAKNTR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'!$R$9:$R$24</c:f>
              <c:numCache>
                <c:formatCode>0.0%</c:formatCode>
                <c:ptCount val="16"/>
                <c:pt idx="0">
                  <c:v>3.1443342656157336E-2</c:v>
                </c:pt>
                <c:pt idx="1">
                  <c:v>-0.10242098184263615</c:v>
                </c:pt>
                <c:pt idx="2">
                  <c:v>-0.11257695690413372</c:v>
                </c:pt>
                <c:pt idx="3">
                  <c:v>-5.9332664325137952E-2</c:v>
                </c:pt>
                <c:pt idx="4">
                  <c:v>-6.3813700287312813E-2</c:v>
                </c:pt>
                <c:pt idx="5">
                  <c:v>-0.1324613117170228</c:v>
                </c:pt>
                <c:pt idx="6">
                  <c:v>-8.9990375360923913E-2</c:v>
                </c:pt>
                <c:pt idx="7">
                  <c:v>-3.2358581016299182E-2</c:v>
                </c:pt>
                <c:pt idx="8">
                  <c:v>-0.12072649572649574</c:v>
                </c:pt>
                <c:pt idx="9">
                  <c:v>-0.28117763810783991</c:v>
                </c:pt>
                <c:pt idx="10">
                  <c:v>-2.8508611212898494E-2</c:v>
                </c:pt>
                <c:pt idx="11">
                  <c:v>-8.108108108108103E-2</c:v>
                </c:pt>
                <c:pt idx="12">
                  <c:v>1.9969278033794113E-2</c:v>
                </c:pt>
                <c:pt idx="13">
                  <c:v>3.0586766541822685E-2</c:v>
                </c:pt>
                <c:pt idx="14">
                  <c:v>-0.10420886788206163</c:v>
                </c:pt>
                <c:pt idx="15">
                  <c:v>-4.1637751561415692E-2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A2C-402D-BEC1-B93A6A7A05DE}"/>
            </c:ext>
          </c:extLst>
        </c:ser>
        <c:ser>
          <c:idx val="1"/>
          <c:order val="1"/>
          <c:tx>
            <c:strRef>
              <c:f>'Specialty Chemicals '!$U$7:$U$8</c:f>
              <c:strCache>
                <c:ptCount val="2"/>
                <c:pt idx="0">
                  <c:v>CURRENT TREND</c:v>
                </c:pt>
                <c:pt idx="1">
                  <c:v>PROFIT 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'!$O$9:$O$24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DEEPAKNTR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'!$U$9:$U$24</c:f>
              <c:numCache>
                <c:formatCode>0.0%</c:formatCode>
                <c:ptCount val="16"/>
                <c:pt idx="0">
                  <c:v>0.34134988363072138</c:v>
                </c:pt>
                <c:pt idx="1">
                  <c:v>-0.31729879740980571</c:v>
                </c:pt>
                <c:pt idx="2">
                  <c:v>-0.30763416477702188</c:v>
                </c:pt>
                <c:pt idx="3">
                  <c:v>-6.3380281690140872E-2</c:v>
                </c:pt>
                <c:pt idx="4">
                  <c:v>-0.1798165137614679</c:v>
                </c:pt>
                <c:pt idx="5">
                  <c:v>-0.29388560157790922</c:v>
                </c:pt>
                <c:pt idx="6">
                  <c:v>-0.10917030567685593</c:v>
                </c:pt>
                <c:pt idx="7">
                  <c:v>0.72222222222222232</c:v>
                </c:pt>
                <c:pt idx="8">
                  <c:v>-6.7796610169491567E-2</c:v>
                </c:pt>
                <c:pt idx="9">
                  <c:v>-0.27669902912621358</c:v>
                </c:pt>
                <c:pt idx="10">
                  <c:v>-0.11910669975186106</c:v>
                </c:pt>
                <c:pt idx="11">
                  <c:v>-0.30567685589519655</c:v>
                </c:pt>
                <c:pt idx="12">
                  <c:v>-3.8461538461538436E-2</c:v>
                </c:pt>
                <c:pt idx="13">
                  <c:v>5.0691244239631228E-2</c:v>
                </c:pt>
                <c:pt idx="14">
                  <c:v>-8.3989501312335957E-2</c:v>
                </c:pt>
                <c:pt idx="15">
                  <c:v>3.125E-2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A2C-402D-BEC1-B93A6A7A0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6874"/>
        <c:axId val="472099640"/>
      </c:barChart>
      <c:catAx>
        <c:axId val="445668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72099640"/>
        <c:crosses val="autoZero"/>
        <c:auto val="1"/>
        <c:lblAlgn val="ctr"/>
        <c:lblOffset val="100"/>
        <c:noMultiLvlLbl val="1"/>
      </c:catAx>
      <c:valAx>
        <c:axId val="4720996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456687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TRAIL_MARGIN and MARGIN_23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'Specialty Chemicals '!$V$7:$V$8</c:f>
              <c:strCache>
                <c:ptCount val="2"/>
                <c:pt idx="0">
                  <c:v>CURRENT TREND</c:v>
                </c:pt>
                <c:pt idx="1">
                  <c:v>TRAIL_MARGIN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'!$O$9:$O$24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DEEPAKNTR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'!$V$9:$V$24</c:f>
              <c:numCache>
                <c:formatCode>0.0%</c:formatCode>
                <c:ptCount val="16"/>
                <c:pt idx="0">
                  <c:v>0.14207066557107642</c:v>
                </c:pt>
                <c:pt idx="1">
                  <c:v>0.11058664868509778</c:v>
                </c:pt>
                <c:pt idx="2">
                  <c:v>0.18156590683845392</c:v>
                </c:pt>
                <c:pt idx="3">
                  <c:v>0.10641418855847447</c:v>
                </c:pt>
                <c:pt idx="4">
                  <c:v>7.2201582942981749E-2</c:v>
                </c:pt>
                <c:pt idx="5">
                  <c:v>7.6024633680186873E-2</c:v>
                </c:pt>
                <c:pt idx="6">
                  <c:v>0.2157588577472237</c:v>
                </c:pt>
                <c:pt idx="7">
                  <c:v>9.2147634381966811E-2</c:v>
                </c:pt>
                <c:pt idx="8">
                  <c:v>0.33414337788578374</c:v>
                </c:pt>
                <c:pt idx="9">
                  <c:v>0.20570639668660837</c:v>
                </c:pt>
                <c:pt idx="10">
                  <c:v>2.6780325890162944E-2</c:v>
                </c:pt>
                <c:pt idx="11">
                  <c:v>0.10628342245989304</c:v>
                </c:pt>
                <c:pt idx="12">
                  <c:v>0.18825301204819278</c:v>
                </c:pt>
                <c:pt idx="13">
                  <c:v>0.13809812235009086</c:v>
                </c:pt>
                <c:pt idx="14">
                  <c:v>8.7688442211055276E-2</c:v>
                </c:pt>
                <c:pt idx="15">
                  <c:v>0.28674873280231716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54F-4BF2-87A5-E9E560ED2B02}"/>
            </c:ext>
          </c:extLst>
        </c:ser>
        <c:ser>
          <c:idx val="1"/>
          <c:order val="1"/>
          <c:tx>
            <c:strRef>
              <c:f>'Specialty Chemicals '!$W$7:$W$8</c:f>
              <c:strCache>
                <c:ptCount val="2"/>
                <c:pt idx="0">
                  <c:v>CURRENT TREND</c:v>
                </c:pt>
                <c:pt idx="1">
                  <c:v>MARGIN_23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'Specialty Chemicals '!$O$9:$O$24</c:f>
              <c:strCache>
                <c:ptCount val="16"/>
                <c:pt idx="0">
                  <c:v>PIDILITIND</c:v>
                </c:pt>
                <c:pt idx="1">
                  <c:v>SRF</c:v>
                </c:pt>
                <c:pt idx="2">
                  <c:v>FLUOROCHEM</c:v>
                </c:pt>
                <c:pt idx="3">
                  <c:v>DEEPAKNTR</c:v>
                </c:pt>
                <c:pt idx="4">
                  <c:v>AARTIIND</c:v>
                </c:pt>
                <c:pt idx="5">
                  <c:v>ATUL</c:v>
                </c:pt>
                <c:pt idx="6">
                  <c:v>VINATIORGA</c:v>
                </c:pt>
                <c:pt idx="7">
                  <c:v>HSCL</c:v>
                </c:pt>
                <c:pt idx="8">
                  <c:v>CLEAN</c:v>
                </c:pt>
                <c:pt idx="9">
                  <c:v>FINEORG</c:v>
                </c:pt>
                <c:pt idx="10">
                  <c:v>BASF</c:v>
                </c:pt>
                <c:pt idx="11">
                  <c:v>ALKYLAMINE</c:v>
                </c:pt>
                <c:pt idx="12">
                  <c:v>AETHER</c:v>
                </c:pt>
                <c:pt idx="13">
                  <c:v>ANURAS</c:v>
                </c:pt>
                <c:pt idx="14">
                  <c:v>GALAXYSURF</c:v>
                </c:pt>
                <c:pt idx="15">
                  <c:v>ACI</c:v>
                </c:pt>
              </c:strCache>
            </c:strRef>
          </c:cat>
          <c:val>
            <c:numRef>
              <c:f>'Specialty Chemicals '!$W$9:$W$24</c:f>
              <c:numCache>
                <c:formatCode>0.0%</c:formatCode>
                <c:ptCount val="16"/>
                <c:pt idx="0">
                  <c:v>0.10924654631748454</c:v>
                </c:pt>
                <c:pt idx="1">
                  <c:v>0.14539340954942839</c:v>
                </c:pt>
                <c:pt idx="2">
                  <c:v>0.23271767810026386</c:v>
                </c:pt>
                <c:pt idx="3">
                  <c:v>0.10687405920722529</c:v>
                </c:pt>
                <c:pt idx="4">
                  <c:v>8.2413428096174204E-2</c:v>
                </c:pt>
                <c:pt idx="5">
                  <c:v>9.3404568901989685E-2</c:v>
                </c:pt>
                <c:pt idx="6">
                  <c:v>0.22040423484119345</c:v>
                </c:pt>
                <c:pt idx="7">
                  <c:v>5.1773729626078617E-2</c:v>
                </c:pt>
                <c:pt idx="8">
                  <c:v>0.31517094017094016</c:v>
                </c:pt>
                <c:pt idx="9">
                  <c:v>0.20443268276546478</c:v>
                </c:pt>
                <c:pt idx="10">
                  <c:v>2.9534628068889703E-2</c:v>
                </c:pt>
                <c:pt idx="11">
                  <c:v>0.14066339066339067</c:v>
                </c:pt>
                <c:pt idx="12">
                  <c:v>0.19969278033794163</c:v>
                </c:pt>
                <c:pt idx="13">
                  <c:v>0.13545568039950062</c:v>
                </c:pt>
                <c:pt idx="14">
                  <c:v>8.5752869682646865E-2</c:v>
                </c:pt>
                <c:pt idx="15">
                  <c:v>0.26648160999306036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54F-4BF2-87A5-E9E560ED2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82966"/>
        <c:axId val="98792109"/>
      </c:barChart>
      <c:catAx>
        <c:axId val="15298829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Listed Companies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8792109"/>
        <c:crosses val="autoZero"/>
        <c:auto val="1"/>
        <c:lblAlgn val="ctr"/>
        <c:lblOffset val="100"/>
        <c:noMultiLvlLbl val="1"/>
      </c:catAx>
      <c:valAx>
        <c:axId val="987921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2988296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51</xdr:row>
      <xdr:rowOff>-104775</xdr:rowOff>
    </xdr:from>
    <xdr:ext cx="6581775" cy="658177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3EBF290D-739D-4FCF-AC15-1F02F34DF5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0975" y="10014585"/>
          <a:ext cx="6581775" cy="65817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29</xdr:row>
      <xdr:rowOff>85725</xdr:rowOff>
    </xdr:from>
    <xdr:ext cx="3943350" cy="243840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E543C881-AE36-4A01-A3FF-AC462CEC7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314325</xdr:colOff>
      <xdr:row>29</xdr:row>
      <xdr:rowOff>85725</xdr:rowOff>
    </xdr:from>
    <xdr:ext cx="3943350" cy="24384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55EA3376-241B-4D66-847F-07AFC5A37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419100</xdr:colOff>
      <xdr:row>29</xdr:row>
      <xdr:rowOff>85725</xdr:rowOff>
    </xdr:from>
    <xdr:ext cx="5200650" cy="24384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3C17E34C-56F5-41F3-B5CE-902BE49A5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114300</xdr:colOff>
      <xdr:row>64</xdr:row>
      <xdr:rowOff>133350</xdr:rowOff>
    </xdr:from>
    <xdr:ext cx="4038600" cy="25241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B5F393E5-3CDE-452D-B66A-2D0A0FA38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314325</xdr:colOff>
      <xdr:row>64</xdr:row>
      <xdr:rowOff>133350</xdr:rowOff>
    </xdr:from>
    <xdr:ext cx="4114800" cy="25241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6815F221-D7D2-43F6-B042-9EF61BE52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590550</xdr:colOff>
      <xdr:row>64</xdr:row>
      <xdr:rowOff>133350</xdr:rowOff>
    </xdr:from>
    <xdr:ext cx="4114800" cy="25241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B1DA1DFC-6A11-4CB6-88DA-419504872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266700</xdr:colOff>
      <xdr:row>100</xdr:row>
      <xdr:rowOff>66675</xdr:rowOff>
    </xdr:from>
    <xdr:ext cx="4114800" cy="25241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C925A0E1-3251-4F5D-9459-F86555EFD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4</xdr:col>
      <xdr:colOff>542925</xdr:colOff>
      <xdr:row>100</xdr:row>
      <xdr:rowOff>76200</xdr:rowOff>
    </xdr:from>
    <xdr:ext cx="4114800" cy="25241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198D7AD8-2B6C-4EB0-8CF7-5B62DB34B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8</xdr:col>
      <xdr:colOff>819150</xdr:colOff>
      <xdr:row>100</xdr:row>
      <xdr:rowOff>66675</xdr:rowOff>
    </xdr:from>
    <xdr:ext cx="4114800" cy="25241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C5A51B37-C146-426D-8C70-8453FE0C0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209550</xdr:colOff>
      <xdr:row>136</xdr:row>
      <xdr:rowOff>76200</xdr:rowOff>
    </xdr:from>
    <xdr:ext cx="5715000" cy="353377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05EA1971-1BEB-47EE-93B8-696E2524A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13</xdr:col>
      <xdr:colOff>819150</xdr:colOff>
      <xdr:row>29</xdr:row>
      <xdr:rowOff>85725</xdr:rowOff>
    </xdr:from>
    <xdr:ext cx="5743575" cy="265747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FF5D9EDB-F60F-468A-8C03-A87EC6972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19</xdr:col>
      <xdr:colOff>800100</xdr:colOff>
      <xdr:row>29</xdr:row>
      <xdr:rowOff>85725</xdr:rowOff>
    </xdr:from>
    <xdr:ext cx="4962525" cy="265747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BDABDEBC-3B1C-4D65-AB99-BCA6F92FB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Speciality%20chem%20(7).xlsx" TargetMode="External"/><Relationship Id="rId1" Type="http://schemas.openxmlformats.org/officeDocument/2006/relationships/externalLinkPath" Target="/Users/profi/Downloads/Speciality%20chem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ecialty Chemicals "/>
      <sheetName val="Pidilitind"/>
      <sheetName val="Speciality Chem"/>
      <sheetName val="industrydata"/>
      <sheetName val="DashBoard"/>
      <sheetName val="Sheet3"/>
      <sheetName val="JAYAGROGN"/>
      <sheetName val="MEGH"/>
      <sheetName val="CAMLINFINE"/>
      <sheetName val="BEPL"/>
      <sheetName val="VIKASECO"/>
      <sheetName val="ALKALI"/>
      <sheetName val="HSCL"/>
      <sheetName val="FINEORG"/>
      <sheetName val="Sheet1"/>
    </sheetNames>
    <sheetDataSet>
      <sheetData sheetId="0">
        <row r="7">
          <cell r="C7" t="str">
            <v>MarketCap</v>
          </cell>
          <cell r="H7" t="str">
            <v>SALES_23</v>
          </cell>
          <cell r="L7" t="str">
            <v>SALES 5Y GR</v>
          </cell>
        </row>
        <row r="8">
          <cell r="B8" t="str">
            <v>PIDILITIND</v>
          </cell>
          <cell r="C8">
            <v>127864.37802</v>
          </cell>
          <cell r="G8" t="str">
            <v>PIDILITIND</v>
          </cell>
          <cell r="H8">
            <v>11799</v>
          </cell>
          <cell r="K8" t="str">
            <v>PIDILITIND</v>
          </cell>
          <cell r="L8">
            <v>0.13668177473675258</v>
          </cell>
          <cell r="R8" t="str">
            <v>SALES GR</v>
          </cell>
          <cell r="U8" t="str">
            <v>PROFIT GR</v>
          </cell>
          <cell r="V8" t="str">
            <v>TRAIL_MARGIN</v>
          </cell>
          <cell r="W8" t="str">
            <v>MARGIN_23</v>
          </cell>
        </row>
        <row r="9">
          <cell r="B9" t="str">
            <v>SRF</v>
          </cell>
          <cell r="C9">
            <v>68567.330799999996</v>
          </cell>
          <cell r="G9" t="str">
            <v>SRF</v>
          </cell>
          <cell r="H9">
            <v>14870</v>
          </cell>
          <cell r="K9" t="str">
            <v>SRF</v>
          </cell>
          <cell r="L9">
            <v>0.21208026420680182</v>
          </cell>
          <cell r="O9" t="str">
            <v>PIDILITIND</v>
          </cell>
          <cell r="R9">
            <v>3.1443342656157336E-2</v>
          </cell>
          <cell r="U9">
            <v>0.34134988363072138</v>
          </cell>
          <cell r="V9">
            <v>0.14207066557107642</v>
          </cell>
          <cell r="W9">
            <v>0.10924654631748454</v>
          </cell>
        </row>
        <row r="10">
          <cell r="B10" t="str">
            <v>FLUOROCHEM</v>
          </cell>
          <cell r="C10">
            <v>39005.334244899997</v>
          </cell>
          <cell r="G10" t="str">
            <v>FLUOROCHEM</v>
          </cell>
          <cell r="H10">
            <v>5612</v>
          </cell>
          <cell r="K10" t="str">
            <v>FLUOROCHEM</v>
          </cell>
          <cell r="L10">
            <v>0.15510862145635573</v>
          </cell>
          <cell r="O10" t="str">
            <v>SRF</v>
          </cell>
          <cell r="R10">
            <v>-0.10242098184263615</v>
          </cell>
          <cell r="U10">
            <v>-0.31729879740980571</v>
          </cell>
          <cell r="V10">
            <v>0.11058664868509778</v>
          </cell>
          <cell r="W10">
            <v>0.14539340954942839</v>
          </cell>
        </row>
        <row r="11">
          <cell r="B11" t="str">
            <v>DEEPAKNI</v>
          </cell>
          <cell r="C11">
            <v>30725.933075000001</v>
          </cell>
          <cell r="G11" t="str">
            <v>DEEPAKNI</v>
          </cell>
          <cell r="H11">
            <v>7972</v>
          </cell>
          <cell r="K11" t="str">
            <v>DEEPAKNI</v>
          </cell>
          <cell r="L11">
            <v>0.36602502385962632</v>
          </cell>
          <cell r="O11" t="str">
            <v>FLUOROCHEM</v>
          </cell>
          <cell r="R11">
            <v>-0.11257695690413372</v>
          </cell>
          <cell r="U11">
            <v>-0.30763416477702188</v>
          </cell>
          <cell r="V11">
            <v>0.18156590683845392</v>
          </cell>
          <cell r="W11">
            <v>0.23271767810026386</v>
          </cell>
        </row>
        <row r="12">
          <cell r="B12" t="str">
            <v>AARTIIND</v>
          </cell>
          <cell r="C12">
            <v>23316.257722499999</v>
          </cell>
          <cell r="G12" t="str">
            <v>AARTIIND</v>
          </cell>
          <cell r="H12">
            <v>7282</v>
          </cell>
          <cell r="K12" t="str">
            <v>AARTIIND</v>
          </cell>
          <cell r="L12">
            <v>0.1385611956259134</v>
          </cell>
          <cell r="O12" t="str">
            <v>DEEPAKNTR</v>
          </cell>
          <cell r="R12">
            <v>-5.9332664325137952E-2</v>
          </cell>
          <cell r="U12">
            <v>-6.3380281690140872E-2</v>
          </cell>
          <cell r="V12">
            <v>0.10641418855847447</v>
          </cell>
          <cell r="W12">
            <v>0.10687405920722529</v>
          </cell>
        </row>
        <row r="13">
          <cell r="B13" t="str">
            <v>ATUL</v>
          </cell>
          <cell r="C13">
            <v>18739.673875</v>
          </cell>
          <cell r="G13" t="str">
            <v>ATUL</v>
          </cell>
          <cell r="H13">
            <v>5427</v>
          </cell>
          <cell r="K13" t="str">
            <v>ATUL</v>
          </cell>
          <cell r="L13">
            <v>0.10215004567551755</v>
          </cell>
          <cell r="O13" t="str">
            <v>AARTIIND</v>
          </cell>
          <cell r="R13">
            <v>-6.3813700287312813E-2</v>
          </cell>
          <cell r="U13">
            <v>-0.1798165137614679</v>
          </cell>
          <cell r="V13">
            <v>7.2201582942981749E-2</v>
          </cell>
          <cell r="W13">
            <v>8.2413428096174204E-2</v>
          </cell>
        </row>
        <row r="14">
          <cell r="B14" t="str">
            <v>VINATIORGA</v>
          </cell>
          <cell r="C14">
            <v>17688.782200000001</v>
          </cell>
          <cell r="G14" t="str">
            <v>VINATIORGA</v>
          </cell>
          <cell r="H14">
            <v>2085</v>
          </cell>
          <cell r="K14" t="str">
            <v>VINATIORGA</v>
          </cell>
          <cell r="L14">
            <v>0.22494574302872405</v>
          </cell>
          <cell r="O14" t="str">
            <v>ATUL</v>
          </cell>
          <cell r="R14">
            <v>-0.1324613117170228</v>
          </cell>
          <cell r="U14">
            <v>-0.29388560157790922</v>
          </cell>
          <cell r="V14">
            <v>7.6024633680186873E-2</v>
          </cell>
          <cell r="W14">
            <v>9.3404568901989685E-2</v>
          </cell>
        </row>
        <row r="15">
          <cell r="B15" t="str">
            <v>HSCL</v>
          </cell>
          <cell r="C15">
            <v>17713.542799999999</v>
          </cell>
          <cell r="G15" t="str">
            <v>HSCL</v>
          </cell>
          <cell r="H15">
            <v>4172</v>
          </cell>
          <cell r="K15" t="str">
            <v>HSCL</v>
          </cell>
          <cell r="L15">
            <v>0.15024647160757487</v>
          </cell>
          <cell r="O15" t="str">
            <v>VINATIORGA</v>
          </cell>
          <cell r="R15">
            <v>-8.9990375360923913E-2</v>
          </cell>
          <cell r="U15">
            <v>-0.10917030567685593</v>
          </cell>
          <cell r="V15">
            <v>0.2157588577472237</v>
          </cell>
          <cell r="W15">
            <v>0.22040423484119345</v>
          </cell>
        </row>
        <row r="16">
          <cell r="B16" t="str">
            <v>CLEAN</v>
          </cell>
          <cell r="C16">
            <v>15506.1782</v>
          </cell>
          <cell r="G16" t="str">
            <v>CLEAN</v>
          </cell>
          <cell r="H16">
            <v>936</v>
          </cell>
          <cell r="K16" t="str">
            <v>CLEAN</v>
          </cell>
          <cell r="L16">
            <v>0.30958567246848689</v>
          </cell>
          <cell r="O16" t="str">
            <v>HSCL</v>
          </cell>
          <cell r="R16">
            <v>-3.2358581016299182E-2</v>
          </cell>
          <cell r="U16">
            <v>0.72222222222222232</v>
          </cell>
          <cell r="V16">
            <v>9.2147634381966811E-2</v>
          </cell>
          <cell r="W16">
            <v>5.1773729626078617E-2</v>
          </cell>
        </row>
        <row r="17">
          <cell r="B17" t="str">
            <v>FINEORG</v>
          </cell>
          <cell r="C17">
            <v>14403.942541599999</v>
          </cell>
          <cell r="G17" t="str">
            <v>FINEORG</v>
          </cell>
          <cell r="H17">
            <v>3023</v>
          </cell>
          <cell r="K17" t="str">
            <v>FINEORG</v>
          </cell>
          <cell r="L17">
            <v>0.28584298293062282</v>
          </cell>
          <cell r="O17" t="str">
            <v>CLEAN</v>
          </cell>
          <cell r="R17">
            <v>-0.12072649572649574</v>
          </cell>
          <cell r="U17">
            <v>-6.7796610169491567E-2</v>
          </cell>
          <cell r="V17">
            <v>0.33414337788578374</v>
          </cell>
          <cell r="W17">
            <v>0.31517094017094016</v>
          </cell>
        </row>
        <row r="18">
          <cell r="B18" t="str">
            <v>BASF</v>
          </cell>
          <cell r="C18">
            <v>13158.834559999999</v>
          </cell>
          <cell r="G18" t="str">
            <v>BASF</v>
          </cell>
          <cell r="H18">
            <v>13645</v>
          </cell>
          <cell r="K18" t="str">
            <v>BASF</v>
          </cell>
          <cell r="L18">
            <v>0.18983060934892348</v>
          </cell>
          <cell r="O18" t="str">
            <v>FINEORG</v>
          </cell>
          <cell r="R18">
            <v>-0.28117763810783991</v>
          </cell>
          <cell r="U18">
            <v>-0.27669902912621358</v>
          </cell>
          <cell r="V18">
            <v>0.20570639668660837</v>
          </cell>
          <cell r="W18">
            <v>0.20443268276546478</v>
          </cell>
        </row>
        <row r="19">
          <cell r="B19" t="str">
            <v>ALKYLAMINE</v>
          </cell>
          <cell r="C19">
            <v>11783.37667</v>
          </cell>
          <cell r="G19" t="str">
            <v>ALKYLAMINE</v>
          </cell>
          <cell r="H19">
            <v>1865</v>
          </cell>
          <cell r="K19" t="str">
            <v>ALKYLAMINE</v>
          </cell>
          <cell r="L19">
            <v>0.21790641863949589</v>
          </cell>
          <cell r="O19" t="str">
            <v>BASF</v>
          </cell>
          <cell r="R19">
            <v>-2.8508611212898494E-2</v>
          </cell>
          <cell r="U19">
            <v>-0.11910669975186106</v>
          </cell>
          <cell r="V19">
            <v>2.6780325890162944E-2</v>
          </cell>
          <cell r="W19">
            <v>2.9534628068889703E-2</v>
          </cell>
        </row>
        <row r="20">
          <cell r="B20" t="str">
            <v>AETHER</v>
          </cell>
          <cell r="C20">
            <v>11228.3271183</v>
          </cell>
          <cell r="G20" t="str">
            <v>AETHER</v>
          </cell>
          <cell r="H20">
            <v>651</v>
          </cell>
          <cell r="K20" t="str">
            <v>AETHER</v>
          </cell>
          <cell r="L20">
            <v>0.264960563797497</v>
          </cell>
          <cell r="O20" t="str">
            <v>ALKYLAMINE</v>
          </cell>
          <cell r="R20">
            <v>-8.108108108108103E-2</v>
          </cell>
          <cell r="U20">
            <v>-0.30567685589519655</v>
          </cell>
          <cell r="V20">
            <v>0.10628342245989304</v>
          </cell>
          <cell r="W20">
            <v>0.14066339066339067</v>
          </cell>
        </row>
        <row r="21">
          <cell r="B21" t="str">
            <v>ANURAS</v>
          </cell>
          <cell r="C21">
            <v>10413.261181</v>
          </cell>
          <cell r="G21" t="str">
            <v>ANURAS</v>
          </cell>
          <cell r="H21">
            <v>1602</v>
          </cell>
          <cell r="K21" t="str">
            <v>ANURAS</v>
          </cell>
          <cell r="L21">
            <v>0.36264154727692621</v>
          </cell>
          <cell r="O21" t="str">
            <v>AETHER</v>
          </cell>
          <cell r="R21">
            <v>1.9969278033794113E-2</v>
          </cell>
          <cell r="U21">
            <v>-3.8461538461538436E-2</v>
          </cell>
          <cell r="V21">
            <v>0.18825301204819278</v>
          </cell>
          <cell r="W21">
            <v>0.19969278033794163</v>
          </cell>
        </row>
        <row r="22">
          <cell r="B22" t="str">
            <v>GALAXYSURF</v>
          </cell>
          <cell r="C22">
            <v>9214.9057279999997</v>
          </cell>
          <cell r="G22" t="str">
            <v>GALAXYSURF</v>
          </cell>
          <cell r="H22">
            <v>4445</v>
          </cell>
          <cell r="K22" t="str">
            <v>GALAXYSURF</v>
          </cell>
          <cell r="L22">
            <v>0.12533407819159215</v>
          </cell>
          <cell r="O22" t="str">
            <v>ANURAS</v>
          </cell>
          <cell r="R22">
            <v>3.0586766541822685E-2</v>
          </cell>
          <cell r="U22">
            <v>5.0691244239631228E-2</v>
          </cell>
          <cell r="V22">
            <v>0.13809812235009086</v>
          </cell>
          <cell r="W22">
            <v>0.13545568039950062</v>
          </cell>
        </row>
        <row r="23">
          <cell r="B23" t="str">
            <v>ACI</v>
          </cell>
          <cell r="C23">
            <v>7645.8078949000001</v>
          </cell>
          <cell r="G23" t="str">
            <v>ACI</v>
          </cell>
          <cell r="H23">
            <v>1441</v>
          </cell>
          <cell r="K23" t="str">
            <v>ACI</v>
          </cell>
          <cell r="L23">
            <v>0.14227100923130154</v>
          </cell>
          <cell r="O23" t="str">
            <v>GALAXYSURF</v>
          </cell>
          <cell r="R23">
            <v>-0.10420886788206163</v>
          </cell>
          <cell r="U23">
            <v>-8.3989501312335957E-2</v>
          </cell>
          <cell r="V23">
            <v>8.7688442211055276E-2</v>
          </cell>
          <cell r="W23">
            <v>8.5752869682646865E-2</v>
          </cell>
        </row>
        <row r="24">
          <cell r="B24" t="str">
            <v>OTHERS_74</v>
          </cell>
          <cell r="C24">
            <v>10927</v>
          </cell>
          <cell r="O24" t="str">
            <v>ACI</v>
          </cell>
          <cell r="R24">
            <v>-4.1637751561415692E-2</v>
          </cell>
          <cell r="U24">
            <v>3.125E-2</v>
          </cell>
          <cell r="V24">
            <v>0.28674873280231716</v>
          </cell>
          <cell r="W24">
            <v>0.26648160999306036</v>
          </cell>
        </row>
        <row r="46">
          <cell r="C46" t="str">
            <v>MARGIN %</v>
          </cell>
          <cell r="G46" t="str">
            <v>CUR. RATIO</v>
          </cell>
          <cell r="K46" t="str">
            <v>TR.DAYS</v>
          </cell>
        </row>
        <row r="47">
          <cell r="B47" t="str">
            <v>PIDILITIND</v>
          </cell>
          <cell r="C47">
            <v>0.10916179337231968</v>
          </cell>
          <cell r="F47" t="str">
            <v>PIDILITIND</v>
          </cell>
          <cell r="G47">
            <v>1.813278112449799</v>
          </cell>
          <cell r="J47" t="str">
            <v>PIDILITIND</v>
          </cell>
          <cell r="K47">
            <v>54.200906856513264</v>
          </cell>
        </row>
        <row r="48">
          <cell r="B48" t="str">
            <v>SRF</v>
          </cell>
          <cell r="C48">
            <v>0.14539340954942839</v>
          </cell>
          <cell r="F48" t="str">
            <v>SRF</v>
          </cell>
          <cell r="G48">
            <v>1.0641618497109826</v>
          </cell>
          <cell r="J48" t="str">
            <v>SRF</v>
          </cell>
          <cell r="K48">
            <v>42.906523201075991</v>
          </cell>
        </row>
        <row r="49">
          <cell r="B49" t="str">
            <v>FLUOROCHEM</v>
          </cell>
          <cell r="C49">
            <v>0.24144689950106915</v>
          </cell>
          <cell r="F49" t="str">
            <v>FLUOROCHEM</v>
          </cell>
          <cell r="G49">
            <v>1.3928273561301083</v>
          </cell>
          <cell r="J49" t="str">
            <v>FLUOROCHEM</v>
          </cell>
          <cell r="K49">
            <v>47.413578047042051</v>
          </cell>
        </row>
        <row r="50">
          <cell r="B50" t="str">
            <v>DEEPAKNI</v>
          </cell>
          <cell r="C50">
            <v>0.10687405920722529</v>
          </cell>
          <cell r="F50" t="str">
            <v>DEEPAKNI</v>
          </cell>
          <cell r="G50">
            <v>3.7425499455139848</v>
          </cell>
          <cell r="J50" t="str">
            <v>DEEPAKNI</v>
          </cell>
          <cell r="K50">
            <v>55.494468138484692</v>
          </cell>
        </row>
        <row r="51">
          <cell r="B51" t="str">
            <v>AARTIIND</v>
          </cell>
          <cell r="C51">
            <v>7.4842076352650375E-2</v>
          </cell>
          <cell r="F51" t="str">
            <v>AARTIIND</v>
          </cell>
          <cell r="G51">
            <v>1.0578125</v>
          </cell>
          <cell r="J51" t="str">
            <v>AARTIIND</v>
          </cell>
          <cell r="K51">
            <v>39.347020049436964</v>
          </cell>
        </row>
        <row r="52">
          <cell r="B52" t="str">
            <v>ATUL</v>
          </cell>
          <cell r="C52">
            <v>9.3237516123088268E-2</v>
          </cell>
          <cell r="F52" t="str">
            <v>ATUL</v>
          </cell>
          <cell r="G52">
            <v>2.5844963331779942</v>
          </cell>
          <cell r="J52" t="str">
            <v>ATUL</v>
          </cell>
          <cell r="K52">
            <v>60.981297217615626</v>
          </cell>
        </row>
        <row r="53">
          <cell r="B53" t="str">
            <v>VINATIORGA</v>
          </cell>
          <cell r="C53">
            <v>0.21966426858513188</v>
          </cell>
          <cell r="F53" t="str">
            <v>VINATIORGA</v>
          </cell>
          <cell r="G53">
            <v>5.0907794416104437</v>
          </cell>
          <cell r="J53" t="str">
            <v>VINATIORGA</v>
          </cell>
          <cell r="K53">
            <v>34.120325982742088</v>
          </cell>
        </row>
        <row r="54">
          <cell r="B54" t="str">
            <v>HSCL</v>
          </cell>
          <cell r="C54">
            <v>5.1773729626078617E-2</v>
          </cell>
          <cell r="F54" t="str">
            <v>HSCL</v>
          </cell>
          <cell r="G54">
            <v>1.3523622047244095</v>
          </cell>
          <cell r="J54" t="str">
            <v>HSCL</v>
          </cell>
          <cell r="K54">
            <v>100.48441247002398</v>
          </cell>
        </row>
        <row r="55">
          <cell r="B55" t="str">
            <v>CLEAN</v>
          </cell>
          <cell r="C55">
            <v>0.31517094017094016</v>
          </cell>
          <cell r="F55" t="str">
            <v>CLEAN</v>
          </cell>
          <cell r="G55">
            <v>5.1621621621621623</v>
          </cell>
          <cell r="J55" t="str">
            <v>CLEAN</v>
          </cell>
          <cell r="K55">
            <v>51.08440170940171</v>
          </cell>
        </row>
        <row r="56">
          <cell r="B56" t="str">
            <v>FINEORG</v>
          </cell>
          <cell r="C56">
            <v>0.20443268276546478</v>
          </cell>
          <cell r="F56" t="str">
            <v>FINEORG</v>
          </cell>
          <cell r="G56">
            <v>9.9911202185792352</v>
          </cell>
          <cell r="J56" t="str">
            <v>FINEORG</v>
          </cell>
          <cell r="K56">
            <v>349.78663579225935</v>
          </cell>
        </row>
        <row r="57">
          <cell r="B57" t="str">
            <v>BASF</v>
          </cell>
          <cell r="C57">
            <v>2.9534628068889703E-2</v>
          </cell>
          <cell r="F57" t="str">
            <v>BASF</v>
          </cell>
          <cell r="G57">
            <v>1.6191217689193398</v>
          </cell>
          <cell r="J57" t="str">
            <v>BASF</v>
          </cell>
          <cell r="K57">
            <v>63.851593990472693</v>
          </cell>
        </row>
        <row r="58">
          <cell r="B58" t="str">
            <v>ALKYLAMINE</v>
          </cell>
          <cell r="C58">
            <v>0.12278820375335121</v>
          </cell>
          <cell r="F58" t="str">
            <v>ALKYLAMINE</v>
          </cell>
          <cell r="G58">
            <v>1.4113260232922427</v>
          </cell>
          <cell r="J58" t="str">
            <v>ALKYLAMINE</v>
          </cell>
          <cell r="K58">
            <v>43.062171581769434</v>
          </cell>
        </row>
        <row r="59">
          <cell r="B59" t="str">
            <v>AETHER</v>
          </cell>
          <cell r="C59">
            <v>0.19969278033794163</v>
          </cell>
          <cell r="F59" t="str">
            <v>AETHER</v>
          </cell>
          <cell r="G59">
            <v>6.2536231884057969</v>
          </cell>
          <cell r="J59" t="str">
            <v>AETHER</v>
          </cell>
          <cell r="K59">
            <v>141.29032258064515</v>
          </cell>
        </row>
        <row r="60">
          <cell r="B60" t="str">
            <v>ANURAS</v>
          </cell>
          <cell r="C60">
            <v>0.13545568039950062</v>
          </cell>
          <cell r="F60" t="str">
            <v>ANURAS</v>
          </cell>
          <cell r="G60">
            <v>1.9826689774696706</v>
          </cell>
          <cell r="J60" t="str">
            <v>ANURAS</v>
          </cell>
          <cell r="K60">
            <v>144.67852684144819</v>
          </cell>
        </row>
        <row r="61">
          <cell r="B61" t="str">
            <v>GALAXYSURF</v>
          </cell>
          <cell r="C61">
            <v>8.5714285714285715E-2</v>
          </cell>
          <cell r="F61" t="str">
            <v>GALAXYSURF</v>
          </cell>
          <cell r="G61">
            <v>2.7966609664509985</v>
          </cell>
          <cell r="J61" t="str">
            <v>GALAXYSURF</v>
          </cell>
          <cell r="K61">
            <v>52.665928008998875</v>
          </cell>
        </row>
        <row r="62">
          <cell r="B62" t="str">
            <v>ACI</v>
          </cell>
          <cell r="C62">
            <v>0.26578764746703676</v>
          </cell>
          <cell r="F62" t="str">
            <v>ACI</v>
          </cell>
          <cell r="G62">
            <v>4.3687500000000004</v>
          </cell>
          <cell r="J62" t="str">
            <v>ACI</v>
          </cell>
          <cell r="K62">
            <v>29.888965995836223</v>
          </cell>
        </row>
        <row r="82">
          <cell r="C82" t="str">
            <v>DEBT2EQUITY</v>
          </cell>
          <cell r="G82" t="str">
            <v>ICR</v>
          </cell>
          <cell r="K82" t="str">
            <v>DEBTRATIO</v>
          </cell>
        </row>
        <row r="83">
          <cell r="B83" t="str">
            <v>PIDILITIND</v>
          </cell>
          <cell r="C83">
            <v>2.3837308369520877E-2</v>
          </cell>
          <cell r="F83" t="str">
            <v>PIDILITIND</v>
          </cell>
          <cell r="G83">
            <v>267.44</v>
          </cell>
          <cell r="J83" t="str">
            <v>PIDILITIND</v>
          </cell>
          <cell r="K83">
            <v>0.30948813370473538</v>
          </cell>
        </row>
        <row r="84">
          <cell r="B84" t="str">
            <v>SRF</v>
          </cell>
          <cell r="C84">
            <v>0.44751635793936045</v>
          </cell>
          <cell r="F84" t="str">
            <v>SRF</v>
          </cell>
          <cell r="G84">
            <v>64.986111111111114</v>
          </cell>
          <cell r="J84" t="str">
            <v>SRF</v>
          </cell>
          <cell r="K84">
            <v>0.44784776635799328</v>
          </cell>
        </row>
        <row r="85">
          <cell r="B85" t="str">
            <v>FLUOROCHEM</v>
          </cell>
          <cell r="C85">
            <v>0.28313043478260869</v>
          </cell>
          <cell r="F85" t="str">
            <v>FLUOROCHEM</v>
          </cell>
          <cell r="G85">
            <v>56.29032258064516</v>
          </cell>
          <cell r="J85" t="str">
            <v>FLUOROCHEM</v>
          </cell>
          <cell r="K85">
            <v>0.33422088446399628</v>
          </cell>
        </row>
        <row r="86">
          <cell r="B86" t="str">
            <v>DEEPAKNI</v>
          </cell>
          <cell r="C86">
            <v>1.2139790691675572E-2</v>
          </cell>
          <cell r="F86" t="str">
            <v>DEEPAKNI</v>
          </cell>
          <cell r="G86">
            <v>1215</v>
          </cell>
          <cell r="J86" t="str">
            <v>DEEPAKNI</v>
          </cell>
          <cell r="K86">
            <v>0.17584196829723381</v>
          </cell>
        </row>
        <row r="87">
          <cell r="B87" t="str">
            <v>AARTIIND</v>
          </cell>
          <cell r="C87">
            <v>0.62743538767395624</v>
          </cell>
          <cell r="F87" t="str">
            <v>AARTIIND</v>
          </cell>
          <cell r="G87">
            <v>47.131313131313128</v>
          </cell>
          <cell r="J87" t="str">
            <v>AARTIIND</v>
          </cell>
          <cell r="K87">
            <v>0.456098615916955</v>
          </cell>
        </row>
        <row r="88">
          <cell r="B88" t="str">
            <v>ATUL</v>
          </cell>
          <cell r="C88">
            <v>3.1639137243016618E-2</v>
          </cell>
          <cell r="F88" t="str">
            <v>ATUL</v>
          </cell>
          <cell r="G88">
            <v>820.75</v>
          </cell>
          <cell r="J88" t="str">
            <v>ATUL</v>
          </cell>
          <cell r="K88">
            <v>0.18827095193343799</v>
          </cell>
        </row>
        <row r="89">
          <cell r="B89" t="str">
            <v>VINATIORGA</v>
          </cell>
          <cell r="C89">
            <v>9.0791180285343707E-5</v>
          </cell>
          <cell r="F89" t="str">
            <v>VINATIORGA</v>
          </cell>
          <cell r="G89">
            <v>1399</v>
          </cell>
          <cell r="J89" t="str">
            <v>VINATIORGA</v>
          </cell>
          <cell r="K89">
            <v>0.12585034013605442</v>
          </cell>
        </row>
        <row r="90">
          <cell r="B90" t="str">
            <v>HSCL</v>
          </cell>
          <cell r="C90">
            <v>0.40503342508847817</v>
          </cell>
          <cell r="F90" t="str">
            <v>HSCL</v>
          </cell>
          <cell r="G90">
            <v>46.462962962962962</v>
          </cell>
          <cell r="J90" t="str">
            <v>HSCL</v>
          </cell>
          <cell r="K90">
            <v>0.40014164305949007</v>
          </cell>
        </row>
        <row r="91">
          <cell r="B91" t="str">
            <v>CLEAN</v>
          </cell>
          <cell r="C91">
            <v>1.0091743119266057E-3</v>
          </cell>
          <cell r="F91" t="str">
            <v>CLEAN</v>
          </cell>
          <cell r="G91">
            <v>696</v>
          </cell>
          <cell r="J91" t="str">
            <v>CLEAN</v>
          </cell>
          <cell r="K91">
            <v>0.11372867587327376</v>
          </cell>
        </row>
        <row r="92">
          <cell r="B92" t="str">
            <v>FINEORG</v>
          </cell>
          <cell r="C92">
            <v>5.3700677095493811E-3</v>
          </cell>
          <cell r="F92" t="str">
            <v>FINEORG</v>
          </cell>
          <cell r="G92">
            <v>56.642857142857146</v>
          </cell>
          <cell r="J92" t="str">
            <v>FINEORG</v>
          </cell>
          <cell r="K92">
            <v>8.0107382550335574E-2</v>
          </cell>
        </row>
        <row r="93">
          <cell r="B93" t="str">
            <v>BASF</v>
          </cell>
          <cell r="C93">
            <v>0</v>
          </cell>
          <cell r="F93" t="str">
            <v>BASF</v>
          </cell>
          <cell r="G93">
            <v>766.77777777777783</v>
          </cell>
          <cell r="J93" t="str">
            <v>BASF</v>
          </cell>
          <cell r="K93">
            <v>0.53472111870332117</v>
          </cell>
        </row>
        <row r="94">
          <cell r="B94" t="str">
            <v>ALKYLAMINE</v>
          </cell>
          <cell r="C94">
            <v>7.5925848432857684E-2</v>
          </cell>
          <cell r="F94" t="str">
            <v>ALKYLAMINE</v>
          </cell>
          <cell r="G94">
            <v>400.33333333333331</v>
          </cell>
          <cell r="J94" t="str">
            <v>ALKYLAMINE</v>
          </cell>
          <cell r="K94">
            <v>0.23815808769614316</v>
          </cell>
        </row>
        <row r="95">
          <cell r="B95" t="str">
            <v>AETHER</v>
          </cell>
          <cell r="C95">
            <v>9.7799511002444979E-4</v>
          </cell>
          <cell r="F95" t="str">
            <v>AETHER</v>
          </cell>
          <cell r="G95">
            <v>198.5</v>
          </cell>
          <cell r="J95" t="str">
            <v>AETHER</v>
          </cell>
          <cell r="K95">
            <v>8.1311769991015276E-2</v>
          </cell>
        </row>
        <row r="96">
          <cell r="B96" t="str">
            <v>ANURAS</v>
          </cell>
          <cell r="C96">
            <v>0.43624436244362441</v>
          </cell>
          <cell r="F96" t="str">
            <v>ANURAS</v>
          </cell>
          <cell r="G96">
            <v>26.157894736842106</v>
          </cell>
          <cell r="J96" t="str">
            <v>ANURAS</v>
          </cell>
          <cell r="K96">
            <v>0.38920320603488923</v>
          </cell>
        </row>
        <row r="97">
          <cell r="B97" t="str">
            <v>GALAXYSURF</v>
          </cell>
          <cell r="C97">
            <v>9.3672083649515639E-2</v>
          </cell>
          <cell r="F97" t="str">
            <v>GALAXYSURF</v>
          </cell>
          <cell r="G97">
            <v>247.27272727272728</v>
          </cell>
          <cell r="J97" t="str">
            <v>GALAXYSURF</v>
          </cell>
          <cell r="K97">
            <v>0.26078990598785601</v>
          </cell>
        </row>
        <row r="98">
          <cell r="B98" t="str">
            <v>ACI</v>
          </cell>
          <cell r="C98">
            <v>1.6502871729419274E-2</v>
          </cell>
          <cell r="F98" t="str">
            <v>ACI</v>
          </cell>
          <cell r="G98">
            <v>200.6</v>
          </cell>
          <cell r="J98" t="str">
            <v>ACI</v>
          </cell>
          <cell r="K98">
            <v>0.16640085061137694</v>
          </cell>
        </row>
        <row r="118">
          <cell r="C118" t="str">
            <v>ROE</v>
          </cell>
          <cell r="D118" t="str">
            <v>ROA</v>
          </cell>
        </row>
        <row r="119">
          <cell r="B119" t="str">
            <v>PIDILITIND</v>
          </cell>
          <cell r="C119">
            <v>0.16626477407095686</v>
          </cell>
          <cell r="D119">
            <v>0.11480779944289693</v>
          </cell>
        </row>
        <row r="120">
          <cell r="B120" t="str">
            <v>SRF</v>
          </cell>
          <cell r="C120">
            <v>0.19924430928025066</v>
          </cell>
          <cell r="D120">
            <v>0.1100030528136766</v>
          </cell>
        </row>
        <row r="121">
          <cell r="B121" t="str">
            <v>FLUOROCHEM</v>
          </cell>
          <cell r="C121">
            <v>0.23565217391304347</v>
          </cell>
          <cell r="D121">
            <v>0.15686501504978004</v>
          </cell>
        </row>
        <row r="122">
          <cell r="B122" t="str">
            <v>DEEPAKNI</v>
          </cell>
          <cell r="C122">
            <v>0.19622655415115894</v>
          </cell>
          <cell r="D122">
            <v>0.1617216906370354</v>
          </cell>
        </row>
        <row r="123">
          <cell r="B123" t="str">
            <v>AARTIIND</v>
          </cell>
          <cell r="C123">
            <v>0.10834990059642147</v>
          </cell>
          <cell r="D123">
            <v>5.893166089965398E-2</v>
          </cell>
        </row>
        <row r="124">
          <cell r="B124" t="str">
            <v>ATUL</v>
          </cell>
          <cell r="C124">
            <v>0.10223771278476537</v>
          </cell>
          <cell r="D124">
            <v>8.2989321275280165E-2</v>
          </cell>
        </row>
        <row r="125">
          <cell r="B125" t="str">
            <v>VINATIORGA</v>
          </cell>
          <cell r="C125">
            <v>9.3385214007782102E-2</v>
          </cell>
          <cell r="D125">
            <v>8.1632653061224483E-2</v>
          </cell>
        </row>
        <row r="126">
          <cell r="B126" t="str">
            <v>HSCL</v>
          </cell>
          <cell r="C126">
            <v>0.18010224144710971</v>
          </cell>
          <cell r="D126">
            <v>0.10812086874409821</v>
          </cell>
        </row>
        <row r="127">
          <cell r="B127" t="str">
            <v>CLEAN</v>
          </cell>
          <cell r="C127">
            <v>0.27064220183486237</v>
          </cell>
          <cell r="D127">
            <v>0.239642567018684</v>
          </cell>
        </row>
        <row r="128">
          <cell r="B128" t="str">
            <v>FINEORG</v>
          </cell>
          <cell r="C128">
            <v>3.6072846135886058E-2</v>
          </cell>
          <cell r="D128">
            <v>3.3181208053691277E-2</v>
          </cell>
        </row>
        <row r="129">
          <cell r="B129" t="str">
            <v>BASF</v>
          </cell>
          <cell r="C129">
            <v>0.13763661202185792</v>
          </cell>
          <cell r="D129">
            <v>6.4039408866995079E-2</v>
          </cell>
        </row>
        <row r="130">
          <cell r="B130" t="str">
            <v>ALKYLAMINE</v>
          </cell>
          <cell r="C130">
            <v>0.19165585638364649</v>
          </cell>
          <cell r="D130">
            <v>0.14601146413155061</v>
          </cell>
        </row>
        <row r="131">
          <cell r="B131" t="str">
            <v>AETHER</v>
          </cell>
          <cell r="C131">
            <v>6.3569682151589244E-2</v>
          </cell>
          <cell r="D131">
            <v>5.8400718778077267E-2</v>
          </cell>
        </row>
        <row r="132">
          <cell r="B132" t="str">
            <v>ANURAS</v>
          </cell>
          <cell r="C132">
            <v>8.8970889708897091E-2</v>
          </cell>
          <cell r="D132">
            <v>5.1155115511551157E-2</v>
          </cell>
        </row>
        <row r="133">
          <cell r="B133" t="str">
            <v>GALAXYSURF</v>
          </cell>
          <cell r="C133">
            <v>0.18773836859792453</v>
          </cell>
          <cell r="D133">
            <v>0.13877809710095834</v>
          </cell>
        </row>
        <row r="134">
          <cell r="B134" t="str">
            <v>ACI</v>
          </cell>
          <cell r="C134">
            <v>0.24441608168474793</v>
          </cell>
          <cell r="D134">
            <v>0.20361509835194044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E3C409-8E05-43F0-9E6D-8D9BBBDE16A2}" name="Table_1" displayName="Table_1" ref="V13:W13" headerRowCount="0">
  <tableColumns count="2">
    <tableColumn id="1" xr3:uid="{A85AF448-81F7-4376-859F-C130EB3A4476}" name="Column1">
      <calculatedColumnFormula>S13/P13</calculatedColumnFormula>
    </tableColumn>
    <tableColumn id="2" xr3:uid="{1331EB7F-92BB-497D-9CC2-4974794E3BDF}" name="Column2">
      <calculatedColumnFormula>T13/Q13</calculatedColumnFormula>
    </tableColumn>
  </tableColumns>
  <tableStyleInfo name="Specialty Chemicals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2310-A71F-4082-9774-4489B6650547}">
  <dimension ref="A1:AD964"/>
  <sheetViews>
    <sheetView showGridLines="0" tabSelected="1" workbookViewId="0"/>
  </sheetViews>
  <sheetFormatPr defaultColWidth="14" defaultRowHeight="15" customHeight="1" x14ac:dyDescent="0.3"/>
  <cols>
    <col min="1" max="1" width="14.109375" customWidth="1"/>
    <col min="2" max="2" width="14.6640625" customWidth="1"/>
    <col min="3" max="3" width="15.21875" customWidth="1"/>
    <col min="4" max="4" width="11.33203125" customWidth="1"/>
    <col min="5" max="5" width="10.109375" customWidth="1"/>
    <col min="6" max="6" width="12.44140625" customWidth="1"/>
    <col min="7" max="7" width="12.6640625" customWidth="1"/>
    <col min="8" max="8" width="10.44140625" customWidth="1"/>
    <col min="9" max="9" width="9" customWidth="1"/>
    <col min="10" max="10" width="13" customWidth="1"/>
    <col min="11" max="11" width="10" customWidth="1"/>
    <col min="12" max="12" width="9" customWidth="1"/>
    <col min="13" max="13" width="11.5546875" customWidth="1"/>
    <col min="14" max="14" width="12.6640625" customWidth="1"/>
    <col min="15" max="15" width="11.33203125" customWidth="1"/>
    <col min="16" max="16" width="11.6640625" customWidth="1"/>
    <col min="17" max="18" width="10.21875" customWidth="1"/>
    <col min="19" max="19" width="8.21875" customWidth="1"/>
    <col min="20" max="20" width="7.44140625" customWidth="1"/>
    <col min="21" max="21" width="9.44140625" customWidth="1"/>
    <col min="22" max="22" width="21.21875" customWidth="1"/>
    <col min="23" max="23" width="9.44140625" customWidth="1"/>
    <col min="24" max="24" width="9" customWidth="1"/>
    <col min="25" max="25" width="8.21875" customWidth="1"/>
    <col min="26" max="26" width="12.33203125" customWidth="1"/>
    <col min="27" max="30" width="8.44140625" customWidth="1"/>
  </cols>
  <sheetData>
    <row r="1" spans="1:30" ht="15.75" customHeight="1" x14ac:dyDescent="0.3">
      <c r="E1" s="1" t="s">
        <v>0</v>
      </c>
      <c r="H1" s="1" t="s">
        <v>1</v>
      </c>
      <c r="R1" s="1" t="s">
        <v>2</v>
      </c>
    </row>
    <row r="2" spans="1:30" ht="15.75" customHeight="1" x14ac:dyDescent="0.3">
      <c r="A2" s="1" t="s">
        <v>3</v>
      </c>
      <c r="B2" s="1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18</v>
      </c>
      <c r="Q2" s="2" t="s">
        <v>19</v>
      </c>
      <c r="R2" s="1" t="s">
        <v>20</v>
      </c>
      <c r="S2" s="1" t="s">
        <v>21</v>
      </c>
      <c r="T2" s="1" t="s">
        <v>22</v>
      </c>
      <c r="U2" s="1" t="s">
        <v>23</v>
      </c>
      <c r="V2" s="1" t="s">
        <v>24</v>
      </c>
      <c r="W2" s="3"/>
      <c r="X2" s="3"/>
      <c r="Y2" s="3"/>
      <c r="Z2" s="3"/>
      <c r="AA2" s="3"/>
      <c r="AB2" s="3"/>
      <c r="AC2" s="3"/>
      <c r="AD2" s="3"/>
    </row>
    <row r="3" spans="1:30" ht="15.75" customHeight="1" x14ac:dyDescent="0.3">
      <c r="B3" s="1" t="s">
        <v>3</v>
      </c>
      <c r="C3" s="4">
        <f ca="1">IFERROR(__xludf.DUMMYFUNCTION("GOOGLEFINANCE(""nse:""&amp;$B$3,""price"")"),3019.1)</f>
        <v>3019.1</v>
      </c>
      <c r="D3" s="4">
        <f ca="1">IFERROR(__xludf.DUMMYFUNCTION("GOOGLEFINANCE(""nse:""&amp;$B$3,""MARKETCAP"")/10000000"),153554.2689208)</f>
        <v>153554.26892080001</v>
      </c>
      <c r="E3" s="5">
        <f>C34</f>
        <v>12383</v>
      </c>
      <c r="F3" s="5">
        <f>F34</f>
        <v>1747</v>
      </c>
      <c r="G3" s="5">
        <f>H34</f>
        <v>34.01</v>
      </c>
      <c r="H3" s="4">
        <v>50.86</v>
      </c>
      <c r="I3" s="4">
        <v>8617</v>
      </c>
      <c r="J3" s="4">
        <v>131</v>
      </c>
      <c r="K3" s="4">
        <f>58+194</f>
        <v>252</v>
      </c>
      <c r="L3" s="4">
        <v>1</v>
      </c>
      <c r="M3" s="4">
        <v>5836</v>
      </c>
      <c r="N3" s="6">
        <v>2798</v>
      </c>
      <c r="O3" s="6">
        <v>12104</v>
      </c>
      <c r="P3" s="6">
        <v>3487</v>
      </c>
      <c r="Q3" s="6">
        <v>1675</v>
      </c>
      <c r="R3" s="7">
        <v>2724</v>
      </c>
      <c r="S3" s="8">
        <v>-1769</v>
      </c>
      <c r="T3" s="7">
        <v>-743</v>
      </c>
      <c r="U3" s="7">
        <f t="shared" ref="U3:U4" si="0">SUM(R3:T3)</f>
        <v>212</v>
      </c>
      <c r="V3" s="7">
        <v>559</v>
      </c>
      <c r="W3" s="3"/>
      <c r="X3" s="3"/>
      <c r="Y3" s="3"/>
      <c r="Z3" s="3"/>
      <c r="AA3" s="3"/>
      <c r="AB3" s="3"/>
      <c r="AC3" s="3"/>
      <c r="AD3" s="3"/>
    </row>
    <row r="4" spans="1:30" ht="15.75" customHeight="1" x14ac:dyDescent="0.3">
      <c r="B4" s="9" t="s">
        <v>25</v>
      </c>
      <c r="C4" s="6">
        <v>3015</v>
      </c>
      <c r="D4" s="4">
        <f>C4*(H3/L3)</f>
        <v>153342.9</v>
      </c>
      <c r="E4" s="6">
        <f>C33</f>
        <v>11848</v>
      </c>
      <c r="F4" s="6">
        <f>F33</f>
        <v>1288</v>
      </c>
      <c r="G4" s="10">
        <f>H33</f>
        <v>25.1</v>
      </c>
      <c r="H4" s="4">
        <v>50.83</v>
      </c>
      <c r="I4" s="6">
        <v>7446</v>
      </c>
      <c r="J4" s="6">
        <v>163</v>
      </c>
      <c r="K4" s="6">
        <f>52+176</f>
        <v>228</v>
      </c>
      <c r="L4" s="6">
        <v>1</v>
      </c>
      <c r="M4" s="6">
        <v>4562</v>
      </c>
      <c r="N4" s="6">
        <v>2411</v>
      </c>
      <c r="O4" s="6">
        <v>10525</v>
      </c>
      <c r="P4" s="6">
        <v>3079</v>
      </c>
      <c r="Q4" s="6">
        <v>1535</v>
      </c>
      <c r="R4" s="11">
        <v>1558</v>
      </c>
      <c r="S4" s="8">
        <v>-899</v>
      </c>
      <c r="T4" s="7">
        <v>-656</v>
      </c>
      <c r="U4" s="7">
        <f t="shared" si="0"/>
        <v>3</v>
      </c>
      <c r="V4" s="7">
        <v>505</v>
      </c>
      <c r="W4" s="3"/>
      <c r="X4" s="3"/>
      <c r="Y4" s="3"/>
      <c r="Z4" s="3"/>
      <c r="AA4" s="3"/>
      <c r="AB4" s="3"/>
      <c r="AC4" s="3"/>
      <c r="AD4" s="3"/>
    </row>
    <row r="5" spans="1:30" ht="15.75" customHeight="1" x14ac:dyDescent="0.3">
      <c r="B5" s="12" t="s">
        <v>26</v>
      </c>
      <c r="C5" s="13">
        <f t="shared" ref="C5:R5" ca="1" si="1">(C3/C4)-1</f>
        <v>1.3598673300165842E-3</v>
      </c>
      <c r="D5" s="13">
        <f t="shared" ca="1" si="1"/>
        <v>1.3784069611308958E-3</v>
      </c>
      <c r="E5" s="13">
        <f t="shared" si="1"/>
        <v>4.5155300472653703E-2</v>
      </c>
      <c r="F5" s="13">
        <f t="shared" si="1"/>
        <v>0.35636645962732927</v>
      </c>
      <c r="G5" s="13">
        <f t="shared" si="1"/>
        <v>0.35498007968127476</v>
      </c>
      <c r="H5" s="13">
        <f t="shared" si="1"/>
        <v>5.9020263623854596E-4</v>
      </c>
      <c r="I5" s="14">
        <f t="shared" si="1"/>
        <v>0.15726564598442128</v>
      </c>
      <c r="J5" s="13">
        <f t="shared" si="1"/>
        <v>-0.19631901840490795</v>
      </c>
      <c r="K5" s="13">
        <f t="shared" si="1"/>
        <v>0.10526315789473695</v>
      </c>
      <c r="L5" s="13">
        <f t="shared" si="1"/>
        <v>0</v>
      </c>
      <c r="M5" s="13">
        <f t="shared" si="1"/>
        <v>0.279263480929417</v>
      </c>
      <c r="N5" s="13">
        <f t="shared" si="1"/>
        <v>0.16051430941518041</v>
      </c>
      <c r="O5" s="13">
        <f t="shared" si="1"/>
        <v>0.15002375296912107</v>
      </c>
      <c r="P5" s="13">
        <f t="shared" si="1"/>
        <v>0.1325105553751218</v>
      </c>
      <c r="Q5" s="13">
        <f t="shared" si="1"/>
        <v>9.1205211726384405E-2</v>
      </c>
      <c r="R5" s="15">
        <f t="shared" si="1"/>
        <v>0.748395378690629</v>
      </c>
      <c r="S5" s="15">
        <v>-0.97</v>
      </c>
      <c r="T5" s="15">
        <v>-0.13</v>
      </c>
      <c r="U5" s="15">
        <f t="shared" ref="U5:V5" si="2">(U3/U4)-1</f>
        <v>69.666666666666671</v>
      </c>
      <c r="V5" s="15">
        <f t="shared" si="2"/>
        <v>0.10693069306930703</v>
      </c>
      <c r="W5" s="3"/>
      <c r="X5" s="3"/>
      <c r="Y5" s="3"/>
      <c r="Z5" s="3"/>
      <c r="AA5" s="3"/>
      <c r="AB5" s="3"/>
      <c r="AC5" s="3"/>
      <c r="AD5" s="3"/>
    </row>
    <row r="6" spans="1:30" ht="15.75" customHeight="1" x14ac:dyDescent="0.3">
      <c r="B6" s="16"/>
      <c r="C6" s="17"/>
      <c r="D6" s="16"/>
      <c r="E6" s="17"/>
      <c r="F6" s="17"/>
      <c r="G6" s="16"/>
      <c r="H6" s="17"/>
      <c r="I6" s="17"/>
      <c r="J6" s="16"/>
      <c r="K6" s="17"/>
      <c r="L6" s="17"/>
      <c r="M6" s="16"/>
      <c r="N6" s="17"/>
      <c r="O6" s="17"/>
      <c r="P6" s="17"/>
      <c r="Q6" s="17"/>
      <c r="R6" s="18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.75" customHeight="1" x14ac:dyDescent="0.3">
      <c r="B7" s="19" t="s">
        <v>26</v>
      </c>
      <c r="C7" s="16"/>
      <c r="D7" s="19" t="s">
        <v>27</v>
      </c>
      <c r="E7" s="16"/>
      <c r="F7" s="16"/>
      <c r="G7" s="19" t="s">
        <v>28</v>
      </c>
      <c r="H7" s="16"/>
      <c r="I7" s="16"/>
      <c r="J7" s="20" t="s">
        <v>29</v>
      </c>
      <c r="K7" s="16"/>
      <c r="L7" s="16"/>
      <c r="M7" s="19" t="s">
        <v>30</v>
      </c>
      <c r="N7" s="16"/>
      <c r="O7" s="16"/>
      <c r="P7" s="16"/>
      <c r="Q7" s="16"/>
      <c r="R7" s="19" t="s">
        <v>2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.75" customHeight="1" x14ac:dyDescent="0.3">
      <c r="B8" s="21" t="s">
        <v>31</v>
      </c>
      <c r="C8" s="19" t="s">
        <v>32</v>
      </c>
      <c r="D8" s="19" t="s">
        <v>33</v>
      </c>
      <c r="E8" s="19" t="s">
        <v>34</v>
      </c>
      <c r="F8" s="19" t="s">
        <v>35</v>
      </c>
      <c r="G8" s="19" t="s">
        <v>36</v>
      </c>
      <c r="H8" s="19" t="s">
        <v>37</v>
      </c>
      <c r="I8" s="19" t="s">
        <v>38</v>
      </c>
      <c r="J8" s="19" t="s">
        <v>39</v>
      </c>
      <c r="K8" s="19" t="s">
        <v>40</v>
      </c>
      <c r="L8" s="19" t="s">
        <v>41</v>
      </c>
      <c r="M8" s="19" t="s">
        <v>42</v>
      </c>
      <c r="N8" s="19" t="s">
        <v>43</v>
      </c>
      <c r="O8" s="19" t="s">
        <v>44</v>
      </c>
      <c r="P8" s="19" t="s">
        <v>45</v>
      </c>
      <c r="Q8" s="19" t="s">
        <v>46</v>
      </c>
      <c r="R8" s="22" t="s">
        <v>47</v>
      </c>
      <c r="S8" s="23" t="s">
        <v>48</v>
      </c>
      <c r="T8" s="23" t="s">
        <v>49</v>
      </c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ht="15.75" customHeight="1" x14ac:dyDescent="0.3">
      <c r="B9" s="24">
        <f>S44</f>
        <v>4.9495719976269115E-2</v>
      </c>
      <c r="C9" s="25">
        <f>S47</f>
        <v>0.3553141970519782</v>
      </c>
      <c r="D9" s="25">
        <f>Q49</f>
        <v>0.14108051360736493</v>
      </c>
      <c r="E9" s="26">
        <f>M3/N3</f>
        <v>2.0857755539671192</v>
      </c>
      <c r="F9" s="27">
        <f>365/(E3/Q3)</f>
        <v>49.372123071953489</v>
      </c>
      <c r="G9" s="25">
        <f>(J3+K3)/(I3+H3)</f>
        <v>4.418622358921348E-2</v>
      </c>
      <c r="H9" s="25">
        <f>P3/O3</f>
        <v>0.28808658294778583</v>
      </c>
      <c r="I9" s="27">
        <f>Q50</f>
        <v>46.392156862745097</v>
      </c>
      <c r="J9" s="25">
        <f>F3/I3</f>
        <v>0.20273877219449923</v>
      </c>
      <c r="K9" s="27">
        <f>F3/H3</f>
        <v>34.349193865513172</v>
      </c>
      <c r="L9" s="25">
        <f>F3/O3</f>
        <v>0.14433245208195639</v>
      </c>
      <c r="M9" s="27">
        <f ca="1">C3/G3</f>
        <v>88.770949720670387</v>
      </c>
      <c r="N9" s="28">
        <f ca="1">G3/C3</f>
        <v>1.1264946507237255E-2</v>
      </c>
      <c r="O9" s="27">
        <f>(I3)/(H3/L3)</f>
        <v>169.42587495084547</v>
      </c>
      <c r="P9" s="27">
        <f ca="1">C3/O9</f>
        <v>17.819592201462225</v>
      </c>
      <c r="Q9" s="26">
        <f>L53</f>
        <v>2.4722222222222223</v>
      </c>
      <c r="R9" s="27">
        <f>R3-N3</f>
        <v>-74</v>
      </c>
      <c r="S9" s="27">
        <f>R3-J3</f>
        <v>2593</v>
      </c>
      <c r="T9" s="27">
        <f>R3-V3</f>
        <v>2165</v>
      </c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15.75" customHeight="1" x14ac:dyDescent="0.35">
      <c r="B10" s="29"/>
      <c r="C10" s="29"/>
      <c r="D10" s="29"/>
      <c r="E10" s="29"/>
      <c r="F10" s="29"/>
      <c r="G10" s="18"/>
      <c r="H10" s="18"/>
      <c r="I10" s="18"/>
      <c r="J10" s="18"/>
      <c r="K10" s="30"/>
      <c r="L10" s="30"/>
      <c r="M10" s="30"/>
      <c r="N10" s="30"/>
      <c r="O10" s="18"/>
      <c r="P10" s="18"/>
      <c r="Q10" s="18"/>
      <c r="R10" s="18"/>
      <c r="T10" s="3"/>
      <c r="U10" s="3"/>
      <c r="V10" s="3"/>
      <c r="W10" s="3"/>
    </row>
    <row r="11" spans="1:30" ht="15.75" customHeight="1" x14ac:dyDescent="0.35">
      <c r="A11" s="31" t="s">
        <v>50</v>
      </c>
      <c r="B11" s="32" t="s">
        <v>51</v>
      </c>
      <c r="C11" s="32" t="s">
        <v>52</v>
      </c>
      <c r="D11" s="32" t="s">
        <v>53</v>
      </c>
      <c r="E11" s="32" t="s">
        <v>54</v>
      </c>
      <c r="F11" s="32" t="s">
        <v>55</v>
      </c>
      <c r="G11" s="32" t="s">
        <v>56</v>
      </c>
      <c r="H11" s="32" t="s">
        <v>9</v>
      </c>
      <c r="I11" s="32" t="s">
        <v>57</v>
      </c>
      <c r="J11" s="33" t="s">
        <v>58</v>
      </c>
      <c r="K11" s="33" t="s">
        <v>59</v>
      </c>
      <c r="L11" s="33" t="s">
        <v>60</v>
      </c>
      <c r="M11" s="33" t="s">
        <v>61</v>
      </c>
      <c r="N11" s="32" t="s">
        <v>62</v>
      </c>
      <c r="O11" s="32" t="s">
        <v>63</v>
      </c>
      <c r="W11" s="3"/>
    </row>
    <row r="12" spans="1:30" ht="15.75" customHeight="1" x14ac:dyDescent="0.3">
      <c r="B12" s="34">
        <v>37346</v>
      </c>
      <c r="C12" s="35">
        <v>492</v>
      </c>
      <c r="D12" s="36">
        <v>-400</v>
      </c>
      <c r="E12" s="36">
        <v>-4</v>
      </c>
      <c r="F12" s="36">
        <v>52</v>
      </c>
      <c r="G12" s="36">
        <v>25</v>
      </c>
      <c r="H12" s="37">
        <v>20.65</v>
      </c>
      <c r="I12" s="38">
        <f t="shared" ref="I12:I34" si="3">F12/C12</f>
        <v>0.10569105691056911</v>
      </c>
      <c r="J12" s="39">
        <v>200</v>
      </c>
      <c r="K12" s="39">
        <v>141.5</v>
      </c>
      <c r="L12" s="39">
        <f t="shared" ref="L12:L34" si="4">J12/H12</f>
        <v>9.6852300242130749</v>
      </c>
      <c r="M12" s="39">
        <f t="shared" ref="M12:M34" si="5">K12/H12</f>
        <v>6.8523002421307515</v>
      </c>
      <c r="N12" s="39">
        <f t="shared" ref="N12:N16" si="6">H12*30%</f>
        <v>6.1949999999999994</v>
      </c>
      <c r="O12" s="40">
        <v>30</v>
      </c>
      <c r="Q12" s="41"/>
      <c r="R12" s="41"/>
      <c r="S12" s="41"/>
      <c r="V12" s="41"/>
      <c r="W12" s="42"/>
    </row>
    <row r="13" spans="1:30" ht="15.75" customHeight="1" x14ac:dyDescent="0.3">
      <c r="B13" s="34">
        <v>37711</v>
      </c>
      <c r="C13" s="35">
        <v>457</v>
      </c>
      <c r="D13" s="36">
        <v>-464</v>
      </c>
      <c r="E13" s="36">
        <v>-3</v>
      </c>
      <c r="F13" s="36">
        <v>59</v>
      </c>
      <c r="G13" s="36">
        <v>25</v>
      </c>
      <c r="H13" s="37">
        <v>23.5</v>
      </c>
      <c r="I13" s="38">
        <f t="shared" si="3"/>
        <v>0.12910284463894967</v>
      </c>
      <c r="J13" s="39">
        <v>262.14999999999998</v>
      </c>
      <c r="K13" s="39">
        <v>173.25</v>
      </c>
      <c r="L13" s="39">
        <f t="shared" si="4"/>
        <v>11.155319148936169</v>
      </c>
      <c r="M13" s="39">
        <f t="shared" si="5"/>
        <v>7.3723404255319149</v>
      </c>
      <c r="N13" s="39">
        <f t="shared" si="6"/>
        <v>7.05</v>
      </c>
      <c r="O13" s="40">
        <v>30</v>
      </c>
      <c r="Q13" s="41"/>
      <c r="R13" s="41"/>
      <c r="S13" s="41"/>
      <c r="T13" s="43"/>
      <c r="W13" s="44"/>
    </row>
    <row r="14" spans="1:30" ht="15.75" customHeight="1" x14ac:dyDescent="0.3">
      <c r="B14" s="34">
        <v>38077</v>
      </c>
      <c r="C14" s="35">
        <v>654</v>
      </c>
      <c r="D14" s="36">
        <v>-544</v>
      </c>
      <c r="E14" s="36">
        <v>-2</v>
      </c>
      <c r="F14" s="36">
        <v>62</v>
      </c>
      <c r="G14" s="36">
        <v>25</v>
      </c>
      <c r="H14" s="37">
        <v>24.33</v>
      </c>
      <c r="I14" s="38">
        <f t="shared" si="3"/>
        <v>9.480122324159021E-2</v>
      </c>
      <c r="J14" s="39">
        <v>415</v>
      </c>
      <c r="K14" s="39">
        <v>210.05</v>
      </c>
      <c r="L14" s="39">
        <f t="shared" si="4"/>
        <v>17.057131113851213</v>
      </c>
      <c r="M14" s="39">
        <f t="shared" si="5"/>
        <v>8.6333744348540904</v>
      </c>
      <c r="N14" s="39">
        <f t="shared" si="6"/>
        <v>7.2989999999999995</v>
      </c>
      <c r="O14" s="40">
        <v>30</v>
      </c>
      <c r="Q14" s="41"/>
      <c r="R14" s="41"/>
      <c r="S14" s="41"/>
      <c r="T14" s="43"/>
      <c r="W14" s="44"/>
    </row>
    <row r="15" spans="1:30" ht="15.75" customHeight="1" x14ac:dyDescent="0.3">
      <c r="B15" s="34">
        <v>38442</v>
      </c>
      <c r="C15" s="35">
        <v>770</v>
      </c>
      <c r="D15" s="36">
        <v>-644</v>
      </c>
      <c r="E15" s="36">
        <v>-2</v>
      </c>
      <c r="F15" s="36">
        <v>77</v>
      </c>
      <c r="G15" s="36">
        <v>25</v>
      </c>
      <c r="H15" s="37">
        <v>30.34</v>
      </c>
      <c r="I15" s="38">
        <f t="shared" si="3"/>
        <v>0.1</v>
      </c>
      <c r="J15" s="39">
        <v>462</v>
      </c>
      <c r="K15" s="39">
        <v>253</v>
      </c>
      <c r="L15" s="39">
        <f t="shared" si="4"/>
        <v>15.227422544495715</v>
      </c>
      <c r="M15" s="39">
        <f t="shared" si="5"/>
        <v>8.3388266315095585</v>
      </c>
      <c r="N15" s="39">
        <f t="shared" si="6"/>
        <v>9.1020000000000003</v>
      </c>
      <c r="O15" s="40">
        <v>30</v>
      </c>
      <c r="Q15" s="41"/>
      <c r="R15" s="41"/>
      <c r="S15" s="41"/>
      <c r="T15" s="43"/>
      <c r="W15" s="44"/>
    </row>
    <row r="16" spans="1:30" ht="15.75" customHeight="1" x14ac:dyDescent="0.3">
      <c r="A16" s="45" t="s">
        <v>64</v>
      </c>
      <c r="B16" s="34">
        <v>38807</v>
      </c>
      <c r="C16" s="35">
        <v>908</v>
      </c>
      <c r="D16" s="36">
        <v>-760</v>
      </c>
      <c r="E16" s="36">
        <v>-2</v>
      </c>
      <c r="F16" s="36">
        <v>91</v>
      </c>
      <c r="G16" s="36">
        <v>25</v>
      </c>
      <c r="H16" s="37">
        <v>3.59</v>
      </c>
      <c r="I16" s="38">
        <f t="shared" si="3"/>
        <v>0.10022026431718062</v>
      </c>
      <c r="J16" s="39">
        <v>748.8</v>
      </c>
      <c r="K16" s="39">
        <v>69.45</v>
      </c>
      <c r="L16" s="39">
        <f t="shared" si="4"/>
        <v>208.57938718662953</v>
      </c>
      <c r="M16" s="39">
        <f t="shared" si="5"/>
        <v>19.34540389972145</v>
      </c>
      <c r="N16" s="39">
        <f t="shared" si="6"/>
        <v>1.077</v>
      </c>
      <c r="O16" s="40">
        <v>30</v>
      </c>
      <c r="W16" s="46"/>
    </row>
    <row r="17" spans="1:30" ht="15.75" customHeight="1" x14ac:dyDescent="0.3">
      <c r="A17" s="45"/>
      <c r="B17" s="34">
        <v>39172</v>
      </c>
      <c r="C17" s="35">
        <v>1154</v>
      </c>
      <c r="D17" s="36">
        <v>-983</v>
      </c>
      <c r="E17" s="36">
        <v>-6</v>
      </c>
      <c r="F17" s="36">
        <v>120</v>
      </c>
      <c r="G17" s="36">
        <v>25</v>
      </c>
      <c r="H17" s="37">
        <v>4.75</v>
      </c>
      <c r="I17" s="38">
        <f t="shared" si="3"/>
        <v>0.10398613518197573</v>
      </c>
      <c r="J17" s="39">
        <v>144</v>
      </c>
      <c r="K17" s="39">
        <v>74.099999999999994</v>
      </c>
      <c r="L17" s="39">
        <f t="shared" si="4"/>
        <v>30.315789473684209</v>
      </c>
      <c r="M17" s="39">
        <f t="shared" si="5"/>
        <v>15.6</v>
      </c>
      <c r="N17" s="39">
        <v>1.5</v>
      </c>
      <c r="O17" s="39">
        <f t="shared" ref="O17:O34" si="7">(100*N17)/H17</f>
        <v>31.578947368421051</v>
      </c>
      <c r="Q17" s="41"/>
      <c r="R17" s="47"/>
      <c r="S17" s="47"/>
      <c r="T17" s="43"/>
      <c r="W17" s="46"/>
    </row>
    <row r="18" spans="1:30" ht="15.75" customHeight="1" x14ac:dyDescent="0.3">
      <c r="A18" s="45"/>
      <c r="B18" s="34">
        <v>39538</v>
      </c>
      <c r="C18" s="35">
        <v>1535</v>
      </c>
      <c r="D18" s="36">
        <v>-1282</v>
      </c>
      <c r="E18" s="36">
        <v>-16</v>
      </c>
      <c r="F18" s="36">
        <v>188</v>
      </c>
      <c r="G18" s="36">
        <v>25</v>
      </c>
      <c r="H18" s="37">
        <v>7.44</v>
      </c>
      <c r="I18" s="38">
        <f t="shared" si="3"/>
        <v>0.12247557003257328</v>
      </c>
      <c r="J18" s="39">
        <v>220</v>
      </c>
      <c r="K18" s="39">
        <v>110.05</v>
      </c>
      <c r="L18" s="39">
        <f t="shared" si="4"/>
        <v>29.569892473118276</v>
      </c>
      <c r="M18" s="39">
        <f t="shared" si="5"/>
        <v>14.791666666666666</v>
      </c>
      <c r="N18" s="39">
        <v>1.75</v>
      </c>
      <c r="O18" s="39">
        <f t="shared" si="7"/>
        <v>23.521505376344084</v>
      </c>
      <c r="R18" s="43"/>
      <c r="S18" s="43"/>
      <c r="T18" s="43"/>
      <c r="W18" s="46"/>
    </row>
    <row r="19" spans="1:30" ht="15.75" customHeight="1" x14ac:dyDescent="0.3">
      <c r="A19" s="45"/>
      <c r="B19" s="34">
        <v>39903</v>
      </c>
      <c r="C19" s="35">
        <v>1784</v>
      </c>
      <c r="D19" s="36">
        <v>-1543</v>
      </c>
      <c r="E19" s="36">
        <v>-32</v>
      </c>
      <c r="F19" s="36">
        <v>147</v>
      </c>
      <c r="G19" s="36">
        <v>25</v>
      </c>
      <c r="H19" s="37">
        <v>5.78</v>
      </c>
      <c r="I19" s="38">
        <f t="shared" si="3"/>
        <v>8.2399103139013455E-2</v>
      </c>
      <c r="J19" s="39">
        <v>155.9</v>
      </c>
      <c r="K19" s="39">
        <v>75.150000000000006</v>
      </c>
      <c r="L19" s="39">
        <f t="shared" si="4"/>
        <v>26.972318339100347</v>
      </c>
      <c r="M19" s="39">
        <f t="shared" si="5"/>
        <v>13.00173010380623</v>
      </c>
      <c r="N19" s="39">
        <v>1.75</v>
      </c>
      <c r="O19" s="39">
        <f t="shared" si="7"/>
        <v>30.276816608996537</v>
      </c>
      <c r="R19" s="43"/>
      <c r="S19" s="43"/>
      <c r="V19" s="41"/>
      <c r="W19" s="46"/>
    </row>
    <row r="20" spans="1:30" ht="15.75" customHeight="1" x14ac:dyDescent="0.3">
      <c r="A20" s="45" t="s">
        <v>65</v>
      </c>
      <c r="B20" s="34">
        <v>40268</v>
      </c>
      <c r="C20" s="35">
        <v>1850</v>
      </c>
      <c r="D20" s="36">
        <v>-1553</v>
      </c>
      <c r="E20" s="36">
        <v>-29</v>
      </c>
      <c r="F20" s="36">
        <v>289</v>
      </c>
      <c r="G20" s="48">
        <v>51</v>
      </c>
      <c r="H20" s="37">
        <v>5.8</v>
      </c>
      <c r="I20" s="38">
        <f t="shared" si="3"/>
        <v>0.1562162162162162</v>
      </c>
      <c r="J20" s="39">
        <v>244.75</v>
      </c>
      <c r="K20" s="39">
        <v>83.5</v>
      </c>
      <c r="L20" s="39">
        <f t="shared" si="4"/>
        <v>42.198275862068968</v>
      </c>
      <c r="M20" s="39">
        <f t="shared" si="5"/>
        <v>14.396551724137931</v>
      </c>
      <c r="N20" s="39">
        <v>1.5</v>
      </c>
      <c r="O20" s="39">
        <f t="shared" si="7"/>
        <v>25.862068965517242</v>
      </c>
    </row>
    <row r="21" spans="1:30" ht="15.75" customHeight="1" x14ac:dyDescent="0.3">
      <c r="B21" s="34">
        <v>40633</v>
      </c>
      <c r="C21" s="35">
        <v>2381</v>
      </c>
      <c r="D21" s="36">
        <v>-1927</v>
      </c>
      <c r="E21" s="36">
        <v>-27</v>
      </c>
      <c r="F21" s="36">
        <v>304</v>
      </c>
      <c r="G21" s="36">
        <v>51</v>
      </c>
      <c r="H21" s="37">
        <v>6</v>
      </c>
      <c r="I21" s="38">
        <f t="shared" si="3"/>
        <v>0.12767744645107099</v>
      </c>
      <c r="J21" s="39">
        <v>159.65</v>
      </c>
      <c r="K21" s="39">
        <v>105.85</v>
      </c>
      <c r="L21" s="39">
        <f t="shared" si="4"/>
        <v>26.608333333333334</v>
      </c>
      <c r="M21" s="39">
        <f t="shared" si="5"/>
        <v>17.641666666666666</v>
      </c>
      <c r="N21" s="39">
        <v>1.75</v>
      </c>
      <c r="O21" s="39">
        <f t="shared" si="7"/>
        <v>29.166666666666668</v>
      </c>
    </row>
    <row r="22" spans="1:30" ht="15.75" customHeight="1" x14ac:dyDescent="0.3">
      <c r="B22" s="34">
        <v>40999</v>
      </c>
      <c r="C22" s="35">
        <v>2816</v>
      </c>
      <c r="D22" s="36">
        <v>-2343</v>
      </c>
      <c r="E22" s="36">
        <v>-25</v>
      </c>
      <c r="F22" s="36">
        <v>335</v>
      </c>
      <c r="G22" s="36">
        <v>51</v>
      </c>
      <c r="H22" s="37">
        <v>6.59</v>
      </c>
      <c r="I22" s="38">
        <f t="shared" si="3"/>
        <v>0.11896306818181818</v>
      </c>
      <c r="J22" s="39">
        <v>183.1</v>
      </c>
      <c r="K22" s="39">
        <v>133.55000000000001</v>
      </c>
      <c r="L22" s="39">
        <f t="shared" si="4"/>
        <v>27.784522003034901</v>
      </c>
      <c r="M22" s="39">
        <f t="shared" si="5"/>
        <v>20.265553869499243</v>
      </c>
      <c r="N22" s="39">
        <v>1.9</v>
      </c>
      <c r="O22" s="39">
        <f t="shared" si="7"/>
        <v>28.83156297420334</v>
      </c>
    </row>
    <row r="23" spans="1:30" ht="15.75" customHeight="1" x14ac:dyDescent="0.3">
      <c r="B23" s="34">
        <v>41364</v>
      </c>
      <c r="C23" s="35">
        <v>3332</v>
      </c>
      <c r="D23" s="36">
        <v>-2713</v>
      </c>
      <c r="E23" s="36">
        <v>-12</v>
      </c>
      <c r="F23" s="36">
        <v>461</v>
      </c>
      <c r="G23" s="36">
        <v>51</v>
      </c>
      <c r="H23" s="37">
        <v>9.0399999999999991</v>
      </c>
      <c r="I23" s="38">
        <f t="shared" si="3"/>
        <v>0.13835534213685474</v>
      </c>
      <c r="J23" s="39">
        <v>278</v>
      </c>
      <c r="K23" s="39">
        <v>154.25</v>
      </c>
      <c r="L23" s="39">
        <f t="shared" si="4"/>
        <v>30.752212389380535</v>
      </c>
      <c r="M23" s="39">
        <f t="shared" si="5"/>
        <v>17.063053097345133</v>
      </c>
      <c r="N23" s="39">
        <v>2.6</v>
      </c>
      <c r="O23" s="39">
        <f t="shared" si="7"/>
        <v>28.761061946902657</v>
      </c>
      <c r="Z23" s="41"/>
      <c r="AA23" s="41"/>
      <c r="AB23" s="41"/>
      <c r="AC23" s="41"/>
      <c r="AD23" s="41"/>
    </row>
    <row r="24" spans="1:30" ht="15.75" customHeight="1" x14ac:dyDescent="0.3">
      <c r="B24" s="34">
        <v>41729</v>
      </c>
      <c r="C24" s="35">
        <v>3878</v>
      </c>
      <c r="D24" s="36">
        <v>-3212</v>
      </c>
      <c r="E24" s="36">
        <v>-10</v>
      </c>
      <c r="F24" s="36">
        <v>469</v>
      </c>
      <c r="G24" s="36">
        <v>51</v>
      </c>
      <c r="H24" s="37">
        <v>9.14</v>
      </c>
      <c r="I24" s="38">
        <f t="shared" si="3"/>
        <v>0.12093862815884476</v>
      </c>
      <c r="J24" s="39">
        <v>314</v>
      </c>
      <c r="K24" s="39">
        <v>219.7</v>
      </c>
      <c r="L24" s="39">
        <f t="shared" si="4"/>
        <v>34.354485776805248</v>
      </c>
      <c r="M24" s="39">
        <f t="shared" si="5"/>
        <v>24.037199124726474</v>
      </c>
      <c r="N24" s="39">
        <v>2.7</v>
      </c>
      <c r="O24" s="39">
        <f t="shared" si="7"/>
        <v>29.540481400437635</v>
      </c>
      <c r="Z24" s="41"/>
      <c r="AA24" s="43"/>
      <c r="AB24" s="43"/>
      <c r="AC24" s="43"/>
      <c r="AD24" s="43"/>
    </row>
    <row r="25" spans="1:30" ht="15.75" customHeight="1" x14ac:dyDescent="0.3">
      <c r="B25" s="34">
        <v>42094</v>
      </c>
      <c r="C25" s="35">
        <v>4398</v>
      </c>
      <c r="D25" s="36">
        <v>-3655</v>
      </c>
      <c r="E25" s="36">
        <v>-10</v>
      </c>
      <c r="F25" s="36">
        <v>502</v>
      </c>
      <c r="G25" s="36">
        <v>51</v>
      </c>
      <c r="H25" s="37">
        <v>9.7899999999999991</v>
      </c>
      <c r="I25" s="38">
        <f t="shared" si="3"/>
        <v>0.11414279217826284</v>
      </c>
      <c r="J25" s="39">
        <v>637.54999999999995</v>
      </c>
      <c r="K25" s="39">
        <v>286.39999999999998</v>
      </c>
      <c r="L25" s="39">
        <f t="shared" si="4"/>
        <v>65.122574055158324</v>
      </c>
      <c r="M25" s="39">
        <f t="shared" si="5"/>
        <v>29.254341164453525</v>
      </c>
      <c r="N25" s="39">
        <v>2.9</v>
      </c>
      <c r="O25" s="39">
        <f t="shared" si="7"/>
        <v>29.622063329928501</v>
      </c>
      <c r="Z25" s="41"/>
      <c r="AA25" s="43"/>
      <c r="AB25" s="43"/>
      <c r="AC25" s="43"/>
      <c r="AD25" s="43"/>
    </row>
    <row r="26" spans="1:30" ht="15.75" customHeight="1" x14ac:dyDescent="0.3">
      <c r="B26" s="34">
        <v>42460</v>
      </c>
      <c r="C26" s="35">
        <v>4735</v>
      </c>
      <c r="D26" s="36">
        <v>-3644</v>
      </c>
      <c r="E26" s="36">
        <v>-6</v>
      </c>
      <c r="F26" s="36">
        <v>703</v>
      </c>
      <c r="G26" s="36">
        <v>51</v>
      </c>
      <c r="H26" s="37">
        <v>13.71</v>
      </c>
      <c r="I26" s="38">
        <f t="shared" si="3"/>
        <v>0.1484688489968321</v>
      </c>
      <c r="J26" s="39">
        <v>647.54999999999995</v>
      </c>
      <c r="K26" s="39">
        <v>507.5</v>
      </c>
      <c r="L26" s="39">
        <f t="shared" si="4"/>
        <v>47.231947483588613</v>
      </c>
      <c r="M26" s="39">
        <f t="shared" si="5"/>
        <v>37.016776075857038</v>
      </c>
      <c r="N26" s="39">
        <f>3.65+0.5</f>
        <v>4.1500000000000004</v>
      </c>
      <c r="O26" s="39">
        <f t="shared" si="7"/>
        <v>30.269876002917581</v>
      </c>
      <c r="Z26" s="41"/>
      <c r="AA26" s="43"/>
      <c r="AB26" s="43"/>
      <c r="AC26" s="43"/>
      <c r="AD26" s="43"/>
    </row>
    <row r="27" spans="1:30" ht="15.75" customHeight="1" x14ac:dyDescent="0.3">
      <c r="B27" s="34">
        <v>42825</v>
      </c>
      <c r="C27" s="35">
        <v>5299</v>
      </c>
      <c r="D27" s="36">
        <v>-4174</v>
      </c>
      <c r="E27" s="36">
        <v>-6</v>
      </c>
      <c r="F27" s="36">
        <v>774</v>
      </c>
      <c r="G27" s="36">
        <v>51</v>
      </c>
      <c r="H27" s="37">
        <v>15.09</v>
      </c>
      <c r="I27" s="38">
        <f t="shared" si="3"/>
        <v>0.14606529533874316</v>
      </c>
      <c r="J27" s="39">
        <v>769.5</v>
      </c>
      <c r="K27" s="39">
        <v>568.75</v>
      </c>
      <c r="L27" s="39">
        <f t="shared" si="4"/>
        <v>50.994035785288268</v>
      </c>
      <c r="M27" s="39">
        <f t="shared" si="5"/>
        <v>37.690523525513584</v>
      </c>
      <c r="N27" s="39">
        <v>4.75</v>
      </c>
      <c r="O27" s="39">
        <f t="shared" si="7"/>
        <v>31.477799867461897</v>
      </c>
      <c r="Z27" s="41"/>
      <c r="AA27" s="43"/>
      <c r="AB27" s="43"/>
      <c r="AC27" s="43"/>
      <c r="AD27" s="43"/>
    </row>
    <row r="28" spans="1:30" ht="15.75" customHeight="1" x14ac:dyDescent="0.3">
      <c r="B28" s="34">
        <v>43190</v>
      </c>
      <c r="C28" s="35">
        <v>5491</v>
      </c>
      <c r="D28" s="36">
        <v>-4205</v>
      </c>
      <c r="E28" s="36">
        <v>-6</v>
      </c>
      <c r="F28" s="36">
        <v>955</v>
      </c>
      <c r="G28" s="36">
        <v>51</v>
      </c>
      <c r="H28" s="37">
        <v>18.809999999999999</v>
      </c>
      <c r="I28" s="38">
        <f t="shared" si="3"/>
        <v>0.17392096157348388</v>
      </c>
      <c r="J28" s="39">
        <v>972</v>
      </c>
      <c r="K28" s="39">
        <v>696.1</v>
      </c>
      <c r="L28" s="39">
        <f t="shared" si="4"/>
        <v>51.674641148325364</v>
      </c>
      <c r="M28" s="39">
        <f t="shared" si="5"/>
        <v>37.006911217437533</v>
      </c>
      <c r="N28" s="39">
        <v>6</v>
      </c>
      <c r="O28" s="39">
        <f t="shared" si="7"/>
        <v>31.897926634768741</v>
      </c>
      <c r="X28" s="41"/>
      <c r="Y28" s="41"/>
      <c r="Z28" s="41"/>
      <c r="AA28" s="43"/>
      <c r="AB28" s="43"/>
      <c r="AC28" s="43"/>
      <c r="AD28" s="43"/>
    </row>
    <row r="29" spans="1:30" ht="15.75" customHeight="1" x14ac:dyDescent="0.3">
      <c r="B29" s="34">
        <v>43555</v>
      </c>
      <c r="C29" s="35">
        <v>7078</v>
      </c>
      <c r="D29" s="36">
        <v>-5870</v>
      </c>
      <c r="E29" s="36">
        <v>-26</v>
      </c>
      <c r="F29" s="36">
        <v>928</v>
      </c>
      <c r="G29" s="36">
        <v>51</v>
      </c>
      <c r="H29" s="37">
        <v>18.21</v>
      </c>
      <c r="I29" s="38">
        <f t="shared" si="3"/>
        <v>0.13111048318734106</v>
      </c>
      <c r="J29" s="39">
        <v>1152</v>
      </c>
      <c r="K29" s="39">
        <v>732</v>
      </c>
      <c r="L29" s="39">
        <f t="shared" si="4"/>
        <v>63.261943986820427</v>
      </c>
      <c r="M29" s="39">
        <f t="shared" si="5"/>
        <v>40.197693574958812</v>
      </c>
      <c r="N29" s="39">
        <v>6.5</v>
      </c>
      <c r="O29" s="39">
        <f t="shared" si="7"/>
        <v>35.694673256452496</v>
      </c>
      <c r="P29" s="46"/>
      <c r="Q29" s="49"/>
      <c r="X29" s="41"/>
      <c r="Y29" s="50"/>
      <c r="Z29" s="50"/>
      <c r="AA29" s="43"/>
      <c r="AB29" s="43"/>
      <c r="AC29" s="43"/>
      <c r="AD29" s="43"/>
    </row>
    <row r="30" spans="1:30" ht="15.75" customHeight="1" x14ac:dyDescent="0.3">
      <c r="B30" s="34">
        <v>43921</v>
      </c>
      <c r="C30" s="35">
        <v>7295</v>
      </c>
      <c r="D30" s="40">
        <v>-5922</v>
      </c>
      <c r="E30" s="40">
        <v>-34</v>
      </c>
      <c r="F30" s="40">
        <v>1122</v>
      </c>
      <c r="G30" s="36">
        <v>51</v>
      </c>
      <c r="H30" s="37">
        <v>21.98</v>
      </c>
      <c r="I30" s="38">
        <f t="shared" si="3"/>
        <v>0.15380397532556545</v>
      </c>
      <c r="J30" s="39">
        <v>1532</v>
      </c>
      <c r="K30" s="39">
        <v>1384</v>
      </c>
      <c r="L30" s="39">
        <f t="shared" si="4"/>
        <v>69.699727024567792</v>
      </c>
      <c r="M30" s="39">
        <f t="shared" si="5"/>
        <v>62.966333030027293</v>
      </c>
      <c r="N30" s="39">
        <v>7</v>
      </c>
      <c r="O30" s="39">
        <f t="shared" si="7"/>
        <v>31.847133757961782</v>
      </c>
      <c r="P30" s="46"/>
      <c r="Q30" s="41"/>
      <c r="R30" s="41"/>
      <c r="S30" s="41"/>
      <c r="T30" s="41"/>
      <c r="U30" s="41"/>
      <c r="Y30" s="50"/>
      <c r="Z30" s="50"/>
      <c r="AA30" s="43"/>
      <c r="AB30" s="43"/>
      <c r="AC30" s="43"/>
      <c r="AD30" s="43"/>
    </row>
    <row r="31" spans="1:30" ht="15.75" customHeight="1" x14ac:dyDescent="0.3">
      <c r="B31" s="34">
        <v>44286</v>
      </c>
      <c r="C31" s="35">
        <v>7293</v>
      </c>
      <c r="D31" s="40">
        <v>-5850</v>
      </c>
      <c r="E31" s="40">
        <v>-37</v>
      </c>
      <c r="F31" s="40">
        <v>1126</v>
      </c>
      <c r="G31" s="36">
        <v>51</v>
      </c>
      <c r="H31" s="37">
        <v>22.26</v>
      </c>
      <c r="I31" s="38">
        <f t="shared" si="3"/>
        <v>0.15439462498286027</v>
      </c>
      <c r="J31" s="39">
        <v>1842</v>
      </c>
      <c r="K31" s="39">
        <v>1196</v>
      </c>
      <c r="L31" s="39">
        <f t="shared" si="4"/>
        <v>82.749326145552558</v>
      </c>
      <c r="M31" s="39">
        <f t="shared" si="5"/>
        <v>53.728661275831087</v>
      </c>
      <c r="N31" s="39">
        <v>8.5</v>
      </c>
      <c r="O31" s="39">
        <f t="shared" si="7"/>
        <v>38.185085354896671</v>
      </c>
      <c r="P31" s="46"/>
      <c r="Q31" s="51"/>
    </row>
    <row r="32" spans="1:30" ht="15.75" customHeight="1" x14ac:dyDescent="0.3">
      <c r="B32" s="34">
        <v>44651</v>
      </c>
      <c r="C32" s="35">
        <v>9921</v>
      </c>
      <c r="D32" s="40">
        <v>-8355</v>
      </c>
      <c r="E32" s="40">
        <v>-42</v>
      </c>
      <c r="F32" s="40">
        <v>1207</v>
      </c>
      <c r="G32" s="36">
        <v>51</v>
      </c>
      <c r="H32" s="37">
        <v>23.76</v>
      </c>
      <c r="I32" s="38">
        <f t="shared" si="3"/>
        <v>0.12166112287067836</v>
      </c>
      <c r="J32" s="39">
        <v>2765</v>
      </c>
      <c r="K32" s="39">
        <v>1753</v>
      </c>
      <c r="L32" s="39">
        <f t="shared" si="4"/>
        <v>116.37205387205387</v>
      </c>
      <c r="M32" s="39">
        <f t="shared" si="5"/>
        <v>73.779461279461273</v>
      </c>
      <c r="N32" s="39">
        <v>10</v>
      </c>
      <c r="O32" s="39">
        <f t="shared" si="7"/>
        <v>42.087542087542083</v>
      </c>
      <c r="P32" s="46"/>
    </row>
    <row r="33" spans="1:30" ht="15.75" customHeight="1" x14ac:dyDescent="0.3">
      <c r="B33" s="34">
        <v>45016</v>
      </c>
      <c r="C33" s="52">
        <v>11848</v>
      </c>
      <c r="D33" s="52">
        <v>-10130</v>
      </c>
      <c r="E33" s="52">
        <v>-47</v>
      </c>
      <c r="F33" s="52">
        <v>1288</v>
      </c>
      <c r="G33" s="52">
        <v>51</v>
      </c>
      <c r="H33" s="52">
        <v>25.1</v>
      </c>
      <c r="I33" s="38">
        <f t="shared" si="3"/>
        <v>0.10871033085752869</v>
      </c>
      <c r="J33" s="52">
        <v>2918</v>
      </c>
      <c r="K33" s="52">
        <v>1988</v>
      </c>
      <c r="L33" s="39">
        <f t="shared" si="4"/>
        <v>116.25498007968127</v>
      </c>
      <c r="M33" s="39">
        <f t="shared" si="5"/>
        <v>79.20318725099601</v>
      </c>
      <c r="N33" s="53">
        <v>11</v>
      </c>
      <c r="O33" s="39">
        <f t="shared" si="7"/>
        <v>43.82470119521912</v>
      </c>
      <c r="P33" s="46"/>
    </row>
    <row r="34" spans="1:30" ht="15.75" customHeight="1" x14ac:dyDescent="0.3">
      <c r="B34" s="34">
        <v>45382</v>
      </c>
      <c r="C34" s="52">
        <v>12383</v>
      </c>
      <c r="D34" s="52">
        <v>-10068</v>
      </c>
      <c r="E34" s="52">
        <v>-51</v>
      </c>
      <c r="F34" s="52">
        <v>1747</v>
      </c>
      <c r="G34" s="53">
        <v>50.86</v>
      </c>
      <c r="H34" s="54">
        <v>34.01</v>
      </c>
      <c r="I34" s="38">
        <f t="shared" si="3"/>
        <v>0.14108051360736493</v>
      </c>
      <c r="J34" s="52">
        <v>3037</v>
      </c>
      <c r="K34" s="52">
        <v>2293</v>
      </c>
      <c r="L34" s="39">
        <f t="shared" si="4"/>
        <v>89.297265510144086</v>
      </c>
      <c r="M34" s="39">
        <f t="shared" si="5"/>
        <v>67.421346662746259</v>
      </c>
      <c r="N34" s="53">
        <v>16</v>
      </c>
      <c r="O34" s="39">
        <f t="shared" si="7"/>
        <v>47.044986768597475</v>
      </c>
      <c r="P34" s="47"/>
    </row>
    <row r="35" spans="1:30" ht="15.75" customHeight="1" x14ac:dyDescent="0.3">
      <c r="C35" s="41"/>
      <c r="D35" s="41"/>
      <c r="E35" s="41"/>
      <c r="F35" s="41"/>
      <c r="G35" s="51"/>
      <c r="H35" s="49">
        <f>H34*20</f>
        <v>680.19999999999993</v>
      </c>
      <c r="I35" s="55"/>
      <c r="J35" s="49">
        <f t="shared" ref="J35:K35" si="8">J34*20</f>
        <v>60740</v>
      </c>
      <c r="K35" s="49">
        <f t="shared" si="8"/>
        <v>45860</v>
      </c>
      <c r="M35" s="55"/>
      <c r="N35" s="55"/>
      <c r="P35" s="47"/>
    </row>
    <row r="36" spans="1:30" ht="15.75" customHeight="1" x14ac:dyDescent="0.35">
      <c r="A36" s="31" t="s">
        <v>26</v>
      </c>
      <c r="B36" s="32" t="s">
        <v>51</v>
      </c>
      <c r="C36" s="32" t="s">
        <v>52</v>
      </c>
      <c r="D36" s="32" t="s">
        <v>53</v>
      </c>
      <c r="E36" s="32" t="s">
        <v>54</v>
      </c>
      <c r="F36" s="32" t="s">
        <v>55</v>
      </c>
      <c r="G36" s="32" t="s">
        <v>56</v>
      </c>
      <c r="H36" s="32" t="s">
        <v>9</v>
      </c>
      <c r="I36" s="32" t="s">
        <v>57</v>
      </c>
      <c r="J36" s="33" t="s">
        <v>58</v>
      </c>
      <c r="K36" s="33" t="s">
        <v>59</v>
      </c>
      <c r="L36" s="33" t="s">
        <v>60</v>
      </c>
      <c r="M36" s="33" t="s">
        <v>61</v>
      </c>
      <c r="N36" s="32" t="s">
        <v>63</v>
      </c>
      <c r="P36" s="47"/>
    </row>
    <row r="37" spans="1:30" ht="15.75" customHeight="1" x14ac:dyDescent="0.3">
      <c r="B37" s="32" t="s">
        <v>66</v>
      </c>
      <c r="C37" s="11">
        <f t="shared" ref="C37:F37" si="9">C34/C14</f>
        <v>18.934250764525995</v>
      </c>
      <c r="D37" s="11">
        <f t="shared" si="9"/>
        <v>18.507352941176471</v>
      </c>
      <c r="E37" s="11">
        <f t="shared" si="9"/>
        <v>25.5</v>
      </c>
      <c r="F37" s="11">
        <f t="shared" si="9"/>
        <v>28.177419354838708</v>
      </c>
      <c r="G37" s="11"/>
      <c r="H37" s="11">
        <f>H35/H14</f>
        <v>27.957254418413481</v>
      </c>
      <c r="I37" s="11"/>
      <c r="J37" s="11">
        <f t="shared" ref="J37:K37" si="10">J35/J14</f>
        <v>146.36144578313252</v>
      </c>
      <c r="K37" s="11">
        <f t="shared" si="10"/>
        <v>218.32896929302547</v>
      </c>
      <c r="L37" s="11"/>
      <c r="M37" s="11"/>
      <c r="N37" s="11"/>
      <c r="P37" s="47"/>
    </row>
    <row r="38" spans="1:30" ht="15.75" customHeight="1" x14ac:dyDescent="0.3">
      <c r="B38" s="32" t="s">
        <v>67</v>
      </c>
      <c r="C38" s="56">
        <f t="shared" ref="C38:G38" si="11">(C34/C14)^(1/20)-1</f>
        <v>0.15841028888334385</v>
      </c>
      <c r="D38" s="56">
        <f t="shared" si="11"/>
        <v>0.15709020006382546</v>
      </c>
      <c r="E38" s="56">
        <f t="shared" si="11"/>
        <v>0.175782546110131</v>
      </c>
      <c r="F38" s="56">
        <f t="shared" si="11"/>
        <v>0.18166687338564014</v>
      </c>
      <c r="G38" s="56">
        <f t="shared" si="11"/>
        <v>3.6148058002789751E-2</v>
      </c>
      <c r="H38" s="56">
        <f>((20*H34)/H14)^(1/20)-1</f>
        <v>0.18120350214655145</v>
      </c>
      <c r="I38" s="56">
        <f>MEDIAN(I14:I34)</f>
        <v>0.12247557003257328</v>
      </c>
      <c r="J38" s="56">
        <f t="shared" ref="J38:K38" si="12">((20*J34)/J14)^(1/20)-1</f>
        <v>0.28313199578002957</v>
      </c>
      <c r="K38" s="56">
        <f t="shared" si="12"/>
        <v>0.30904799014446782</v>
      </c>
      <c r="L38" s="11">
        <f t="shared" ref="L38:M38" si="13">MEDIAN(L14:L34)</f>
        <v>47.231947483588613</v>
      </c>
      <c r="M38" s="11">
        <f t="shared" si="13"/>
        <v>24.037199124726474</v>
      </c>
      <c r="N38" s="11">
        <f>MEDIAN(O14:O34)</f>
        <v>30.269876002917581</v>
      </c>
      <c r="P38" s="47"/>
    </row>
    <row r="39" spans="1:30" ht="15.75" customHeight="1" x14ac:dyDescent="0.3">
      <c r="B39" s="32" t="s">
        <v>68</v>
      </c>
      <c r="C39" s="56">
        <f t="shared" ref="C39:H39" si="14">(C34/C24)^(1/10)-1</f>
        <v>0.12310873972236824</v>
      </c>
      <c r="D39" s="56">
        <f t="shared" si="14"/>
        <v>0.1210287921660691</v>
      </c>
      <c r="E39" s="56">
        <f t="shared" si="14"/>
        <v>0.17694730182265461</v>
      </c>
      <c r="F39" s="56">
        <f t="shared" si="14"/>
        <v>0.14054390031677877</v>
      </c>
      <c r="G39" s="56">
        <f t="shared" si="14"/>
        <v>-2.7484949499045896E-4</v>
      </c>
      <c r="H39" s="56">
        <f t="shared" si="14"/>
        <v>0.14042319973407236</v>
      </c>
      <c r="I39" s="56">
        <f>MEDIAN(I24:I34)</f>
        <v>0.14108051360736493</v>
      </c>
      <c r="J39" s="56">
        <f t="shared" ref="J39:K39" si="15">(J34/J24)^(1/10)-1</f>
        <v>0.25473356082595888</v>
      </c>
      <c r="K39" s="56">
        <f t="shared" si="15"/>
        <v>0.26432114055097666</v>
      </c>
      <c r="L39" s="11">
        <f t="shared" ref="L39:M39" si="16">MEDIAN(L24:L34)</f>
        <v>65.122574055158324</v>
      </c>
      <c r="M39" s="11">
        <f t="shared" si="16"/>
        <v>40.197693574958812</v>
      </c>
      <c r="N39" s="11">
        <f>MEDIAN(O14:O34)</f>
        <v>30.269876002917581</v>
      </c>
      <c r="P39" s="47"/>
    </row>
    <row r="40" spans="1:30" ht="15.75" customHeight="1" x14ac:dyDescent="0.3">
      <c r="B40" s="32" t="s">
        <v>69</v>
      </c>
      <c r="C40" s="56">
        <f t="shared" ref="C40:H40" si="17">(C34/C29)^(1/5)-1</f>
        <v>0.11836370175898114</v>
      </c>
      <c r="D40" s="56">
        <f t="shared" si="17"/>
        <v>0.11393800448534241</v>
      </c>
      <c r="E40" s="56">
        <f t="shared" si="17"/>
        <v>0.14424590174890017</v>
      </c>
      <c r="F40" s="56">
        <f t="shared" si="17"/>
        <v>0.1348774998597666</v>
      </c>
      <c r="G40" s="56">
        <f t="shared" si="17"/>
        <v>-5.4962344773601401E-4</v>
      </c>
      <c r="H40" s="56">
        <f t="shared" si="17"/>
        <v>0.13307677355940539</v>
      </c>
      <c r="I40" s="56">
        <f>MEDIAN(I29:I34)</f>
        <v>0.13609549839735299</v>
      </c>
      <c r="J40" s="56">
        <f t="shared" ref="J40:K40" si="18">(J34/J29)^(1/5)-1</f>
        <v>0.21394346791080054</v>
      </c>
      <c r="K40" s="56">
        <f t="shared" si="18"/>
        <v>0.25654658657842822</v>
      </c>
      <c r="L40" s="11">
        <f t="shared" ref="L40:M40" si="19">MEDIAN(L29:L34)</f>
        <v>86.02329582784833</v>
      </c>
      <c r="M40" s="11">
        <f t="shared" si="19"/>
        <v>65.19383984638678</v>
      </c>
      <c r="N40" s="11">
        <f>MEDIAN(O29:O34)</f>
        <v>40.136313721219381</v>
      </c>
    </row>
    <row r="41" spans="1:30" ht="15.75" customHeight="1" x14ac:dyDescent="0.3">
      <c r="B41" s="32" t="s">
        <v>70</v>
      </c>
      <c r="C41" s="57">
        <f t="shared" ref="C41:H41" si="20">(C34/C33)-1</f>
        <v>4.5155300472653703E-2</v>
      </c>
      <c r="D41" s="57">
        <f t="shared" si="20"/>
        <v>-6.1204343534057015E-3</v>
      </c>
      <c r="E41" s="57">
        <f t="shared" si="20"/>
        <v>8.5106382978723305E-2</v>
      </c>
      <c r="F41" s="57">
        <f t="shared" si="20"/>
        <v>0.35636645962732927</v>
      </c>
      <c r="G41" s="57">
        <f t="shared" si="20"/>
        <v>-2.7450980392157431E-3</v>
      </c>
      <c r="H41" s="57">
        <f t="shared" si="20"/>
        <v>0.35498007968127476</v>
      </c>
      <c r="I41" s="57">
        <f>I34</f>
        <v>0.14108051360736493</v>
      </c>
      <c r="J41" s="57">
        <f t="shared" ref="J41:K41" si="21">(J34/J33)-1</f>
        <v>4.0781357093899961E-2</v>
      </c>
      <c r="K41" s="57">
        <f t="shared" si="21"/>
        <v>0.15342052313883303</v>
      </c>
      <c r="L41" s="58">
        <f t="shared" ref="L41:M41" si="22">L34</f>
        <v>89.297265510144086</v>
      </c>
      <c r="M41" s="58">
        <f t="shared" si="22"/>
        <v>67.421346662746259</v>
      </c>
      <c r="N41" s="59">
        <f>O34</f>
        <v>47.044986768597475</v>
      </c>
    </row>
    <row r="42" spans="1:30" ht="17.25" customHeight="1" x14ac:dyDescent="0.35">
      <c r="A42" s="31" t="s">
        <v>71</v>
      </c>
      <c r="M42" s="60">
        <f>MEDIAN(L38:M40)</f>
        <v>56.177260769373468</v>
      </c>
      <c r="R42" s="61" t="s">
        <v>72</v>
      </c>
      <c r="S42" s="62">
        <v>0.104</v>
      </c>
      <c r="X42" s="61" t="s">
        <v>72</v>
      </c>
      <c r="Y42" s="62">
        <v>0.104</v>
      </c>
      <c r="AC42" s="61" t="s">
        <v>72</v>
      </c>
      <c r="AD42" s="62">
        <v>0.104</v>
      </c>
    </row>
    <row r="43" spans="1:30" ht="15.75" customHeight="1" x14ac:dyDescent="0.3">
      <c r="B43" s="32" t="s">
        <v>51</v>
      </c>
      <c r="C43" s="32" t="s">
        <v>52</v>
      </c>
      <c r="D43" s="32" t="s">
        <v>73</v>
      </c>
      <c r="E43" s="32" t="s">
        <v>9</v>
      </c>
      <c r="F43" s="32" t="s">
        <v>74</v>
      </c>
      <c r="I43" s="32" t="s">
        <v>75</v>
      </c>
      <c r="J43" s="32" t="s">
        <v>76</v>
      </c>
      <c r="K43" s="32" t="s">
        <v>77</v>
      </c>
      <c r="L43" s="32" t="s">
        <v>78</v>
      </c>
      <c r="M43" s="32" t="s">
        <v>79</v>
      </c>
      <c r="N43" s="32" t="s">
        <v>80</v>
      </c>
      <c r="P43" s="1" t="s">
        <v>81</v>
      </c>
      <c r="Q43" s="1" t="s">
        <v>82</v>
      </c>
      <c r="R43" s="1" t="s">
        <v>82</v>
      </c>
      <c r="S43" s="2" t="s">
        <v>83</v>
      </c>
      <c r="V43" s="1" t="s">
        <v>81</v>
      </c>
      <c r="W43" s="1" t="s">
        <v>84</v>
      </c>
      <c r="X43" s="1" t="s">
        <v>85</v>
      </c>
      <c r="Y43" s="2" t="s">
        <v>83</v>
      </c>
      <c r="AA43" s="1" t="s">
        <v>86</v>
      </c>
      <c r="AB43" s="1" t="s">
        <v>86</v>
      </c>
      <c r="AC43" s="1" t="s">
        <v>87</v>
      </c>
      <c r="AD43" s="2" t="s">
        <v>83</v>
      </c>
    </row>
    <row r="44" spans="1:30" ht="15.75" customHeight="1" x14ac:dyDescent="0.3">
      <c r="B44" s="32" t="s">
        <v>88</v>
      </c>
      <c r="C44" s="63">
        <v>0.1</v>
      </c>
      <c r="D44" s="64">
        <f>(D48/F34)-1</f>
        <v>-1.758225529479096E-2</v>
      </c>
      <c r="E44" s="64">
        <v>-0.02</v>
      </c>
      <c r="F44" s="65">
        <v>0.126</v>
      </c>
      <c r="I44" s="12" t="s">
        <v>89</v>
      </c>
      <c r="J44" s="66">
        <v>0.06</v>
      </c>
      <c r="K44" s="66">
        <v>0.04</v>
      </c>
      <c r="L44" s="66">
        <v>0.04</v>
      </c>
      <c r="M44" s="66">
        <v>0.05</v>
      </c>
      <c r="N44" s="66">
        <v>0.1</v>
      </c>
      <c r="P44" s="67" t="s">
        <v>7</v>
      </c>
      <c r="Q44" s="68">
        <v>12383</v>
      </c>
      <c r="R44" s="68">
        <v>11799</v>
      </c>
      <c r="S44" s="69">
        <f t="shared" ref="S44:S48" si="23">(Q44/R44)-1</f>
        <v>4.9495719976269115E-2</v>
      </c>
      <c r="V44" s="67" t="s">
        <v>7</v>
      </c>
      <c r="W44" s="68">
        <v>2902</v>
      </c>
      <c r="X44" s="68">
        <v>2689</v>
      </c>
      <c r="Y44" s="69">
        <f t="shared" ref="Y44:Y48" si="24">(W44/X44)-1</f>
        <v>7.9211602826329441E-2</v>
      </c>
      <c r="AA44" s="67" t="s">
        <v>7</v>
      </c>
      <c r="AB44" s="68">
        <v>9481</v>
      </c>
      <c r="AC44" s="68">
        <v>9110</v>
      </c>
      <c r="AD44" s="69">
        <f t="shared" ref="AD44:AD48" si="25">(AB44/AC44)-1</f>
        <v>4.0724478594950542E-2</v>
      </c>
    </row>
    <row r="45" spans="1:30" ht="15.75" customHeight="1" x14ac:dyDescent="0.3">
      <c r="B45" s="32" t="s">
        <v>90</v>
      </c>
      <c r="C45" s="63">
        <f>AVERAGE(C38:C40)</f>
        <v>0.13329424345489774</v>
      </c>
      <c r="D45" s="57">
        <v>0.13</v>
      </c>
      <c r="E45" s="57">
        <v>0.13</v>
      </c>
      <c r="F45" s="70">
        <f>AVERAGE(I38:I41)</f>
        <v>0.13518302391116405</v>
      </c>
      <c r="I45" s="12" t="s">
        <v>73</v>
      </c>
      <c r="J45" s="66">
        <v>0.32</v>
      </c>
      <c r="K45" s="66">
        <v>0.34</v>
      </c>
      <c r="L45" s="66">
        <v>0.44</v>
      </c>
      <c r="M45" s="66">
        <v>0.36</v>
      </c>
      <c r="N45" s="66">
        <v>-0.02</v>
      </c>
      <c r="P45" s="67" t="s">
        <v>91</v>
      </c>
      <c r="Q45" s="68">
        <v>10068</v>
      </c>
      <c r="R45" s="68">
        <v>10132</v>
      </c>
      <c r="S45" s="69">
        <f t="shared" si="23"/>
        <v>-6.3166206079747766E-3</v>
      </c>
      <c r="V45" s="67" t="s">
        <v>91</v>
      </c>
      <c r="W45" s="68">
        <v>2451</v>
      </c>
      <c r="X45" s="68">
        <v>2318</v>
      </c>
      <c r="Y45" s="69">
        <f t="shared" si="24"/>
        <v>5.7377049180327822E-2</v>
      </c>
      <c r="AA45" s="67" t="s">
        <v>91</v>
      </c>
      <c r="AB45" s="68">
        <v>7617</v>
      </c>
      <c r="AC45" s="68">
        <v>7814</v>
      </c>
      <c r="AD45" s="69">
        <f t="shared" si="25"/>
        <v>-2.5211159457384169E-2</v>
      </c>
    </row>
    <row r="46" spans="1:30" ht="15.75" customHeight="1" x14ac:dyDescent="0.3">
      <c r="F46" s="71"/>
      <c r="I46" s="12" t="s">
        <v>74</v>
      </c>
      <c r="J46" s="72">
        <v>0.14399999999999999</v>
      </c>
      <c r="K46" s="72">
        <v>0.14699999999999999</v>
      </c>
      <c r="L46" s="72">
        <v>0.152</v>
      </c>
      <c r="M46" s="72">
        <v>0.14099999999999999</v>
      </c>
      <c r="N46" s="72">
        <v>0.126</v>
      </c>
      <c r="P46" s="67" t="s">
        <v>92</v>
      </c>
      <c r="Q46" s="68">
        <v>51</v>
      </c>
      <c r="R46" s="68">
        <v>48</v>
      </c>
      <c r="S46" s="69">
        <f t="shared" si="23"/>
        <v>6.25E-2</v>
      </c>
      <c r="V46" s="67" t="s">
        <v>92</v>
      </c>
      <c r="W46" s="68">
        <v>13</v>
      </c>
      <c r="X46" s="68">
        <v>12</v>
      </c>
      <c r="Y46" s="69">
        <f t="shared" si="24"/>
        <v>8.3333333333333259E-2</v>
      </c>
      <c r="AA46" s="67" t="s">
        <v>92</v>
      </c>
      <c r="AB46" s="68">
        <v>38</v>
      </c>
      <c r="AC46" s="68">
        <v>35</v>
      </c>
      <c r="AD46" s="69">
        <f t="shared" si="25"/>
        <v>8.5714285714285632E-2</v>
      </c>
    </row>
    <row r="47" spans="1:30" ht="15.75" customHeight="1" x14ac:dyDescent="0.35">
      <c r="A47" s="73" t="s">
        <v>93</v>
      </c>
      <c r="B47" s="32" t="s">
        <v>51</v>
      </c>
      <c r="C47" s="32" t="s">
        <v>52</v>
      </c>
      <c r="D47" s="32" t="s">
        <v>73</v>
      </c>
      <c r="E47" s="32" t="s">
        <v>9</v>
      </c>
      <c r="F47" s="32" t="s">
        <v>94</v>
      </c>
      <c r="G47" s="32" t="s">
        <v>95</v>
      </c>
      <c r="I47" s="74"/>
      <c r="P47" s="67" t="s">
        <v>8</v>
      </c>
      <c r="Q47" s="68">
        <v>1747</v>
      </c>
      <c r="R47" s="68">
        <v>1289</v>
      </c>
      <c r="S47" s="69">
        <f t="shared" si="23"/>
        <v>0.3553141970519782</v>
      </c>
      <c r="V47" s="67" t="s">
        <v>8</v>
      </c>
      <c r="W47" s="68">
        <v>304</v>
      </c>
      <c r="X47" s="68">
        <v>286</v>
      </c>
      <c r="Y47" s="69">
        <f t="shared" si="24"/>
        <v>6.2937062937062915E-2</v>
      </c>
      <c r="AA47" s="67" t="s">
        <v>8</v>
      </c>
      <c r="AB47" s="68">
        <v>1443</v>
      </c>
      <c r="AC47" s="68">
        <v>1003</v>
      </c>
      <c r="AD47" s="69">
        <f t="shared" si="25"/>
        <v>0.43868394815553335</v>
      </c>
    </row>
    <row r="48" spans="1:30" ht="15.75" customHeight="1" x14ac:dyDescent="0.3">
      <c r="B48" s="32" t="s">
        <v>96</v>
      </c>
      <c r="C48" s="75">
        <f>FV(C44,1,0,-C34,0)</f>
        <v>13621.300000000001</v>
      </c>
      <c r="D48" s="75">
        <f t="shared" ref="D48:D49" si="26">C48*F44</f>
        <v>1716.2838000000002</v>
      </c>
      <c r="E48" s="75">
        <f>FV(E44,1,0,-H34,0)</f>
        <v>33.329799999999999</v>
      </c>
      <c r="F48" s="76">
        <f t="shared" ref="F48:F49" si="27">E48*40</f>
        <v>1333.192</v>
      </c>
      <c r="G48" s="75">
        <f t="shared" ref="G48:G50" si="28">E48*45%</f>
        <v>14.99841</v>
      </c>
      <c r="I48" s="32" t="s">
        <v>97</v>
      </c>
      <c r="J48" s="32" t="s">
        <v>98</v>
      </c>
      <c r="K48" s="32" t="s">
        <v>99</v>
      </c>
      <c r="L48" s="32" t="s">
        <v>100</v>
      </c>
      <c r="M48" s="32" t="s">
        <v>101</v>
      </c>
      <c r="P48" s="67" t="s">
        <v>9</v>
      </c>
      <c r="Q48" s="68">
        <v>34.01</v>
      </c>
      <c r="R48" s="68">
        <v>25.05</v>
      </c>
      <c r="S48" s="69">
        <f t="shared" si="23"/>
        <v>0.35768463073852286</v>
      </c>
      <c r="V48" s="67" t="s">
        <v>9</v>
      </c>
      <c r="W48" s="68">
        <v>5.91</v>
      </c>
      <c r="X48" s="68">
        <v>5.57</v>
      </c>
      <c r="Y48" s="69">
        <f t="shared" si="24"/>
        <v>6.1041292639138156E-2</v>
      </c>
      <c r="AA48" s="67" t="s">
        <v>9</v>
      </c>
      <c r="AB48" s="68">
        <v>28.1</v>
      </c>
      <c r="AC48" s="68">
        <v>19.48</v>
      </c>
      <c r="AD48" s="69">
        <f t="shared" si="25"/>
        <v>0.44250513347022591</v>
      </c>
    </row>
    <row r="49" spans="2:30" ht="15.75" customHeight="1" x14ac:dyDescent="0.3">
      <c r="B49" s="32" t="s">
        <v>102</v>
      </c>
      <c r="C49" s="75">
        <f>FV($C$45,6,0,-C48,0)</f>
        <v>28858.559876661773</v>
      </c>
      <c r="D49" s="75">
        <f t="shared" si="26"/>
        <v>3901.1873898485278</v>
      </c>
      <c r="E49" s="75">
        <f>(D49*E48)/D48</f>
        <v>75.76007852907162</v>
      </c>
      <c r="F49" s="76">
        <f t="shared" si="27"/>
        <v>3030.4031411628648</v>
      </c>
      <c r="G49" s="75">
        <f t="shared" si="28"/>
        <v>34.092035338082233</v>
      </c>
      <c r="I49" s="77">
        <v>9.2100000000000009</v>
      </c>
      <c r="J49" s="77">
        <v>8.85</v>
      </c>
      <c r="K49" s="77">
        <v>10.039999999999999</v>
      </c>
      <c r="L49" s="77">
        <v>5.91</v>
      </c>
      <c r="M49" s="77">
        <f>SUM(I48:L49)</f>
        <v>34.010000000000005</v>
      </c>
      <c r="N49" s="41"/>
      <c r="P49" s="67" t="s">
        <v>74</v>
      </c>
      <c r="Q49" s="78">
        <f t="shared" ref="Q49:R49" si="29">Q47/Q44</f>
        <v>0.14108051360736493</v>
      </c>
      <c r="R49" s="78">
        <f t="shared" si="29"/>
        <v>0.10924654631748454</v>
      </c>
      <c r="S49" s="78">
        <f t="shared" ref="S49:S50" si="30">Q49-R49</f>
        <v>3.1833967289880388E-2</v>
      </c>
      <c r="V49" s="67" t="s">
        <v>74</v>
      </c>
      <c r="W49" s="78">
        <f t="shared" ref="W49:X49" si="31">W47/W44</f>
        <v>0.10475534114403859</v>
      </c>
      <c r="X49" s="78">
        <f t="shared" si="31"/>
        <v>0.10635924135366308</v>
      </c>
      <c r="Y49" s="78">
        <f t="shared" ref="Y49:Y50" si="32">W49-X49</f>
        <v>-1.6039002096244898E-3</v>
      </c>
      <c r="AA49" s="67" t="s">
        <v>74</v>
      </c>
      <c r="AB49" s="78">
        <f t="shared" ref="AB49:AC49" si="33">AB47/AB44</f>
        <v>0.15219913511232994</v>
      </c>
      <c r="AC49" s="78">
        <f t="shared" si="33"/>
        <v>0.11009879253567509</v>
      </c>
      <c r="AD49" s="78">
        <f t="shared" ref="AD49:AD50" si="34">AB49-AC49</f>
        <v>4.2100342576654848E-2</v>
      </c>
    </row>
    <row r="50" spans="2:30" ht="15.75" customHeight="1" x14ac:dyDescent="0.3">
      <c r="B50" s="32" t="s">
        <v>103</v>
      </c>
      <c r="C50" s="75">
        <f t="shared" ref="C50:E50" si="35">FV(12%,5,0,-C49,0)</f>
        <v>50858.642987764106</v>
      </c>
      <c r="D50" s="75">
        <f t="shared" si="35"/>
        <v>6875.2251511042714</v>
      </c>
      <c r="E50" s="75">
        <f t="shared" si="35"/>
        <v>133.51514431428831</v>
      </c>
      <c r="F50" s="76">
        <f>E50*35</f>
        <v>4673.0300510000907</v>
      </c>
      <c r="G50" s="75">
        <f t="shared" si="28"/>
        <v>60.081814941429741</v>
      </c>
      <c r="P50" s="67" t="s">
        <v>38</v>
      </c>
      <c r="Q50" s="79">
        <f t="shared" ref="Q50:R50" si="36">(Q44-Q45+Q46)/Q46</f>
        <v>46.392156862745097</v>
      </c>
      <c r="R50" s="79">
        <f t="shared" si="36"/>
        <v>35.729166666666664</v>
      </c>
      <c r="S50" s="80">
        <f t="shared" si="30"/>
        <v>10.662990196078432</v>
      </c>
      <c r="V50" s="67" t="s">
        <v>38</v>
      </c>
      <c r="W50" s="79">
        <f t="shared" ref="W50:X50" si="37">(W44-W45+W46)/W46</f>
        <v>35.692307692307693</v>
      </c>
      <c r="X50" s="79">
        <f t="shared" si="37"/>
        <v>31.916666666666668</v>
      </c>
      <c r="Y50" s="80">
        <f t="shared" si="32"/>
        <v>3.7756410256410255</v>
      </c>
      <c r="AA50" s="67" t="s">
        <v>38</v>
      </c>
      <c r="AB50" s="79">
        <f t="shared" ref="AB50:AC50" si="38">(AB44-AB45+AB46)/AB46</f>
        <v>50.05263157894737</v>
      </c>
      <c r="AC50" s="79">
        <f t="shared" si="38"/>
        <v>38.028571428571432</v>
      </c>
      <c r="AD50" s="80">
        <f t="shared" si="34"/>
        <v>12.024060150375938</v>
      </c>
    </row>
    <row r="51" spans="2:30" ht="15.75" customHeight="1" x14ac:dyDescent="0.3">
      <c r="I51" s="81" t="s">
        <v>104</v>
      </c>
      <c r="J51" s="81" t="s">
        <v>105</v>
      </c>
      <c r="K51" s="81" t="s">
        <v>106</v>
      </c>
      <c r="L51" s="81" t="s">
        <v>46</v>
      </c>
      <c r="R51" s="51"/>
    </row>
    <row r="52" spans="2:30" ht="15.75" customHeight="1" x14ac:dyDescent="0.35">
      <c r="I52" s="82">
        <v>25.1</v>
      </c>
      <c r="J52" s="83">
        <v>34.01</v>
      </c>
      <c r="K52" s="84">
        <v>33.299999999999997</v>
      </c>
      <c r="L52" s="85"/>
      <c r="R52" s="51"/>
    </row>
    <row r="53" spans="2:30" ht="15.75" customHeight="1" x14ac:dyDescent="0.35">
      <c r="G53" s="3"/>
      <c r="I53" s="81" t="s">
        <v>107</v>
      </c>
      <c r="J53" s="81" t="s">
        <v>108</v>
      </c>
      <c r="K53" s="81" t="s">
        <v>109</v>
      </c>
      <c r="L53" s="86">
        <f>89/36</f>
        <v>2.4722222222222223</v>
      </c>
      <c r="M53" s="87"/>
      <c r="N53" s="87"/>
      <c r="P53" s="1" t="s">
        <v>110</v>
      </c>
      <c r="Q53" s="1" t="s">
        <v>82</v>
      </c>
      <c r="R53" s="1" t="s">
        <v>82</v>
      </c>
      <c r="S53" s="32" t="s">
        <v>111</v>
      </c>
      <c r="T53" s="32" t="s">
        <v>112</v>
      </c>
      <c r="V53" s="1" t="s">
        <v>113</v>
      </c>
      <c r="W53" s="1" t="s">
        <v>86</v>
      </c>
    </row>
    <row r="54" spans="2:30" ht="15.75" customHeight="1" x14ac:dyDescent="0.35">
      <c r="F54" s="88"/>
      <c r="G54" s="3"/>
      <c r="I54" s="89">
        <f>2253/I52</f>
        <v>89.760956175298801</v>
      </c>
      <c r="J54" s="89">
        <f>C4/J52</f>
        <v>88.650396942075872</v>
      </c>
      <c r="K54" s="89">
        <f ca="1">C3/K52</f>
        <v>90.663663663663669</v>
      </c>
      <c r="L54" s="85"/>
      <c r="M54" s="87"/>
      <c r="N54" s="50"/>
      <c r="P54" s="52" t="s">
        <v>114</v>
      </c>
      <c r="Q54" s="52">
        <v>5103</v>
      </c>
      <c r="R54" s="52">
        <v>5959</v>
      </c>
      <c r="S54" s="90">
        <f t="shared" ref="S54:S60" si="39">Q54/$Q$62</f>
        <v>0.50685339690107267</v>
      </c>
      <c r="T54" s="91">
        <f t="shared" ref="T54:T60" si="40">(Q54/R54)^(1/1)-1</f>
        <v>-0.14364826313139789</v>
      </c>
      <c r="V54" s="52" t="s">
        <v>115</v>
      </c>
      <c r="W54" s="92">
        <v>0.55700000000000005</v>
      </c>
    </row>
    <row r="55" spans="2:30" ht="15.75" customHeight="1" x14ac:dyDescent="0.3">
      <c r="F55" s="88"/>
      <c r="G55" s="3"/>
      <c r="H55" s="93"/>
      <c r="L55" s="87"/>
      <c r="M55" s="87"/>
      <c r="N55" s="87"/>
      <c r="P55" s="52" t="s">
        <v>116</v>
      </c>
      <c r="Q55" s="52">
        <v>765</v>
      </c>
      <c r="R55" s="52">
        <v>863</v>
      </c>
      <c r="S55" s="90">
        <f t="shared" si="39"/>
        <v>7.5983313468414776E-2</v>
      </c>
      <c r="T55" s="91">
        <f t="shared" si="40"/>
        <v>-0.11355735805330247</v>
      </c>
      <c r="V55" s="52" t="s">
        <v>117</v>
      </c>
      <c r="W55" s="92">
        <v>0.193</v>
      </c>
    </row>
    <row r="56" spans="2:30" ht="15.75" customHeight="1" x14ac:dyDescent="0.35">
      <c r="F56" s="88"/>
      <c r="G56" s="3"/>
      <c r="H56" s="93"/>
      <c r="I56" s="31" t="s">
        <v>118</v>
      </c>
      <c r="J56" s="32" t="s">
        <v>119</v>
      </c>
      <c r="K56" s="32">
        <v>2023</v>
      </c>
      <c r="L56" s="32">
        <v>2001</v>
      </c>
      <c r="M56" s="32" t="s">
        <v>112</v>
      </c>
      <c r="N56" s="87"/>
      <c r="P56" s="52" t="s">
        <v>120</v>
      </c>
      <c r="Q56" s="52">
        <v>126</v>
      </c>
      <c r="R56" s="52">
        <v>-62</v>
      </c>
      <c r="S56" s="90">
        <f t="shared" si="39"/>
        <v>1.2514898688915376E-2</v>
      </c>
      <c r="T56" s="91">
        <f t="shared" si="40"/>
        <v>-3.032258064516129</v>
      </c>
      <c r="V56" s="52" t="s">
        <v>121</v>
      </c>
      <c r="W56" s="92">
        <v>6.0999999999999999E-2</v>
      </c>
    </row>
    <row r="57" spans="2:30" ht="15.75" customHeight="1" x14ac:dyDescent="0.3">
      <c r="F57" s="18"/>
      <c r="G57" s="3"/>
      <c r="H57" s="93"/>
      <c r="J57" s="52" t="s">
        <v>122</v>
      </c>
      <c r="K57" s="90">
        <v>0.69940000000000002</v>
      </c>
      <c r="L57" s="90">
        <v>0.72</v>
      </c>
      <c r="M57" s="91">
        <f t="shared" ref="M57:M60" si="41">(K57/L57)^(1/1)-1</f>
        <v>-2.8611111111111032E-2</v>
      </c>
      <c r="P57" s="52" t="s">
        <v>123</v>
      </c>
      <c r="Q57" s="52">
        <v>1465</v>
      </c>
      <c r="R57" s="52">
        <v>1246</v>
      </c>
      <c r="S57" s="90">
        <f t="shared" si="39"/>
        <v>0.14551052840683354</v>
      </c>
      <c r="T57" s="91">
        <f t="shared" si="40"/>
        <v>0.1757624398073836</v>
      </c>
      <c r="V57" s="52" t="s">
        <v>124</v>
      </c>
      <c r="W57" s="94">
        <v>5.8000000000000003E-2</v>
      </c>
    </row>
    <row r="58" spans="2:30" ht="15.75" customHeight="1" x14ac:dyDescent="0.3">
      <c r="F58" s="95"/>
      <c r="H58" s="95"/>
      <c r="I58" s="96"/>
      <c r="J58" s="52" t="s">
        <v>125</v>
      </c>
      <c r="K58" s="90">
        <v>4.2099999999999999E-2</v>
      </c>
      <c r="L58" s="90">
        <v>0.06</v>
      </c>
      <c r="M58" s="91">
        <f t="shared" si="41"/>
        <v>-0.29833333333333334</v>
      </c>
      <c r="N58" s="87"/>
      <c r="P58" s="52" t="s">
        <v>126</v>
      </c>
      <c r="Q58" s="52">
        <v>51</v>
      </c>
      <c r="R58" s="52">
        <v>48</v>
      </c>
      <c r="S58" s="90">
        <f t="shared" si="39"/>
        <v>5.0655542312276524E-3</v>
      </c>
      <c r="T58" s="91">
        <f t="shared" si="40"/>
        <v>6.25E-2</v>
      </c>
      <c r="V58" s="52" t="s">
        <v>127</v>
      </c>
      <c r="W58" s="94">
        <v>7.8E-2</v>
      </c>
    </row>
    <row r="59" spans="2:30" ht="15.75" customHeight="1" x14ac:dyDescent="0.3">
      <c r="F59" s="95"/>
      <c r="H59" s="95"/>
      <c r="J59" s="52" t="s">
        <v>128</v>
      </c>
      <c r="K59" s="90">
        <v>0.1061</v>
      </c>
      <c r="L59" s="90">
        <v>7.7399999999999997E-2</v>
      </c>
      <c r="M59" s="91">
        <f t="shared" si="41"/>
        <v>0.37080103359173133</v>
      </c>
      <c r="N59" s="87"/>
      <c r="P59" s="52" t="s">
        <v>129</v>
      </c>
      <c r="Q59" s="52">
        <v>341</v>
      </c>
      <c r="R59" s="52">
        <v>270</v>
      </c>
      <c r="S59" s="90">
        <f t="shared" si="39"/>
        <v>3.3869686134286849E-2</v>
      </c>
      <c r="T59" s="91">
        <f t="shared" si="40"/>
        <v>0.26296296296296306</v>
      </c>
      <c r="V59" s="52" t="s">
        <v>130</v>
      </c>
      <c r="W59" s="94">
        <v>4.3999999999999997E-2</v>
      </c>
    </row>
    <row r="60" spans="2:30" ht="15.75" customHeight="1" x14ac:dyDescent="0.3">
      <c r="F60" s="95"/>
      <c r="H60" s="95"/>
      <c r="I60" s="96"/>
      <c r="J60" s="52" t="s">
        <v>131</v>
      </c>
      <c r="K60" s="90">
        <v>0.15240000000000001</v>
      </c>
      <c r="L60" s="90">
        <v>0.14130000000000001</v>
      </c>
      <c r="M60" s="91">
        <f t="shared" si="41"/>
        <v>7.8556263269639048E-2</v>
      </c>
      <c r="N60" s="87"/>
      <c r="P60" s="52" t="s">
        <v>132</v>
      </c>
      <c r="Q60" s="52">
        <v>2217</v>
      </c>
      <c r="R60" s="52">
        <v>1810</v>
      </c>
      <c r="S60" s="90">
        <f t="shared" si="39"/>
        <v>0.2202026221692491</v>
      </c>
      <c r="T60" s="91">
        <f t="shared" si="40"/>
        <v>0.22486187845303873</v>
      </c>
      <c r="V60" s="52" t="s">
        <v>133</v>
      </c>
      <c r="W60" s="94">
        <v>8.9999999999999993E-3</v>
      </c>
    </row>
    <row r="61" spans="2:30" ht="15.75" customHeight="1" x14ac:dyDescent="0.3">
      <c r="F61" s="95"/>
      <c r="H61" s="95"/>
      <c r="J61" s="41"/>
      <c r="K61" s="43"/>
      <c r="L61" s="43"/>
      <c r="N61" s="87"/>
    </row>
    <row r="62" spans="2:30" ht="15.75" customHeight="1" x14ac:dyDescent="0.3">
      <c r="H62" s="95"/>
      <c r="J62" s="97" t="s">
        <v>134</v>
      </c>
      <c r="K62" s="98">
        <f t="shared" ref="K62:L62" si="42">SUM(K57:K60)</f>
        <v>1</v>
      </c>
      <c r="L62" s="98">
        <f t="shared" si="42"/>
        <v>0.99870000000000003</v>
      </c>
      <c r="M62" s="91">
        <f>(K62/L62)^(1/1)-1</f>
        <v>1.3016921998598718E-3</v>
      </c>
      <c r="P62" s="99" t="s">
        <v>135</v>
      </c>
      <c r="Q62" s="99">
        <f t="shared" ref="Q62:R62" si="43">SUM(Q54:Q60)</f>
        <v>10068</v>
      </c>
      <c r="R62" s="99">
        <f t="shared" si="43"/>
        <v>10134</v>
      </c>
      <c r="S62" s="100">
        <f>Q62/$Q$62</f>
        <v>1</v>
      </c>
      <c r="T62" s="100">
        <f>(Q62/R62)^(1/1)-1</f>
        <v>-6.5127294256956958E-3</v>
      </c>
      <c r="V62" s="99" t="s">
        <v>135</v>
      </c>
      <c r="W62" s="43">
        <v>1</v>
      </c>
    </row>
    <row r="63" spans="2:30" ht="15.75" customHeight="1" x14ac:dyDescent="0.3">
      <c r="E63" s="41"/>
    </row>
    <row r="64" spans="2:30" ht="15.75" customHeight="1" x14ac:dyDescent="0.3">
      <c r="E64" s="41"/>
    </row>
    <row r="65" spans="1:5" ht="15.75" customHeight="1" x14ac:dyDescent="0.3">
      <c r="E65" s="50"/>
    </row>
    <row r="66" spans="1:5" ht="15.75" customHeight="1" x14ac:dyDescent="0.3"/>
    <row r="67" spans="1:5" ht="15.75" customHeight="1" x14ac:dyDescent="0.3">
      <c r="A67" s="41"/>
      <c r="B67" s="41"/>
    </row>
    <row r="68" spans="1:5" ht="15.75" customHeight="1" x14ac:dyDescent="0.3">
      <c r="A68" s="101"/>
      <c r="B68" s="102"/>
      <c r="E68" s="50"/>
    </row>
    <row r="69" spans="1:5" ht="15.75" customHeight="1" x14ac:dyDescent="0.3">
      <c r="A69" s="101"/>
      <c r="B69" s="102"/>
    </row>
    <row r="70" spans="1:5" ht="15.75" customHeight="1" x14ac:dyDescent="0.3">
      <c r="A70" s="101"/>
      <c r="B70" s="102"/>
    </row>
    <row r="71" spans="1:5" ht="15.75" customHeight="1" x14ac:dyDescent="0.3">
      <c r="A71" s="101"/>
      <c r="B71" s="102"/>
    </row>
    <row r="72" spans="1:5" ht="15.75" customHeight="1" x14ac:dyDescent="0.3">
      <c r="A72" s="101"/>
      <c r="B72" s="102"/>
    </row>
    <row r="73" spans="1:5" ht="15.75" customHeight="1" x14ac:dyDescent="0.3">
      <c r="A73" s="101"/>
      <c r="B73" s="102"/>
    </row>
    <row r="74" spans="1:5" ht="15.75" customHeight="1" x14ac:dyDescent="0.3">
      <c r="A74" s="101"/>
      <c r="B74" s="102"/>
    </row>
    <row r="75" spans="1:5" ht="15.75" customHeight="1" x14ac:dyDescent="0.3">
      <c r="A75" s="101"/>
      <c r="B75" s="102"/>
    </row>
    <row r="76" spans="1:5" ht="15.75" customHeight="1" x14ac:dyDescent="0.3">
      <c r="A76" s="101"/>
      <c r="B76" s="102"/>
    </row>
    <row r="77" spans="1:5" ht="15.75" customHeight="1" x14ac:dyDescent="0.3">
      <c r="A77" s="101"/>
      <c r="B77" s="102"/>
    </row>
    <row r="78" spans="1:5" ht="15.75" customHeight="1" x14ac:dyDescent="0.3">
      <c r="A78" s="101"/>
      <c r="B78" s="102"/>
    </row>
    <row r="79" spans="1:5" ht="15.75" customHeight="1" x14ac:dyDescent="0.3">
      <c r="A79" s="101"/>
      <c r="B79" s="102"/>
    </row>
    <row r="80" spans="1:5" ht="15.75" customHeight="1" x14ac:dyDescent="0.3">
      <c r="A80" s="101"/>
      <c r="B80" s="102"/>
    </row>
    <row r="81" spans="1:2" ht="15.75" customHeight="1" x14ac:dyDescent="0.3">
      <c r="A81" s="101"/>
      <c r="B81" s="95"/>
    </row>
    <row r="82" spans="1:2" ht="15.75" customHeight="1" x14ac:dyDescent="0.3">
      <c r="A82" s="101"/>
      <c r="B82" s="95"/>
    </row>
    <row r="83" spans="1:2" ht="15.75" customHeight="1" x14ac:dyDescent="0.3">
      <c r="A83" s="101"/>
      <c r="B83" s="95"/>
    </row>
    <row r="84" spans="1:2" ht="15.75" customHeight="1" x14ac:dyDescent="0.3">
      <c r="A84" s="101"/>
      <c r="B84" s="95"/>
    </row>
    <row r="85" spans="1:2" ht="15.75" customHeight="1" x14ac:dyDescent="0.3"/>
    <row r="86" spans="1:2" ht="15.75" customHeight="1" x14ac:dyDescent="0.3"/>
    <row r="87" spans="1:2" ht="15.75" customHeight="1" x14ac:dyDescent="0.3"/>
    <row r="88" spans="1:2" ht="15.75" customHeight="1" x14ac:dyDescent="0.3"/>
    <row r="89" spans="1:2" ht="15.75" customHeight="1" x14ac:dyDescent="0.3"/>
    <row r="90" spans="1:2" ht="15.75" customHeight="1" x14ac:dyDescent="0.3"/>
    <row r="91" spans="1:2" ht="15.75" customHeight="1" x14ac:dyDescent="0.3"/>
    <row r="92" spans="1:2" ht="15.75" customHeight="1" x14ac:dyDescent="0.3"/>
    <row r="93" spans="1:2" ht="15.75" customHeight="1" x14ac:dyDescent="0.3"/>
    <row r="94" spans="1:2" ht="15.75" customHeight="1" x14ac:dyDescent="0.3"/>
    <row r="95" spans="1:2" ht="15.75" customHeight="1" x14ac:dyDescent="0.3"/>
    <row r="96" spans="1:2" ht="15.75" customHeight="1" x14ac:dyDescent="0.3"/>
    <row r="97" spans="1:2" ht="15.75" customHeight="1" x14ac:dyDescent="0.3"/>
    <row r="98" spans="1:2" ht="15.75" customHeight="1" x14ac:dyDescent="0.3"/>
    <row r="99" spans="1:2" ht="15.75" customHeight="1" x14ac:dyDescent="0.3"/>
    <row r="100" spans="1:2" ht="15.75" customHeight="1" x14ac:dyDescent="0.3"/>
    <row r="101" spans="1:2" ht="15.75" customHeight="1" x14ac:dyDescent="0.3"/>
    <row r="102" spans="1:2" ht="15.75" customHeight="1" x14ac:dyDescent="0.3"/>
    <row r="103" spans="1:2" ht="15.75" customHeight="1" x14ac:dyDescent="0.3"/>
    <row r="104" spans="1:2" ht="15.75" customHeight="1" x14ac:dyDescent="0.3"/>
    <row r="105" spans="1:2" ht="15.75" customHeight="1" x14ac:dyDescent="0.3"/>
    <row r="106" spans="1:2" ht="15.75" customHeight="1" x14ac:dyDescent="0.3"/>
    <row r="107" spans="1:2" ht="15.75" customHeight="1" x14ac:dyDescent="0.3"/>
    <row r="108" spans="1:2" ht="15.75" customHeight="1" x14ac:dyDescent="0.3"/>
    <row r="109" spans="1:2" ht="15.75" customHeight="1" x14ac:dyDescent="0.3"/>
    <row r="110" spans="1:2" ht="15.75" customHeight="1" x14ac:dyDescent="0.3">
      <c r="A110" s="41"/>
      <c r="B110" s="41"/>
    </row>
    <row r="111" spans="1:2" ht="15.75" customHeight="1" x14ac:dyDescent="0.3">
      <c r="A111" s="101"/>
      <c r="B111" s="102"/>
    </row>
    <row r="112" spans="1:2" ht="15.75" customHeight="1" x14ac:dyDescent="0.3">
      <c r="A112" s="101"/>
      <c r="B112" s="102"/>
    </row>
    <row r="113" spans="1:2" ht="15.75" customHeight="1" x14ac:dyDescent="0.3">
      <c r="A113" s="101"/>
      <c r="B113" s="102"/>
    </row>
    <row r="114" spans="1:2" ht="15.75" customHeight="1" x14ac:dyDescent="0.3">
      <c r="A114" s="101"/>
      <c r="B114" s="102"/>
    </row>
    <row r="115" spans="1:2" ht="15.75" customHeight="1" x14ac:dyDescent="0.3">
      <c r="A115" s="101"/>
      <c r="B115" s="102"/>
    </row>
    <row r="116" spans="1:2" ht="15.75" customHeight="1" x14ac:dyDescent="0.3">
      <c r="A116" s="101"/>
      <c r="B116" s="102"/>
    </row>
    <row r="117" spans="1:2" ht="15.75" customHeight="1" x14ac:dyDescent="0.3">
      <c r="A117" s="101"/>
      <c r="B117" s="102"/>
    </row>
    <row r="118" spans="1:2" ht="15.75" customHeight="1" x14ac:dyDescent="0.3">
      <c r="A118" s="101"/>
      <c r="B118" s="102"/>
    </row>
    <row r="119" spans="1:2" ht="15.75" customHeight="1" x14ac:dyDescent="0.3">
      <c r="A119" s="101"/>
      <c r="B119" s="102"/>
    </row>
    <row r="120" spans="1:2" ht="15.75" customHeight="1" x14ac:dyDescent="0.3">
      <c r="A120" s="101"/>
      <c r="B120" s="102"/>
    </row>
    <row r="121" spans="1:2" ht="15.75" customHeight="1" x14ac:dyDescent="0.3">
      <c r="A121" s="101"/>
      <c r="B121" s="102"/>
    </row>
    <row r="122" spans="1:2" ht="15.75" customHeight="1" x14ac:dyDescent="0.3">
      <c r="A122" s="101"/>
      <c r="B122" s="102"/>
    </row>
    <row r="123" spans="1:2" ht="15.75" customHeight="1" x14ac:dyDescent="0.3">
      <c r="A123" s="101"/>
      <c r="B123" s="102"/>
    </row>
    <row r="124" spans="1:2" ht="15.75" customHeight="1" x14ac:dyDescent="0.3">
      <c r="A124" s="101"/>
      <c r="B124" s="102"/>
    </row>
    <row r="125" spans="1:2" ht="15.75" customHeight="1" x14ac:dyDescent="0.3">
      <c r="A125" s="101"/>
      <c r="B125" s="102"/>
    </row>
    <row r="126" spans="1:2" ht="15.75" customHeight="1" x14ac:dyDescent="0.3">
      <c r="A126" s="101"/>
      <c r="B126" s="102"/>
    </row>
    <row r="127" spans="1:2" ht="15.75" customHeight="1" x14ac:dyDescent="0.3">
      <c r="A127" s="101"/>
      <c r="B127" s="102"/>
    </row>
    <row r="128" spans="1:2" ht="15.75" customHeight="1" x14ac:dyDescent="0.3">
      <c r="A128" s="101"/>
      <c r="B128" s="102"/>
    </row>
    <row r="129" spans="1:2" ht="15.75" customHeight="1" x14ac:dyDescent="0.3">
      <c r="A129" s="101"/>
      <c r="B129" s="102"/>
    </row>
    <row r="130" spans="1:2" ht="15.75" customHeight="1" x14ac:dyDescent="0.3">
      <c r="A130" s="101"/>
      <c r="B130" s="102"/>
    </row>
    <row r="131" spans="1:2" ht="15.75" customHeight="1" x14ac:dyDescent="0.3">
      <c r="A131" s="101"/>
      <c r="B131" s="102"/>
    </row>
    <row r="132" spans="1:2" ht="15.75" customHeight="1" x14ac:dyDescent="0.3">
      <c r="A132" s="41"/>
      <c r="B132" s="87"/>
    </row>
    <row r="133" spans="1:2" ht="15.75" customHeight="1" x14ac:dyDescent="0.3">
      <c r="A133" s="41"/>
      <c r="B133" s="87"/>
    </row>
    <row r="134" spans="1:2" ht="15.75" customHeight="1" x14ac:dyDescent="0.3">
      <c r="A134" s="41"/>
      <c r="B134" s="87"/>
    </row>
    <row r="135" spans="1:2" ht="15.75" customHeight="1" x14ac:dyDescent="0.3">
      <c r="A135" s="41"/>
      <c r="B135" s="87"/>
    </row>
    <row r="136" spans="1:2" ht="15.75" customHeight="1" x14ac:dyDescent="0.3"/>
    <row r="137" spans="1:2" ht="15.75" customHeight="1" x14ac:dyDescent="0.3"/>
    <row r="138" spans="1:2" ht="15.75" customHeight="1" x14ac:dyDescent="0.3"/>
    <row r="139" spans="1:2" ht="15.75" customHeight="1" x14ac:dyDescent="0.3"/>
    <row r="140" spans="1:2" ht="15.75" customHeight="1" x14ac:dyDescent="0.3"/>
    <row r="141" spans="1:2" ht="15.75" customHeight="1" x14ac:dyDescent="0.3"/>
    <row r="142" spans="1:2" ht="15.75" customHeight="1" x14ac:dyDescent="0.3"/>
    <row r="143" spans="1:2" ht="15.75" customHeight="1" x14ac:dyDescent="0.3"/>
    <row r="144" spans="1:2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</sheetData>
  <conditionalFormatting sqref="C12:C34">
    <cfRule type="colorScale" priority="8">
      <colorScale>
        <cfvo type="min"/>
        <cfvo type="max"/>
        <color rgb="FFFFFFFF"/>
        <color rgb="FF57BB8A"/>
      </colorScale>
    </cfRule>
  </conditionalFormatting>
  <conditionalFormatting sqref="C44:E45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H41 J38:K41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4">
    <cfRule type="colorScale" priority="9">
      <colorScale>
        <cfvo type="min"/>
        <cfvo type="max"/>
        <color rgb="FFE67C73"/>
        <color rgb="FFFFFFFF"/>
      </colorScale>
    </cfRule>
  </conditionalFormatting>
  <conditionalFormatting sqref="E12:E34">
    <cfRule type="colorScale" priority="10">
      <colorScale>
        <cfvo type="min"/>
        <cfvo type="max"/>
        <color rgb="FFE67C73"/>
        <color rgb="FFFFFFFF"/>
      </colorScale>
    </cfRule>
  </conditionalFormatting>
  <conditionalFormatting sqref="F12:F34">
    <cfRule type="colorScale" priority="11">
      <colorScale>
        <cfvo type="min"/>
        <cfvo type="max"/>
        <color rgb="FFFFFFFF"/>
        <color rgb="FF57BB8A"/>
      </colorScale>
    </cfRule>
  </conditionalFormatting>
  <conditionalFormatting sqref="F44:F45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G34">
    <cfRule type="colorScale" priority="12">
      <colorScale>
        <cfvo type="min"/>
        <cfvo type="max"/>
        <color rgb="FFFFFFFF"/>
        <color rgb="FF57BB8A"/>
      </colorScale>
    </cfRule>
  </conditionalFormatting>
  <conditionalFormatting sqref="H12:H3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52:K52">
    <cfRule type="colorScale" priority="6">
      <colorScale>
        <cfvo type="min"/>
        <cfvo type="max"/>
        <color rgb="FFFFFFFF"/>
        <color rgb="FF57BB8A"/>
      </colorScale>
    </cfRule>
  </conditionalFormatting>
  <conditionalFormatting sqref="H54:K54">
    <cfRule type="colorScale" priority="7">
      <colorScale>
        <cfvo type="min"/>
        <cfvo type="max"/>
        <color rgb="FFFFFFFF"/>
        <color rgb="FFE67C73"/>
      </colorScale>
    </cfRule>
  </conditionalFormatting>
  <conditionalFormatting sqref="I12:I34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8:I41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49:L49">
    <cfRule type="colorScale" priority="24">
      <colorScale>
        <cfvo type="min"/>
        <cfvo type="max"/>
        <color rgb="FFFFFFFF"/>
        <color rgb="FF57BB8A"/>
      </colorScale>
    </cfRule>
  </conditionalFormatting>
  <conditionalFormatting sqref="J12:K3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4:M44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5:M45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46:M46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2:M34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38:M41">
    <cfRule type="colorScale" priority="2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12:N34">
    <cfRule type="colorScale" priority="17">
      <colorScale>
        <cfvo type="min"/>
        <cfvo type="max"/>
        <color rgb="FFFFFFFF"/>
        <color rgb="FF57BB8A"/>
      </colorScale>
    </cfRule>
  </conditionalFormatting>
  <conditionalFormatting sqref="N38:N41">
    <cfRule type="colorScale" priority="21">
      <colorScale>
        <cfvo type="min"/>
        <cfvo type="max"/>
        <color rgb="FFFFFFFF"/>
        <color rgb="FF57BB8A"/>
      </colorScale>
    </cfRule>
  </conditionalFormatting>
  <conditionalFormatting sqref="O12:O34">
    <cfRule type="colorScale" priority="18">
      <colorScale>
        <cfvo type="min"/>
        <cfvo type="max"/>
        <color rgb="FFFFFFFF"/>
        <color rgb="FF57BB8A"/>
      </colorScale>
    </cfRule>
  </conditionalFormatting>
  <conditionalFormatting sqref="R1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1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44:S50 Y44:Y50 AD44:AD50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S54:S6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54:T6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W54:W60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D0EF-F595-4E78-A283-DA023C16F720}">
  <sheetPr>
    <outlinePr summaryBelow="0" summaryRight="0"/>
  </sheetPr>
  <dimension ref="A1:AN910"/>
  <sheetViews>
    <sheetView workbookViewId="0"/>
  </sheetViews>
  <sheetFormatPr defaultColWidth="14" defaultRowHeight="15" customHeight="1" x14ac:dyDescent="0.3"/>
  <cols>
    <col min="1" max="6" width="14" customWidth="1"/>
    <col min="15" max="15" width="17.44140625" customWidth="1"/>
    <col min="39" max="39" width="18.77734375" customWidth="1"/>
  </cols>
  <sheetData>
    <row r="1" spans="1:27" ht="15.75" customHeight="1" x14ac:dyDescent="0.3">
      <c r="E1" s="103"/>
      <c r="F1" s="103"/>
      <c r="G1" s="103"/>
      <c r="H1" s="103"/>
      <c r="I1" s="103"/>
      <c r="J1" s="103"/>
      <c r="K1" s="103"/>
      <c r="L1" s="103"/>
      <c r="M1" s="103"/>
      <c r="O1" s="104"/>
      <c r="T1" s="103"/>
      <c r="U1" s="103"/>
    </row>
    <row r="2" spans="1:27" ht="15.75" customHeight="1" x14ac:dyDescent="0.3">
      <c r="A2" s="105" t="s">
        <v>136</v>
      </c>
      <c r="B2" s="105" t="s">
        <v>137</v>
      </c>
      <c r="C2" s="105" t="s">
        <v>138</v>
      </c>
      <c r="D2" s="105" t="s">
        <v>10</v>
      </c>
      <c r="E2" s="105" t="s">
        <v>139</v>
      </c>
      <c r="F2" s="105" t="s">
        <v>12</v>
      </c>
      <c r="G2" s="105" t="s">
        <v>140</v>
      </c>
      <c r="H2" s="105" t="s">
        <v>141</v>
      </c>
      <c r="I2" s="105" t="s">
        <v>142</v>
      </c>
      <c r="J2" s="105" t="s">
        <v>143</v>
      </c>
      <c r="K2" s="105" t="s">
        <v>144</v>
      </c>
      <c r="L2" s="105" t="s">
        <v>145</v>
      </c>
      <c r="M2" s="106" t="s">
        <v>38</v>
      </c>
      <c r="N2" s="106" t="s">
        <v>146</v>
      </c>
      <c r="O2" s="106" t="s">
        <v>147</v>
      </c>
      <c r="P2" s="106" t="s">
        <v>36</v>
      </c>
      <c r="Q2" s="106" t="s">
        <v>37</v>
      </c>
      <c r="R2" s="106" t="s">
        <v>39</v>
      </c>
      <c r="S2" s="106" t="s">
        <v>40</v>
      </c>
      <c r="T2" s="106" t="s">
        <v>41</v>
      </c>
      <c r="U2" s="106" t="s">
        <v>148</v>
      </c>
      <c r="V2" s="106" t="s">
        <v>43</v>
      </c>
      <c r="W2" s="106" t="s">
        <v>44</v>
      </c>
      <c r="X2" s="106" t="s">
        <v>45</v>
      </c>
    </row>
    <row r="3" spans="1:27" ht="15.75" customHeight="1" x14ac:dyDescent="0.3">
      <c r="A3" s="52"/>
      <c r="B3" s="52">
        <v>90</v>
      </c>
      <c r="C3" s="53">
        <v>539183.54734420043</v>
      </c>
      <c r="D3" s="53">
        <v>1944</v>
      </c>
      <c r="E3" s="107">
        <v>97739</v>
      </c>
      <c r="F3" s="107">
        <v>18836</v>
      </c>
      <c r="G3" s="107">
        <v>143615</v>
      </c>
      <c r="H3" s="107">
        <v>59373</v>
      </c>
      <c r="I3" s="107">
        <v>129195</v>
      </c>
      <c r="J3" s="107">
        <v>80313</v>
      </c>
      <c r="K3" s="107">
        <v>13267</v>
      </c>
      <c r="L3" s="107">
        <v>8838</v>
      </c>
      <c r="M3" s="107">
        <v>99.65792922673657</v>
      </c>
      <c r="N3" s="54">
        <v>2.0840900835452234</v>
      </c>
      <c r="O3" s="107">
        <v>61.724679747668247</v>
      </c>
      <c r="P3" s="108">
        <v>0.19271733903559479</v>
      </c>
      <c r="Q3" s="108">
        <v>0.3180447724819831</v>
      </c>
      <c r="R3" s="109">
        <v>0.13573906014999129</v>
      </c>
      <c r="S3" s="53">
        <v>6.8245884773662553</v>
      </c>
      <c r="T3" s="110">
        <v>9.2378929777530205E-2</v>
      </c>
      <c r="U3" s="107">
        <v>52.120107424231293</v>
      </c>
      <c r="V3" s="109">
        <v>1.918645316404485E-2</v>
      </c>
      <c r="W3" s="53">
        <v>15284.288065843622</v>
      </c>
      <c r="X3" s="53">
        <v>6.5011140572556023</v>
      </c>
      <c r="Y3" s="87">
        <v>0.16823803726076036</v>
      </c>
      <c r="Z3" s="87">
        <v>-0.37835829559967493</v>
      </c>
      <c r="AA3" s="87">
        <v>-0.3338358332705208</v>
      </c>
    </row>
    <row r="4" spans="1:27" ht="15.75" customHeight="1" x14ac:dyDescent="0.3">
      <c r="E4" s="103"/>
      <c r="F4" s="103"/>
      <c r="G4" s="103"/>
      <c r="H4" s="103"/>
      <c r="I4" s="111">
        <f>(I3/H3)^(1/5)-1</f>
        <v>0.16823803726076014</v>
      </c>
      <c r="J4" s="111">
        <f>(J3/86827)-1</f>
        <v>-7.502274638073414E-2</v>
      </c>
      <c r="K4" s="111">
        <f>K3/I3</f>
        <v>0.10268973257479004</v>
      </c>
      <c r="L4" s="111">
        <f>(L3/10038)-1</f>
        <v>-0.11954572624028692</v>
      </c>
      <c r="M4" s="103"/>
      <c r="O4" s="104"/>
      <c r="T4" s="103"/>
      <c r="U4" s="103"/>
    </row>
    <row r="5" spans="1:27" ht="15.75" customHeight="1" x14ac:dyDescent="0.3">
      <c r="A5" s="112" t="s">
        <v>136</v>
      </c>
      <c r="E5" s="103"/>
      <c r="F5" s="103"/>
      <c r="G5" s="103"/>
      <c r="H5" s="103"/>
      <c r="I5" s="103"/>
      <c r="J5" s="103"/>
      <c r="K5" s="103"/>
      <c r="L5" s="103"/>
      <c r="M5" s="103"/>
      <c r="O5" s="104"/>
      <c r="T5" s="103"/>
      <c r="U5" s="103"/>
    </row>
    <row r="6" spans="1:27" ht="15.75" customHeight="1" x14ac:dyDescent="0.3">
      <c r="E6" s="103"/>
      <c r="F6" s="103"/>
      <c r="G6" s="103"/>
      <c r="H6" s="103"/>
      <c r="I6" s="103"/>
      <c r="J6" s="103"/>
      <c r="K6" s="103"/>
      <c r="L6" s="103"/>
      <c r="M6" s="103"/>
      <c r="O6" s="104"/>
      <c r="T6" s="103"/>
      <c r="U6" s="103"/>
    </row>
    <row r="7" spans="1:27" ht="15.75" customHeight="1" x14ac:dyDescent="0.3">
      <c r="B7" s="112" t="s">
        <v>137</v>
      </c>
      <c r="C7" s="112" t="s">
        <v>149</v>
      </c>
      <c r="D7" s="105" t="s">
        <v>150</v>
      </c>
      <c r="E7" s="103"/>
      <c r="F7" s="103"/>
      <c r="G7" s="112" t="s">
        <v>137</v>
      </c>
      <c r="H7" s="112" t="s">
        <v>142</v>
      </c>
      <c r="I7" s="103"/>
      <c r="J7" s="103"/>
      <c r="K7" s="112" t="s">
        <v>137</v>
      </c>
      <c r="L7" s="112" t="s">
        <v>151</v>
      </c>
      <c r="M7" s="103"/>
      <c r="O7" s="112" t="s">
        <v>152</v>
      </c>
      <c r="R7" s="103"/>
      <c r="S7" s="103"/>
      <c r="T7" s="103"/>
      <c r="U7" s="103"/>
      <c r="V7" s="103"/>
      <c r="W7" s="103"/>
      <c r="X7" s="103"/>
      <c r="Y7" s="103"/>
    </row>
    <row r="8" spans="1:27" ht="15.75" customHeight="1" x14ac:dyDescent="0.3">
      <c r="B8" s="113" t="s">
        <v>3</v>
      </c>
      <c r="C8" s="103">
        <v>127864.37802</v>
      </c>
      <c r="D8" s="114" t="s">
        <v>153</v>
      </c>
      <c r="E8" s="103"/>
      <c r="F8" s="103"/>
      <c r="G8" s="103" t="s">
        <v>3</v>
      </c>
      <c r="H8" s="103">
        <v>11799</v>
      </c>
      <c r="I8" s="103"/>
      <c r="J8" s="103"/>
      <c r="K8" s="103" t="s">
        <v>3</v>
      </c>
      <c r="L8" s="115">
        <v>0.13668177473675258</v>
      </c>
      <c r="M8" s="103"/>
      <c r="O8" s="112" t="s">
        <v>137</v>
      </c>
      <c r="P8" s="112" t="s">
        <v>143</v>
      </c>
      <c r="Q8" s="112" t="s">
        <v>142</v>
      </c>
      <c r="R8" s="112" t="s">
        <v>154</v>
      </c>
      <c r="S8" s="112" t="s">
        <v>145</v>
      </c>
      <c r="T8" s="112" t="s">
        <v>144</v>
      </c>
      <c r="U8" s="112" t="s">
        <v>155</v>
      </c>
      <c r="V8" s="112" t="s">
        <v>156</v>
      </c>
      <c r="W8" s="112" t="s">
        <v>157</v>
      </c>
      <c r="X8" s="116" t="s">
        <v>158</v>
      </c>
      <c r="Y8" s="117"/>
    </row>
    <row r="9" spans="1:27" ht="15.75" customHeight="1" x14ac:dyDescent="0.3">
      <c r="B9" s="113" t="s">
        <v>159</v>
      </c>
      <c r="C9" s="103">
        <v>68567.330799999996</v>
      </c>
      <c r="D9" s="114" t="s">
        <v>160</v>
      </c>
      <c r="E9" s="103"/>
      <c r="F9" s="103"/>
      <c r="G9" s="103" t="s">
        <v>159</v>
      </c>
      <c r="H9" s="103">
        <v>14870</v>
      </c>
      <c r="I9" s="103"/>
      <c r="J9" s="103"/>
      <c r="K9" s="103" t="s">
        <v>159</v>
      </c>
      <c r="L9" s="115">
        <v>0.21208026420680182</v>
      </c>
      <c r="M9" s="103"/>
      <c r="O9" s="113" t="s">
        <v>3</v>
      </c>
      <c r="P9" s="47">
        <v>12170</v>
      </c>
      <c r="Q9" s="47">
        <v>11799</v>
      </c>
      <c r="R9" s="74">
        <f t="shared" ref="R9:R24" si="0">(P9/Q9)-1</f>
        <v>3.1443342656157336E-2</v>
      </c>
      <c r="S9" s="87">
        <v>1729</v>
      </c>
      <c r="T9" s="87">
        <v>1289</v>
      </c>
      <c r="U9" s="74">
        <f t="shared" ref="U9:U24" si="1">(S9/T9)-1</f>
        <v>0.34134988363072138</v>
      </c>
      <c r="V9" s="74">
        <f t="shared" ref="V9:W24" si="2">S9/P9</f>
        <v>0.14207066557107642</v>
      </c>
      <c r="W9" s="74">
        <f t="shared" si="2"/>
        <v>0.10924654631748454</v>
      </c>
      <c r="X9" s="118" t="str">
        <f ca="1">IFERROR(__xludf.DUMMYFUNCTION("SPARKLINE(GOOGLEFINANCE(O102,""PRICE"",TODAY()-365,TODAY()))"),"")</f>
        <v/>
      </c>
      <c r="Y9" s="119"/>
    </row>
    <row r="10" spans="1:27" ht="15.75" customHeight="1" x14ac:dyDescent="0.3">
      <c r="B10" s="113" t="s">
        <v>161</v>
      </c>
      <c r="C10" s="103">
        <v>39005.334244899997</v>
      </c>
      <c r="E10" s="103"/>
      <c r="F10" s="103"/>
      <c r="G10" s="103" t="s">
        <v>161</v>
      </c>
      <c r="H10" s="103">
        <v>5612</v>
      </c>
      <c r="I10" s="103"/>
      <c r="J10" s="103"/>
      <c r="K10" s="103" t="s">
        <v>161</v>
      </c>
      <c r="L10" s="115">
        <v>0.15510862145635573</v>
      </c>
      <c r="M10" s="103"/>
      <c r="O10" s="113" t="s">
        <v>159</v>
      </c>
      <c r="P10" s="41">
        <v>13347</v>
      </c>
      <c r="Q10" s="41">
        <v>14870</v>
      </c>
      <c r="R10" s="74">
        <f t="shared" si="0"/>
        <v>-0.10242098184263615</v>
      </c>
      <c r="S10" s="87">
        <v>1476</v>
      </c>
      <c r="T10" s="87">
        <v>2162</v>
      </c>
      <c r="U10" s="74">
        <f t="shared" si="1"/>
        <v>-0.31729879740980571</v>
      </c>
      <c r="V10" s="74">
        <f t="shared" si="2"/>
        <v>0.11058664868509778</v>
      </c>
      <c r="W10" s="74">
        <f t="shared" si="2"/>
        <v>0.14539340954942839</v>
      </c>
      <c r="X10" s="118" t="str">
        <f ca="1">IFERROR(__xludf.DUMMYFUNCTION("SPARKLINE(GOOGLEFINANCE(O103,""PRICE"",TODAY()-365,TODAY()))"),"")</f>
        <v/>
      </c>
      <c r="Y10" s="119"/>
    </row>
    <row r="11" spans="1:27" ht="15.75" customHeight="1" x14ac:dyDescent="0.3">
      <c r="B11" s="113" t="s">
        <v>162</v>
      </c>
      <c r="C11" s="103">
        <v>30725.933075000001</v>
      </c>
      <c r="E11" s="103"/>
      <c r="F11" s="103"/>
      <c r="G11" s="103" t="s">
        <v>162</v>
      </c>
      <c r="H11" s="103">
        <v>7972</v>
      </c>
      <c r="I11" s="103"/>
      <c r="J11" s="103"/>
      <c r="K11" s="103" t="s">
        <v>162</v>
      </c>
      <c r="L11" s="115">
        <v>0.36602502385962632</v>
      </c>
      <c r="M11" s="103"/>
      <c r="O11" s="113" t="s">
        <v>161</v>
      </c>
      <c r="P11" s="41">
        <v>5045</v>
      </c>
      <c r="Q11" s="41">
        <v>5685</v>
      </c>
      <c r="R11" s="74">
        <f t="shared" si="0"/>
        <v>-0.11257695690413372</v>
      </c>
      <c r="S11" s="87">
        <v>916</v>
      </c>
      <c r="T11" s="87">
        <v>1323</v>
      </c>
      <c r="U11" s="74">
        <f t="shared" si="1"/>
        <v>-0.30763416477702188</v>
      </c>
      <c r="V11" s="74">
        <f t="shared" si="2"/>
        <v>0.18156590683845392</v>
      </c>
      <c r="W11" s="74">
        <f t="shared" si="2"/>
        <v>0.23271767810026386</v>
      </c>
      <c r="X11" s="118" t="str">
        <f ca="1">IFERROR(__xludf.DUMMYFUNCTION("SPARKLINE(GOOGLEFINANCE(O104,""PRICE"",TODAY()-365,TODAY()))"),"")</f>
        <v/>
      </c>
      <c r="Y11" s="119"/>
    </row>
    <row r="12" spans="1:27" ht="15.75" customHeight="1" x14ac:dyDescent="0.3">
      <c r="B12" s="113" t="s">
        <v>163</v>
      </c>
      <c r="C12" s="103">
        <v>23316.257722499999</v>
      </c>
      <c r="E12" s="103"/>
      <c r="F12" s="103"/>
      <c r="G12" s="103" t="s">
        <v>163</v>
      </c>
      <c r="H12" s="103">
        <v>7282</v>
      </c>
      <c r="I12" s="103"/>
      <c r="J12" s="103"/>
      <c r="K12" s="103" t="s">
        <v>163</v>
      </c>
      <c r="L12" s="115">
        <v>0.1385611956259134</v>
      </c>
      <c r="M12" s="103"/>
      <c r="O12" s="113" t="s">
        <v>164</v>
      </c>
      <c r="P12" s="41">
        <v>7499</v>
      </c>
      <c r="Q12" s="41">
        <v>7972</v>
      </c>
      <c r="R12" s="74">
        <f t="shared" si="0"/>
        <v>-5.9332664325137952E-2</v>
      </c>
      <c r="S12" s="87">
        <v>798</v>
      </c>
      <c r="T12" s="87">
        <v>852</v>
      </c>
      <c r="U12" s="74">
        <f t="shared" si="1"/>
        <v>-6.3380281690140872E-2</v>
      </c>
      <c r="V12" s="74">
        <f t="shared" si="2"/>
        <v>0.10641418855847447</v>
      </c>
      <c r="W12" s="74">
        <f t="shared" si="2"/>
        <v>0.10687405920722529</v>
      </c>
      <c r="X12" s="120" t="str">
        <f ca="1">IFERROR(__xludf.DUMMYFUNCTION("SPARKLINE(GOOGLEFINANCE(O105,""PRICE"",TODAY()-365,TODAY()))"),"")</f>
        <v/>
      </c>
      <c r="Y12" s="119"/>
    </row>
    <row r="13" spans="1:27" ht="15.75" customHeight="1" x14ac:dyDescent="0.3">
      <c r="B13" s="113" t="s">
        <v>165</v>
      </c>
      <c r="C13" s="103">
        <v>18739.673875</v>
      </c>
      <c r="E13" s="103"/>
      <c r="F13" s="103"/>
      <c r="G13" s="103" t="s">
        <v>165</v>
      </c>
      <c r="H13" s="103">
        <v>5427</v>
      </c>
      <c r="I13" s="103"/>
      <c r="J13" s="103"/>
      <c r="K13" s="103" t="s">
        <v>165</v>
      </c>
      <c r="L13" s="115">
        <v>0.10215004567551755</v>
      </c>
      <c r="M13" s="103"/>
      <c r="O13" s="113" t="s">
        <v>163</v>
      </c>
      <c r="P13" s="41">
        <v>6191</v>
      </c>
      <c r="Q13" s="41">
        <v>6613</v>
      </c>
      <c r="R13" s="74">
        <f t="shared" si="0"/>
        <v>-6.3813700287312813E-2</v>
      </c>
      <c r="S13" s="87">
        <v>447</v>
      </c>
      <c r="T13" s="87">
        <v>545</v>
      </c>
      <c r="U13" s="74">
        <f t="shared" si="1"/>
        <v>-0.1798165137614679</v>
      </c>
      <c r="V13" s="74">
        <f t="shared" si="2"/>
        <v>7.2201582942981749E-2</v>
      </c>
      <c r="W13" s="74">
        <f t="shared" si="2"/>
        <v>8.2413428096174204E-2</v>
      </c>
      <c r="X13" s="120" t="str">
        <f ca="1">IFERROR(__xludf.DUMMYFUNCTION("SPARKLINE(GOOGLEFINANCE(O106,""PRICE"",TODAY()-365,TODAY()))"),"")</f>
        <v/>
      </c>
      <c r="Y13" s="119"/>
    </row>
    <row r="14" spans="1:27" ht="15.75" customHeight="1" x14ac:dyDescent="0.3">
      <c r="B14" s="113" t="s">
        <v>166</v>
      </c>
      <c r="C14" s="103">
        <v>17688.782200000001</v>
      </c>
      <c r="E14" s="103"/>
      <c r="F14" s="103"/>
      <c r="G14" s="103" t="s">
        <v>166</v>
      </c>
      <c r="H14" s="103">
        <v>2085</v>
      </c>
      <c r="I14" s="103"/>
      <c r="J14" s="103"/>
      <c r="K14" s="103" t="s">
        <v>166</v>
      </c>
      <c r="L14" s="115">
        <v>0.22494574302872405</v>
      </c>
      <c r="M14" s="103"/>
      <c r="O14" s="113" t="s">
        <v>165</v>
      </c>
      <c r="P14" s="41">
        <v>4709</v>
      </c>
      <c r="Q14" s="41">
        <v>5428</v>
      </c>
      <c r="R14" s="74">
        <f t="shared" si="0"/>
        <v>-0.1324613117170228</v>
      </c>
      <c r="S14" s="87">
        <v>358</v>
      </c>
      <c r="T14" s="87">
        <v>507</v>
      </c>
      <c r="U14" s="74">
        <f t="shared" si="1"/>
        <v>-0.29388560157790922</v>
      </c>
      <c r="V14" s="74">
        <f t="shared" si="2"/>
        <v>7.6024633680186873E-2</v>
      </c>
      <c r="W14" s="74">
        <f t="shared" si="2"/>
        <v>9.3404568901989685E-2</v>
      </c>
      <c r="X14" s="120" t="str">
        <f ca="1">IFERROR(__xludf.DUMMYFUNCTION("SPARKLINE(GOOGLEFINANCE(O107,""PRICE"",TODAY()-365,TODAY()))"),"")</f>
        <v/>
      </c>
      <c r="Y14" s="119"/>
    </row>
    <row r="15" spans="1:27" ht="15.75" customHeight="1" x14ac:dyDescent="0.3">
      <c r="B15" s="113" t="s">
        <v>167</v>
      </c>
      <c r="C15" s="103">
        <v>17713.542799999999</v>
      </c>
      <c r="E15" s="103"/>
      <c r="F15" s="103"/>
      <c r="G15" s="103" t="s">
        <v>167</v>
      </c>
      <c r="H15" s="103">
        <v>4172</v>
      </c>
      <c r="I15" s="103"/>
      <c r="J15" s="103"/>
      <c r="K15" s="103" t="s">
        <v>167</v>
      </c>
      <c r="L15" s="115">
        <v>0.15024647160757487</v>
      </c>
      <c r="M15" s="103"/>
      <c r="O15" s="113" t="s">
        <v>166</v>
      </c>
      <c r="P15" s="41">
        <v>1891</v>
      </c>
      <c r="Q15" s="41">
        <v>2078</v>
      </c>
      <c r="R15" s="74">
        <f t="shared" si="0"/>
        <v>-8.9990375360923913E-2</v>
      </c>
      <c r="S15" s="87">
        <v>408</v>
      </c>
      <c r="T15" s="87">
        <v>458</v>
      </c>
      <c r="U15" s="74">
        <f t="shared" si="1"/>
        <v>-0.10917030567685593</v>
      </c>
      <c r="V15" s="74">
        <f t="shared" si="2"/>
        <v>0.2157588577472237</v>
      </c>
      <c r="W15" s="74">
        <f t="shared" si="2"/>
        <v>0.22040423484119345</v>
      </c>
      <c r="X15" s="120" t="str">
        <f ca="1">IFERROR(__xludf.DUMMYFUNCTION("SPARKLINE(GOOGLEFINANCE(O108,""PRICE"",TODAY()-365,TODAY()))"),"")</f>
        <v/>
      </c>
      <c r="Y15" s="119"/>
    </row>
    <row r="16" spans="1:27" ht="15.75" customHeight="1" x14ac:dyDescent="0.3">
      <c r="B16" s="113" t="s">
        <v>168</v>
      </c>
      <c r="C16" s="103">
        <v>15506.1782</v>
      </c>
      <c r="E16" s="103"/>
      <c r="F16" s="103"/>
      <c r="G16" s="103" t="s">
        <v>168</v>
      </c>
      <c r="H16" s="103">
        <v>936</v>
      </c>
      <c r="I16" s="103"/>
      <c r="J16" s="103"/>
      <c r="K16" s="103" t="s">
        <v>168</v>
      </c>
      <c r="L16" s="115">
        <v>0.30958567246848689</v>
      </c>
      <c r="M16" s="103"/>
      <c r="O16" s="113" t="s">
        <v>167</v>
      </c>
      <c r="P16" s="41">
        <v>4037</v>
      </c>
      <c r="Q16" s="41">
        <v>4172</v>
      </c>
      <c r="R16" s="74">
        <f t="shared" si="0"/>
        <v>-3.2358581016299182E-2</v>
      </c>
      <c r="S16" s="87">
        <v>372</v>
      </c>
      <c r="T16" s="87">
        <v>216</v>
      </c>
      <c r="U16" s="74">
        <f t="shared" si="1"/>
        <v>0.72222222222222232</v>
      </c>
      <c r="V16" s="74">
        <f t="shared" si="2"/>
        <v>9.2147634381966811E-2</v>
      </c>
      <c r="W16" s="74">
        <f t="shared" si="2"/>
        <v>5.1773729626078617E-2</v>
      </c>
      <c r="X16" s="120" t="str">
        <f ca="1">IFERROR(__xludf.DUMMYFUNCTION("SPARKLINE(GOOGLEFINANCE(O109,""PRICE"",TODAY()-365,TODAY()))"),"")</f>
        <v/>
      </c>
      <c r="Y16" s="119"/>
    </row>
    <row r="17" spans="2:25" ht="15.75" customHeight="1" x14ac:dyDescent="0.3">
      <c r="B17" s="113" t="s">
        <v>169</v>
      </c>
      <c r="C17" s="103">
        <v>14403.942541599999</v>
      </c>
      <c r="E17" s="103"/>
      <c r="F17" s="103"/>
      <c r="G17" s="103" t="s">
        <v>169</v>
      </c>
      <c r="H17" s="103">
        <v>3023</v>
      </c>
      <c r="I17" s="103"/>
      <c r="J17" s="103"/>
      <c r="K17" s="103" t="s">
        <v>169</v>
      </c>
      <c r="L17" s="115">
        <v>0.28584298293062282</v>
      </c>
      <c r="M17" s="103"/>
      <c r="O17" s="113" t="s">
        <v>168</v>
      </c>
      <c r="P17" s="41">
        <v>823</v>
      </c>
      <c r="Q17" s="41">
        <v>936</v>
      </c>
      <c r="R17" s="74">
        <f t="shared" si="0"/>
        <v>-0.12072649572649574</v>
      </c>
      <c r="S17" s="87">
        <v>275</v>
      </c>
      <c r="T17" s="87">
        <v>295</v>
      </c>
      <c r="U17" s="74">
        <f t="shared" si="1"/>
        <v>-6.7796610169491567E-2</v>
      </c>
      <c r="V17" s="74">
        <f t="shared" si="2"/>
        <v>0.33414337788578374</v>
      </c>
      <c r="W17" s="74">
        <f t="shared" si="2"/>
        <v>0.31517094017094016</v>
      </c>
      <c r="X17" s="120" t="str">
        <f ca="1">IFERROR(__xludf.DUMMYFUNCTION("SPARKLINE(GOOGLEFINANCE(O110,""PRICE"",TODAY()-365,TODAY()))"),"")</f>
        <v/>
      </c>
      <c r="Y17" s="119"/>
    </row>
    <row r="18" spans="2:25" ht="15.75" customHeight="1" x14ac:dyDescent="0.3">
      <c r="B18" s="113" t="s">
        <v>170</v>
      </c>
      <c r="C18" s="103">
        <v>13158.834559999999</v>
      </c>
      <c r="E18" s="103"/>
      <c r="F18" s="103"/>
      <c r="G18" s="103" t="s">
        <v>170</v>
      </c>
      <c r="H18" s="103">
        <v>13645</v>
      </c>
      <c r="I18" s="103"/>
      <c r="J18" s="103"/>
      <c r="K18" s="103" t="s">
        <v>170</v>
      </c>
      <c r="L18" s="115">
        <v>0.18983060934892348</v>
      </c>
      <c r="M18" s="103"/>
      <c r="O18" s="113" t="s">
        <v>169</v>
      </c>
      <c r="P18" s="41">
        <v>2173</v>
      </c>
      <c r="Q18" s="41">
        <v>3023</v>
      </c>
      <c r="R18" s="74">
        <f t="shared" si="0"/>
        <v>-0.28117763810783991</v>
      </c>
      <c r="S18" s="87">
        <v>447</v>
      </c>
      <c r="T18" s="87">
        <v>618</v>
      </c>
      <c r="U18" s="74">
        <f t="shared" si="1"/>
        <v>-0.27669902912621358</v>
      </c>
      <c r="V18" s="74">
        <f t="shared" si="2"/>
        <v>0.20570639668660837</v>
      </c>
      <c r="W18" s="74">
        <f t="shared" si="2"/>
        <v>0.20443268276546478</v>
      </c>
      <c r="X18" s="120" t="str">
        <f ca="1">IFERROR(__xludf.DUMMYFUNCTION("SPARKLINE(GOOGLEFINANCE(O111,""PRICE"",TODAY()-365,TODAY()))"),"")</f>
        <v/>
      </c>
      <c r="Y18" s="119"/>
    </row>
    <row r="19" spans="2:25" ht="15.75" customHeight="1" x14ac:dyDescent="0.3">
      <c r="B19" s="113" t="s">
        <v>171</v>
      </c>
      <c r="C19" s="103">
        <v>11783.37667</v>
      </c>
      <c r="E19" s="103"/>
      <c r="F19" s="103"/>
      <c r="G19" s="103" t="s">
        <v>171</v>
      </c>
      <c r="H19" s="103">
        <v>1865</v>
      </c>
      <c r="I19" s="103"/>
      <c r="J19" s="103"/>
      <c r="K19" s="103" t="s">
        <v>171</v>
      </c>
      <c r="L19" s="115">
        <v>0.21790641863949589</v>
      </c>
      <c r="M19" s="103"/>
      <c r="O19" s="113" t="s">
        <v>170</v>
      </c>
      <c r="P19" s="41">
        <v>13256</v>
      </c>
      <c r="Q19" s="41">
        <v>13645</v>
      </c>
      <c r="R19" s="74">
        <f t="shared" si="0"/>
        <v>-2.8508611212898494E-2</v>
      </c>
      <c r="S19" s="87">
        <v>355</v>
      </c>
      <c r="T19" s="87">
        <v>403</v>
      </c>
      <c r="U19" s="74">
        <f t="shared" si="1"/>
        <v>-0.11910669975186106</v>
      </c>
      <c r="V19" s="74">
        <f t="shared" si="2"/>
        <v>2.6780325890162944E-2</v>
      </c>
      <c r="W19" s="74">
        <f t="shared" si="2"/>
        <v>2.9534628068889703E-2</v>
      </c>
      <c r="X19" s="120" t="str">
        <f ca="1">IFERROR(__xludf.DUMMYFUNCTION("SPARKLINE(GOOGLEFINANCE(O112,""PRICE"",TODAY()-365,TODAY()))"),"")</f>
        <v/>
      </c>
      <c r="Y19" s="119"/>
    </row>
    <row r="20" spans="2:25" ht="15.75" customHeight="1" x14ac:dyDescent="0.3">
      <c r="B20" s="113" t="s">
        <v>172</v>
      </c>
      <c r="C20" s="103">
        <v>11228.3271183</v>
      </c>
      <c r="E20" s="103"/>
      <c r="F20" s="103"/>
      <c r="G20" s="103" t="s">
        <v>172</v>
      </c>
      <c r="H20" s="103">
        <v>651</v>
      </c>
      <c r="I20" s="103"/>
      <c r="J20" s="103"/>
      <c r="K20" s="103" t="s">
        <v>172</v>
      </c>
      <c r="L20" s="115">
        <v>0.264960563797497</v>
      </c>
      <c r="M20" s="103"/>
      <c r="O20" s="113" t="s">
        <v>171</v>
      </c>
      <c r="P20" s="41">
        <v>1496</v>
      </c>
      <c r="Q20" s="41">
        <v>1628</v>
      </c>
      <c r="R20" s="74">
        <f t="shared" si="0"/>
        <v>-8.108108108108103E-2</v>
      </c>
      <c r="S20" s="87">
        <v>159</v>
      </c>
      <c r="T20" s="87">
        <v>229</v>
      </c>
      <c r="U20" s="74">
        <f t="shared" si="1"/>
        <v>-0.30567685589519655</v>
      </c>
      <c r="V20" s="74">
        <f t="shared" si="2"/>
        <v>0.10628342245989304</v>
      </c>
      <c r="W20" s="74">
        <f t="shared" si="2"/>
        <v>0.14066339066339067</v>
      </c>
      <c r="X20" s="120" t="str">
        <f ca="1">IFERROR(__xludf.DUMMYFUNCTION("SPARKLINE(GOOGLEFINANCE(O113,""PRICE"",TODAY()-365,TODAY()))"),"")</f>
        <v/>
      </c>
      <c r="Y20" s="119"/>
    </row>
    <row r="21" spans="2:25" ht="15.75" customHeight="1" x14ac:dyDescent="0.3">
      <c r="B21" s="113" t="s">
        <v>173</v>
      </c>
      <c r="C21" s="103">
        <v>10413.261181</v>
      </c>
      <c r="E21" s="103"/>
      <c r="F21" s="103"/>
      <c r="G21" s="103" t="s">
        <v>173</v>
      </c>
      <c r="H21" s="103">
        <v>1602</v>
      </c>
      <c r="I21" s="103"/>
      <c r="J21" s="103"/>
      <c r="K21" s="103" t="s">
        <v>173</v>
      </c>
      <c r="L21" s="115">
        <v>0.36264154727692621</v>
      </c>
      <c r="M21" s="103"/>
      <c r="O21" s="113" t="s">
        <v>172</v>
      </c>
      <c r="P21" s="41">
        <v>664</v>
      </c>
      <c r="Q21" s="41">
        <v>651</v>
      </c>
      <c r="R21" s="74">
        <f t="shared" si="0"/>
        <v>1.9969278033794113E-2</v>
      </c>
      <c r="S21" s="87">
        <v>125</v>
      </c>
      <c r="T21" s="87">
        <v>130</v>
      </c>
      <c r="U21" s="74">
        <f t="shared" si="1"/>
        <v>-3.8461538461538436E-2</v>
      </c>
      <c r="V21" s="74">
        <f t="shared" si="2"/>
        <v>0.18825301204819278</v>
      </c>
      <c r="W21" s="74">
        <f t="shared" si="2"/>
        <v>0.19969278033794163</v>
      </c>
      <c r="X21" s="120" t="str">
        <f ca="1">IFERROR(__xludf.DUMMYFUNCTION("SPARKLINE(GOOGLEFINANCE(O114,""PRICE"",TODAY()-365,TODAY()))"),"")</f>
        <v/>
      </c>
      <c r="Y21" s="119"/>
    </row>
    <row r="22" spans="2:25" ht="15.75" customHeight="1" x14ac:dyDescent="0.3">
      <c r="B22" s="113" t="s">
        <v>174</v>
      </c>
      <c r="C22" s="103">
        <v>9214.9057279999997</v>
      </c>
      <c r="E22" s="103"/>
      <c r="F22" s="103"/>
      <c r="G22" s="103" t="s">
        <v>174</v>
      </c>
      <c r="H22" s="103">
        <v>4445</v>
      </c>
      <c r="I22" s="103"/>
      <c r="J22" s="103"/>
      <c r="K22" s="103" t="s">
        <v>174</v>
      </c>
      <c r="L22" s="115">
        <v>0.12533407819159215</v>
      </c>
      <c r="M22" s="103"/>
      <c r="O22" s="113" t="s">
        <v>173</v>
      </c>
      <c r="P22" s="41">
        <v>1651</v>
      </c>
      <c r="Q22" s="41">
        <v>1602</v>
      </c>
      <c r="R22" s="74">
        <f t="shared" si="0"/>
        <v>3.0586766541822685E-2</v>
      </c>
      <c r="S22" s="87">
        <v>228</v>
      </c>
      <c r="T22" s="87">
        <v>217</v>
      </c>
      <c r="U22" s="74">
        <f t="shared" si="1"/>
        <v>5.0691244239631228E-2</v>
      </c>
      <c r="V22" s="74">
        <f t="shared" si="2"/>
        <v>0.13809812235009086</v>
      </c>
      <c r="W22" s="74">
        <f t="shared" si="2"/>
        <v>0.13545568039950062</v>
      </c>
      <c r="X22" s="120" t="str">
        <f ca="1">IFERROR(__xludf.DUMMYFUNCTION("SPARKLINE(GOOGLEFINANCE(O115,""PRICE"",TODAY()-365,TODAY()))"),"")</f>
        <v/>
      </c>
      <c r="Y22" s="119"/>
    </row>
    <row r="23" spans="2:25" ht="15.75" customHeight="1" x14ac:dyDescent="0.3">
      <c r="B23" s="113" t="s">
        <v>175</v>
      </c>
      <c r="C23" s="103">
        <v>7645.8078949000001</v>
      </c>
      <c r="E23" s="103"/>
      <c r="F23" s="103"/>
      <c r="G23" s="121" t="s">
        <v>175</v>
      </c>
      <c r="H23" s="121">
        <v>1441</v>
      </c>
      <c r="I23" s="103"/>
      <c r="J23" s="103"/>
      <c r="K23" s="103" t="s">
        <v>175</v>
      </c>
      <c r="L23" s="115">
        <v>0.14227100923130154</v>
      </c>
      <c r="M23" s="103"/>
      <c r="O23" s="113" t="s">
        <v>174</v>
      </c>
      <c r="P23" s="41">
        <v>3980</v>
      </c>
      <c r="Q23" s="41">
        <v>4443</v>
      </c>
      <c r="R23" s="74">
        <f t="shared" si="0"/>
        <v>-0.10420886788206163</v>
      </c>
      <c r="S23" s="87">
        <v>349</v>
      </c>
      <c r="T23" s="87">
        <v>381</v>
      </c>
      <c r="U23" s="74">
        <f t="shared" si="1"/>
        <v>-8.3989501312335957E-2</v>
      </c>
      <c r="V23" s="74">
        <f t="shared" si="2"/>
        <v>8.7688442211055276E-2</v>
      </c>
      <c r="W23" s="74">
        <f t="shared" si="2"/>
        <v>8.5752869682646865E-2</v>
      </c>
      <c r="X23" s="120" t="str">
        <f ca="1">IFERROR(__xludf.DUMMYFUNCTION("SPARKLINE(GOOGLEFINANCE(O116,""PRICE"",TODAY()-365,TODAY()))"),"")</f>
        <v/>
      </c>
      <c r="Y23" s="119"/>
    </row>
    <row r="24" spans="2:25" ht="15.75" customHeight="1" x14ac:dyDescent="0.3">
      <c r="B24" s="122" t="s">
        <v>176</v>
      </c>
      <c r="C24" s="121">
        <v>10927</v>
      </c>
      <c r="E24" s="103"/>
      <c r="F24" s="103"/>
      <c r="G24" s="103"/>
      <c r="H24" s="103"/>
      <c r="I24" s="103"/>
      <c r="J24" s="103"/>
      <c r="K24" s="103"/>
      <c r="L24" s="103"/>
      <c r="M24" s="103"/>
      <c r="O24" s="122" t="s">
        <v>175</v>
      </c>
      <c r="P24" s="41">
        <v>1381</v>
      </c>
      <c r="Q24" s="41">
        <v>1441</v>
      </c>
      <c r="R24" s="74">
        <f t="shared" si="0"/>
        <v>-4.1637751561415692E-2</v>
      </c>
      <c r="S24" s="87">
        <v>396</v>
      </c>
      <c r="T24" s="87">
        <v>384</v>
      </c>
      <c r="U24" s="74">
        <f t="shared" si="1"/>
        <v>3.125E-2</v>
      </c>
      <c r="V24" s="74">
        <f t="shared" si="2"/>
        <v>0.28674873280231716</v>
      </c>
      <c r="W24" s="74">
        <f t="shared" si="2"/>
        <v>0.26648160999306036</v>
      </c>
      <c r="X24" s="120" t="str">
        <f ca="1">IFERROR(__xludf.DUMMYFUNCTION("SPARKLINE(GOOGLEFINANCE(O117,""PRICE"",TODAY()-365,TODAY()))"),"")</f>
        <v/>
      </c>
      <c r="Y24" s="119"/>
    </row>
    <row r="25" spans="2:25" ht="15.75" customHeight="1" x14ac:dyDescent="0.3">
      <c r="C25" s="103"/>
      <c r="E25" s="103"/>
      <c r="F25" s="103"/>
      <c r="G25" s="103"/>
      <c r="H25" s="103"/>
      <c r="I25" s="103"/>
      <c r="J25" s="103"/>
      <c r="K25" s="103"/>
      <c r="L25" s="103"/>
      <c r="M25" s="103"/>
      <c r="R25" s="103"/>
      <c r="S25" s="103"/>
      <c r="T25" s="103"/>
      <c r="U25" s="103"/>
      <c r="V25" s="103"/>
      <c r="W25" s="103"/>
      <c r="X25" s="103"/>
      <c r="Y25" s="103"/>
    </row>
    <row r="26" spans="2:25" ht="15.75" customHeight="1" x14ac:dyDescent="0.3">
      <c r="B26" s="123" t="s">
        <v>177</v>
      </c>
      <c r="C26" s="124">
        <f>SUM(C6:C24)</f>
        <v>447902.86663119996</v>
      </c>
      <c r="E26" s="103"/>
      <c r="F26" s="103"/>
      <c r="G26" s="123" t="s">
        <v>177</v>
      </c>
      <c r="H26" s="124">
        <f>SUM(H6:H24)</f>
        <v>86827</v>
      </c>
      <c r="I26" s="103"/>
      <c r="J26" s="103"/>
      <c r="K26" s="123" t="s">
        <v>177</v>
      </c>
      <c r="L26" s="125">
        <v>0.17</v>
      </c>
      <c r="M26" s="103"/>
      <c r="O26" s="126" t="s">
        <v>136</v>
      </c>
      <c r="P26" s="127">
        <f t="shared" ref="P26:Q26" si="3">SUM(P9:P24)</f>
        <v>80313</v>
      </c>
      <c r="Q26" s="127">
        <f t="shared" si="3"/>
        <v>85986</v>
      </c>
      <c r="R26" s="128">
        <f>(P26/Q26)-1</f>
        <v>-6.5975856534784771E-2</v>
      </c>
      <c r="S26" s="129">
        <f t="shared" ref="S26:T26" si="4">SUM(S9:S24)</f>
        <v>8838</v>
      </c>
      <c r="T26" s="129">
        <f t="shared" si="4"/>
        <v>10009</v>
      </c>
      <c r="U26" s="128">
        <f>(S26/T26)-1</f>
        <v>-0.11699470476571083</v>
      </c>
      <c r="V26" s="128">
        <f t="shared" ref="V26:W26" si="5">S26/P26</f>
        <v>0.11004445108512943</v>
      </c>
      <c r="W26" s="128">
        <f t="shared" si="5"/>
        <v>0.11640267020212593</v>
      </c>
      <c r="X26" s="130" t="s">
        <v>178</v>
      </c>
      <c r="Y26" s="117"/>
    </row>
    <row r="27" spans="2:25" ht="15.75" customHeight="1" x14ac:dyDescent="0.3">
      <c r="C27" s="103">
        <f>C26*80%</f>
        <v>358322.29330496001</v>
      </c>
      <c r="E27" s="103"/>
      <c r="F27" s="103"/>
      <c r="G27" s="103"/>
      <c r="H27" s="103"/>
      <c r="I27" s="103"/>
      <c r="J27" s="103"/>
      <c r="K27" s="103"/>
      <c r="L27" s="103"/>
      <c r="M27" s="103"/>
      <c r="O27" s="104"/>
      <c r="T27" s="103"/>
      <c r="U27" s="103"/>
    </row>
    <row r="28" spans="2:25" ht="15.75" customHeight="1" x14ac:dyDescent="0.3">
      <c r="E28" s="103"/>
      <c r="F28" s="103"/>
      <c r="G28" s="103"/>
      <c r="H28" s="103"/>
      <c r="I28" s="103"/>
      <c r="J28" s="103"/>
      <c r="K28" s="103"/>
      <c r="L28" s="103"/>
      <c r="M28" s="103"/>
      <c r="O28" s="104"/>
      <c r="T28" s="103"/>
      <c r="U28" s="103"/>
    </row>
    <row r="29" spans="2:25" ht="15.75" customHeight="1" x14ac:dyDescent="0.3">
      <c r="E29" s="103"/>
      <c r="F29" s="103"/>
      <c r="G29" s="103"/>
      <c r="H29" s="103"/>
      <c r="I29" s="103"/>
      <c r="J29" s="103"/>
      <c r="K29" s="103"/>
      <c r="L29" s="103"/>
      <c r="M29" s="103"/>
      <c r="O29" s="104"/>
      <c r="T29" s="103"/>
      <c r="U29" s="103"/>
    </row>
    <row r="30" spans="2:25" ht="15.75" customHeight="1" x14ac:dyDescent="0.3">
      <c r="C30" s="103"/>
      <c r="E30" s="103"/>
      <c r="F30" s="103"/>
      <c r="G30" s="103"/>
      <c r="H30" s="103"/>
      <c r="I30" s="103"/>
      <c r="J30" s="103"/>
      <c r="K30" s="103"/>
      <c r="L30" s="103"/>
      <c r="M30" s="103"/>
      <c r="O30" s="104"/>
      <c r="T30" s="103"/>
      <c r="U30" s="103"/>
    </row>
    <row r="31" spans="2:25" ht="15.75" customHeight="1" x14ac:dyDescent="0.3">
      <c r="C31" s="103"/>
      <c r="E31" s="103"/>
      <c r="F31" s="103"/>
      <c r="G31" s="103"/>
      <c r="H31" s="103"/>
      <c r="I31" s="103"/>
      <c r="J31" s="103"/>
      <c r="K31" s="103"/>
      <c r="L31" s="103"/>
      <c r="M31" s="103"/>
      <c r="O31" s="104"/>
      <c r="T31" s="103"/>
      <c r="U31" s="103"/>
    </row>
    <row r="32" spans="2:25" ht="15.75" customHeight="1" x14ac:dyDescent="0.3">
      <c r="C32" s="103"/>
      <c r="E32" s="103"/>
      <c r="F32" s="103"/>
      <c r="G32" s="103"/>
      <c r="H32" s="103"/>
      <c r="I32" s="103"/>
      <c r="J32" s="103"/>
      <c r="K32" s="103"/>
      <c r="L32" s="103"/>
      <c r="M32" s="103"/>
      <c r="O32" s="104"/>
      <c r="T32" s="103"/>
      <c r="U32" s="103"/>
    </row>
    <row r="33" spans="1:21" ht="15.75" customHeight="1" x14ac:dyDescent="0.3">
      <c r="C33" s="103"/>
      <c r="E33" s="103"/>
      <c r="F33" s="103"/>
      <c r="G33" s="103"/>
      <c r="H33" s="103"/>
      <c r="I33" s="103"/>
      <c r="J33" s="103"/>
      <c r="K33" s="103"/>
      <c r="L33" s="103"/>
      <c r="M33" s="103"/>
      <c r="O33" s="104"/>
      <c r="T33" s="103"/>
      <c r="U33" s="103"/>
    </row>
    <row r="34" spans="1:21" ht="15.75" customHeight="1" x14ac:dyDescent="0.3">
      <c r="C34" s="103"/>
      <c r="E34" s="103"/>
      <c r="F34" s="103"/>
      <c r="G34" s="103"/>
      <c r="H34" s="103"/>
      <c r="I34" s="103"/>
      <c r="J34" s="103"/>
      <c r="K34" s="103"/>
      <c r="L34" s="103"/>
      <c r="M34" s="103"/>
      <c r="O34" s="104"/>
      <c r="T34" s="103"/>
      <c r="U34" s="103"/>
    </row>
    <row r="35" spans="1:21" ht="15.75" customHeight="1" x14ac:dyDescent="0.3">
      <c r="C35" s="103"/>
      <c r="E35" s="103"/>
      <c r="F35" s="103"/>
      <c r="G35" s="103"/>
      <c r="H35" s="103"/>
      <c r="I35" s="103"/>
      <c r="J35" s="103"/>
      <c r="K35" s="103"/>
      <c r="L35" s="103"/>
      <c r="M35" s="103"/>
      <c r="O35" s="104"/>
      <c r="T35" s="103"/>
      <c r="U35" s="103"/>
    </row>
    <row r="36" spans="1:21" ht="15.75" customHeight="1" x14ac:dyDescent="0.3">
      <c r="C36" s="103"/>
      <c r="E36" s="103"/>
      <c r="F36" s="103"/>
      <c r="G36" s="103"/>
      <c r="H36" s="103"/>
      <c r="I36" s="103"/>
      <c r="J36" s="103"/>
      <c r="K36" s="103"/>
      <c r="L36" s="103"/>
      <c r="M36" s="103"/>
      <c r="O36" s="104"/>
      <c r="T36" s="103"/>
      <c r="U36" s="103"/>
    </row>
    <row r="37" spans="1:21" ht="15.75" customHeight="1" x14ac:dyDescent="0.3">
      <c r="C37" s="103"/>
      <c r="E37" s="103"/>
      <c r="F37" s="103"/>
      <c r="G37" s="103"/>
      <c r="H37" s="103"/>
      <c r="I37" s="103"/>
      <c r="J37" s="103"/>
      <c r="K37" s="103"/>
      <c r="L37" s="103"/>
      <c r="M37" s="103"/>
      <c r="O37" s="104"/>
      <c r="T37" s="103"/>
      <c r="U37" s="103"/>
    </row>
    <row r="38" spans="1:21" ht="15.75" customHeight="1" x14ac:dyDescent="0.3">
      <c r="C38" s="103"/>
      <c r="E38" s="103"/>
      <c r="F38" s="103"/>
      <c r="G38" s="103"/>
      <c r="H38" s="103"/>
      <c r="I38" s="103"/>
      <c r="J38" s="103"/>
      <c r="K38" s="103"/>
      <c r="L38" s="103"/>
      <c r="M38" s="103"/>
      <c r="O38" s="104"/>
      <c r="T38" s="103"/>
      <c r="U38" s="103"/>
    </row>
    <row r="39" spans="1:21" ht="15.75" customHeight="1" x14ac:dyDescent="0.3">
      <c r="C39" s="103"/>
      <c r="E39" s="103"/>
      <c r="F39" s="103"/>
      <c r="G39" s="103"/>
      <c r="H39" s="103"/>
      <c r="I39" s="103"/>
      <c r="J39" s="103"/>
      <c r="K39" s="103"/>
      <c r="L39" s="103"/>
      <c r="M39" s="103"/>
      <c r="O39" s="104"/>
      <c r="T39" s="103"/>
      <c r="U39" s="103"/>
    </row>
    <row r="40" spans="1:21" ht="15.75" customHeight="1" x14ac:dyDescent="0.3">
      <c r="C40" s="103"/>
      <c r="E40" s="103"/>
      <c r="F40" s="103"/>
      <c r="G40" s="103"/>
      <c r="H40" s="103"/>
      <c r="I40" s="103"/>
      <c r="J40" s="103"/>
      <c r="K40" s="103"/>
      <c r="L40" s="103"/>
      <c r="M40" s="103"/>
      <c r="O40" s="104"/>
      <c r="T40" s="103"/>
      <c r="U40" s="103"/>
    </row>
    <row r="41" spans="1:21" ht="15.75" customHeight="1" x14ac:dyDescent="0.3">
      <c r="C41" s="103"/>
      <c r="E41" s="103"/>
      <c r="F41" s="103"/>
      <c r="G41" s="103"/>
      <c r="H41" s="103"/>
      <c r="I41" s="103"/>
      <c r="J41" s="103"/>
      <c r="K41" s="103"/>
      <c r="L41" s="103"/>
      <c r="M41" s="103"/>
      <c r="O41" s="104"/>
      <c r="T41" s="103"/>
      <c r="U41" s="103"/>
    </row>
    <row r="42" spans="1:21" ht="15.75" customHeight="1" x14ac:dyDescent="0.3">
      <c r="C42" s="103"/>
      <c r="E42" s="103"/>
      <c r="F42" s="103"/>
      <c r="G42" s="103"/>
      <c r="H42" s="103"/>
      <c r="I42" s="103"/>
      <c r="J42" s="103"/>
      <c r="K42" s="103"/>
      <c r="L42" s="103"/>
      <c r="M42" s="103"/>
      <c r="O42" s="104"/>
      <c r="T42" s="103"/>
      <c r="U42" s="103"/>
    </row>
    <row r="43" spans="1:21" ht="15.75" customHeight="1" x14ac:dyDescent="0.3">
      <c r="C43" s="103"/>
      <c r="E43" s="103"/>
      <c r="F43" s="103"/>
      <c r="G43" s="103"/>
      <c r="H43" s="103"/>
      <c r="I43" s="103"/>
      <c r="J43" s="103"/>
      <c r="K43" s="103"/>
      <c r="L43" s="103"/>
      <c r="M43" s="103"/>
      <c r="O43" s="104"/>
      <c r="T43" s="103"/>
      <c r="U43" s="103"/>
    </row>
    <row r="44" spans="1:21" ht="15.75" customHeight="1" x14ac:dyDescent="0.3">
      <c r="A44" s="112" t="s">
        <v>27</v>
      </c>
      <c r="E44" s="103"/>
      <c r="F44" s="103"/>
      <c r="G44" s="103"/>
      <c r="H44" s="103"/>
      <c r="I44" s="103"/>
      <c r="J44" s="103"/>
      <c r="K44" s="103"/>
      <c r="L44" s="103"/>
      <c r="M44" s="103"/>
      <c r="O44" s="104"/>
      <c r="T44" s="103"/>
      <c r="U44" s="103"/>
    </row>
    <row r="45" spans="1:21" ht="15.75" customHeight="1" x14ac:dyDescent="0.3">
      <c r="E45" s="103"/>
      <c r="F45" s="103"/>
      <c r="G45" s="103"/>
      <c r="H45" s="103"/>
      <c r="I45" s="103"/>
      <c r="J45" s="103"/>
      <c r="K45" s="103"/>
      <c r="L45" s="103"/>
      <c r="M45" s="103"/>
      <c r="O45" s="104"/>
      <c r="T45" s="103"/>
      <c r="U45" s="103"/>
    </row>
    <row r="46" spans="1:21" ht="15.75" customHeight="1" x14ac:dyDescent="0.3">
      <c r="B46" s="112" t="s">
        <v>137</v>
      </c>
      <c r="C46" s="112" t="s">
        <v>179</v>
      </c>
      <c r="D46" s="113"/>
      <c r="E46" s="103"/>
      <c r="F46" s="112" t="s">
        <v>137</v>
      </c>
      <c r="G46" s="112" t="s">
        <v>146</v>
      </c>
      <c r="H46" s="103"/>
      <c r="I46" s="103"/>
      <c r="J46" s="112" t="s">
        <v>137</v>
      </c>
      <c r="K46" s="112" t="s">
        <v>147</v>
      </c>
      <c r="L46" s="103"/>
      <c r="M46" s="103"/>
      <c r="O46" s="104"/>
      <c r="T46" s="103"/>
      <c r="U46" s="103"/>
    </row>
    <row r="47" spans="1:21" ht="15.75" customHeight="1" x14ac:dyDescent="0.3">
      <c r="B47" s="113" t="s">
        <v>3</v>
      </c>
      <c r="C47" s="131">
        <v>0.10916179337231968</v>
      </c>
      <c r="E47" s="103"/>
      <c r="F47" s="113" t="s">
        <v>3</v>
      </c>
      <c r="G47" s="132">
        <v>1.813278112449799</v>
      </c>
      <c r="H47" s="103"/>
      <c r="I47" s="103"/>
      <c r="J47" s="103" t="s">
        <v>3</v>
      </c>
      <c r="K47" s="103">
        <v>54.200906856513264</v>
      </c>
      <c r="L47" s="103"/>
      <c r="M47" s="103"/>
      <c r="O47" s="104"/>
      <c r="T47" s="103"/>
      <c r="U47" s="103"/>
    </row>
    <row r="48" spans="1:21" ht="15.75" customHeight="1" x14ac:dyDescent="0.3">
      <c r="B48" s="113" t="s">
        <v>159</v>
      </c>
      <c r="C48" s="131">
        <v>0.14539340954942839</v>
      </c>
      <c r="E48" s="103"/>
      <c r="F48" s="103" t="s">
        <v>159</v>
      </c>
      <c r="G48" s="132">
        <v>1.0641618497109826</v>
      </c>
      <c r="H48" s="103"/>
      <c r="I48" s="103"/>
      <c r="J48" s="103" t="s">
        <v>159</v>
      </c>
      <c r="K48" s="103">
        <v>42.906523201075991</v>
      </c>
      <c r="L48" s="103"/>
      <c r="M48" s="103"/>
      <c r="O48" s="104"/>
      <c r="T48" s="103"/>
      <c r="U48" s="103"/>
    </row>
    <row r="49" spans="2:21" ht="15.75" customHeight="1" x14ac:dyDescent="0.3">
      <c r="B49" s="113" t="s">
        <v>161</v>
      </c>
      <c r="C49" s="131">
        <v>0.24144689950106915</v>
      </c>
      <c r="E49" s="103"/>
      <c r="F49" s="103" t="s">
        <v>161</v>
      </c>
      <c r="G49" s="132">
        <v>1.3928273561301083</v>
      </c>
      <c r="H49" s="103"/>
      <c r="I49" s="103"/>
      <c r="J49" s="103" t="s">
        <v>161</v>
      </c>
      <c r="K49" s="103">
        <v>47.413578047042051</v>
      </c>
      <c r="L49" s="103"/>
      <c r="M49" s="103"/>
      <c r="O49" s="104"/>
      <c r="T49" s="103"/>
      <c r="U49" s="103"/>
    </row>
    <row r="50" spans="2:21" ht="15.75" customHeight="1" x14ac:dyDescent="0.3">
      <c r="B50" s="113" t="s">
        <v>162</v>
      </c>
      <c r="C50" s="131">
        <v>0.10687405920722529</v>
      </c>
      <c r="E50" s="103"/>
      <c r="F50" s="103" t="s">
        <v>162</v>
      </c>
      <c r="G50" s="132">
        <v>3.7425499455139848</v>
      </c>
      <c r="H50" s="103"/>
      <c r="I50" s="103"/>
      <c r="J50" s="103" t="s">
        <v>162</v>
      </c>
      <c r="K50" s="103">
        <v>55.494468138484692</v>
      </c>
      <c r="L50" s="103"/>
      <c r="M50" s="103"/>
      <c r="O50" s="104"/>
      <c r="T50" s="103"/>
      <c r="U50" s="103"/>
    </row>
    <row r="51" spans="2:21" ht="15.75" customHeight="1" x14ac:dyDescent="0.3">
      <c r="B51" s="113" t="s">
        <v>163</v>
      </c>
      <c r="C51" s="131">
        <v>7.4842076352650375E-2</v>
      </c>
      <c r="E51" s="103"/>
      <c r="F51" s="103" t="s">
        <v>163</v>
      </c>
      <c r="G51" s="132">
        <v>1.0578125</v>
      </c>
      <c r="H51" s="103"/>
      <c r="I51" s="103"/>
      <c r="J51" s="103" t="s">
        <v>163</v>
      </c>
      <c r="K51" s="103">
        <v>39.347020049436964</v>
      </c>
      <c r="L51" s="103"/>
      <c r="M51" s="103"/>
      <c r="O51" s="104"/>
      <c r="T51" s="103"/>
      <c r="U51" s="103"/>
    </row>
    <row r="52" spans="2:21" ht="15.75" customHeight="1" x14ac:dyDescent="0.3">
      <c r="B52" s="113" t="s">
        <v>165</v>
      </c>
      <c r="C52" s="131">
        <v>9.3237516123088268E-2</v>
      </c>
      <c r="E52" s="103"/>
      <c r="F52" s="103" t="s">
        <v>165</v>
      </c>
      <c r="G52" s="132">
        <v>2.5844963331779942</v>
      </c>
      <c r="H52" s="103"/>
      <c r="I52" s="103"/>
      <c r="J52" s="103" t="s">
        <v>165</v>
      </c>
      <c r="K52" s="103">
        <v>60.981297217615626</v>
      </c>
      <c r="L52" s="103"/>
      <c r="M52" s="103"/>
      <c r="O52" s="104"/>
      <c r="T52" s="103"/>
      <c r="U52" s="103"/>
    </row>
    <row r="53" spans="2:21" ht="15.75" customHeight="1" x14ac:dyDescent="0.3">
      <c r="B53" s="113" t="s">
        <v>166</v>
      </c>
      <c r="C53" s="131">
        <v>0.21966426858513188</v>
      </c>
      <c r="E53" s="103"/>
      <c r="F53" s="103" t="s">
        <v>166</v>
      </c>
      <c r="G53" s="132">
        <v>5.0907794416104437</v>
      </c>
      <c r="H53" s="103"/>
      <c r="I53" s="103"/>
      <c r="J53" s="103" t="s">
        <v>166</v>
      </c>
      <c r="K53" s="103">
        <v>34.120325982742088</v>
      </c>
      <c r="L53" s="103"/>
      <c r="M53" s="103"/>
      <c r="O53" s="104"/>
      <c r="T53" s="103"/>
      <c r="U53" s="103"/>
    </row>
    <row r="54" spans="2:21" ht="15.75" customHeight="1" x14ac:dyDescent="0.3">
      <c r="B54" s="113" t="s">
        <v>167</v>
      </c>
      <c r="C54" s="131">
        <v>5.1773729626078617E-2</v>
      </c>
      <c r="E54" s="103"/>
      <c r="F54" s="103" t="s">
        <v>167</v>
      </c>
      <c r="G54" s="132">
        <v>1.3523622047244095</v>
      </c>
      <c r="H54" s="103"/>
      <c r="I54" s="103"/>
      <c r="J54" s="103" t="s">
        <v>167</v>
      </c>
      <c r="K54" s="103">
        <v>100.48441247002398</v>
      </c>
      <c r="L54" s="103"/>
      <c r="M54" s="103"/>
      <c r="O54" s="104"/>
      <c r="T54" s="103"/>
      <c r="U54" s="103"/>
    </row>
    <row r="55" spans="2:21" ht="15.75" customHeight="1" x14ac:dyDescent="0.3">
      <c r="B55" s="113" t="s">
        <v>168</v>
      </c>
      <c r="C55" s="131">
        <v>0.31517094017094016</v>
      </c>
      <c r="E55" s="103"/>
      <c r="F55" s="103" t="s">
        <v>168</v>
      </c>
      <c r="G55" s="132">
        <v>5.1621621621621623</v>
      </c>
      <c r="H55" s="103"/>
      <c r="I55" s="103"/>
      <c r="J55" s="103" t="s">
        <v>168</v>
      </c>
      <c r="K55" s="103">
        <v>51.08440170940171</v>
      </c>
      <c r="L55" s="103"/>
      <c r="M55" s="103"/>
      <c r="O55" s="104"/>
      <c r="T55" s="103"/>
      <c r="U55" s="103"/>
    </row>
    <row r="56" spans="2:21" ht="15.75" customHeight="1" x14ac:dyDescent="0.3">
      <c r="B56" s="113" t="s">
        <v>169</v>
      </c>
      <c r="C56" s="131">
        <v>0.20443268276546478</v>
      </c>
      <c r="E56" s="103"/>
      <c r="F56" s="103" t="s">
        <v>169</v>
      </c>
      <c r="G56" s="132">
        <v>9.9911202185792352</v>
      </c>
      <c r="H56" s="103"/>
      <c r="I56" s="103"/>
      <c r="J56" s="103" t="s">
        <v>169</v>
      </c>
      <c r="K56" s="103">
        <v>349.78663579225935</v>
      </c>
      <c r="L56" s="103"/>
      <c r="M56" s="103"/>
      <c r="O56" s="104"/>
      <c r="T56" s="103"/>
      <c r="U56" s="103"/>
    </row>
    <row r="57" spans="2:21" ht="15.75" customHeight="1" x14ac:dyDescent="0.3">
      <c r="B57" s="113" t="s">
        <v>170</v>
      </c>
      <c r="C57" s="131">
        <v>2.9534628068889703E-2</v>
      </c>
      <c r="E57" s="103"/>
      <c r="F57" s="103" t="s">
        <v>170</v>
      </c>
      <c r="G57" s="132">
        <v>1.6191217689193398</v>
      </c>
      <c r="H57" s="103"/>
      <c r="I57" s="103"/>
      <c r="J57" s="103" t="s">
        <v>170</v>
      </c>
      <c r="K57" s="103">
        <v>63.851593990472693</v>
      </c>
      <c r="L57" s="103"/>
      <c r="M57" s="103"/>
      <c r="O57" s="104"/>
      <c r="T57" s="103"/>
      <c r="U57" s="103"/>
    </row>
    <row r="58" spans="2:21" ht="15.75" customHeight="1" x14ac:dyDescent="0.3">
      <c r="B58" s="113" t="s">
        <v>171</v>
      </c>
      <c r="C58" s="131">
        <v>0.12278820375335121</v>
      </c>
      <c r="E58" s="103"/>
      <c r="F58" s="103" t="s">
        <v>171</v>
      </c>
      <c r="G58" s="132">
        <v>1.4113260232922427</v>
      </c>
      <c r="H58" s="103"/>
      <c r="I58" s="103"/>
      <c r="J58" s="103" t="s">
        <v>171</v>
      </c>
      <c r="K58" s="103">
        <v>43.062171581769434</v>
      </c>
      <c r="L58" s="103"/>
      <c r="M58" s="103"/>
      <c r="O58" s="104"/>
      <c r="T58" s="103"/>
      <c r="U58" s="103"/>
    </row>
    <row r="59" spans="2:21" ht="15.75" customHeight="1" x14ac:dyDescent="0.3">
      <c r="B59" s="113" t="s">
        <v>172</v>
      </c>
      <c r="C59" s="131">
        <v>0.19969278033794163</v>
      </c>
      <c r="E59" s="103"/>
      <c r="F59" s="103" t="s">
        <v>172</v>
      </c>
      <c r="G59" s="132">
        <v>6.2536231884057969</v>
      </c>
      <c r="H59" s="103"/>
      <c r="I59" s="103"/>
      <c r="J59" s="103" t="s">
        <v>172</v>
      </c>
      <c r="K59" s="103">
        <v>141.29032258064515</v>
      </c>
      <c r="L59" s="103"/>
      <c r="M59" s="103"/>
      <c r="O59" s="104"/>
      <c r="T59" s="103"/>
      <c r="U59" s="103"/>
    </row>
    <row r="60" spans="2:21" ht="15.75" customHeight="1" x14ac:dyDescent="0.3">
      <c r="B60" s="113" t="s">
        <v>173</v>
      </c>
      <c r="C60" s="131">
        <v>0.13545568039950062</v>
      </c>
      <c r="E60" s="103"/>
      <c r="F60" s="103" t="s">
        <v>173</v>
      </c>
      <c r="G60" s="132">
        <v>1.9826689774696706</v>
      </c>
      <c r="H60" s="103"/>
      <c r="I60" s="103"/>
      <c r="J60" s="103" t="s">
        <v>173</v>
      </c>
      <c r="K60" s="103">
        <v>144.67852684144819</v>
      </c>
      <c r="L60" s="103"/>
      <c r="M60" s="103"/>
      <c r="O60" s="104"/>
      <c r="T60" s="103"/>
      <c r="U60" s="103"/>
    </row>
    <row r="61" spans="2:21" ht="15.75" customHeight="1" x14ac:dyDescent="0.3">
      <c r="B61" s="113" t="s">
        <v>174</v>
      </c>
      <c r="C61" s="131">
        <v>8.5714285714285715E-2</v>
      </c>
      <c r="E61" s="103"/>
      <c r="F61" s="103" t="s">
        <v>174</v>
      </c>
      <c r="G61" s="132">
        <v>2.7966609664509985</v>
      </c>
      <c r="H61" s="103"/>
      <c r="I61" s="103"/>
      <c r="J61" s="103" t="s">
        <v>174</v>
      </c>
      <c r="K61" s="103">
        <v>52.665928008998875</v>
      </c>
      <c r="L61" s="103"/>
      <c r="M61" s="103"/>
      <c r="O61" s="104"/>
      <c r="T61" s="103"/>
      <c r="U61" s="103"/>
    </row>
    <row r="62" spans="2:21" ht="15.75" customHeight="1" x14ac:dyDescent="0.3">
      <c r="B62" s="122" t="s">
        <v>175</v>
      </c>
      <c r="C62" s="133">
        <v>0.26578764746703676</v>
      </c>
      <c r="E62" s="103"/>
      <c r="F62" s="121" t="s">
        <v>175</v>
      </c>
      <c r="G62" s="134">
        <v>4.3687500000000004</v>
      </c>
      <c r="H62" s="103"/>
      <c r="I62" s="103"/>
      <c r="J62" s="121" t="s">
        <v>175</v>
      </c>
      <c r="K62" s="121">
        <v>29.888965995836223</v>
      </c>
      <c r="L62" s="103"/>
      <c r="M62" s="103"/>
      <c r="O62" s="104"/>
      <c r="T62" s="103"/>
      <c r="U62" s="103"/>
    </row>
    <row r="63" spans="2:21" ht="15.75" customHeight="1" x14ac:dyDescent="0.3">
      <c r="C63" s="103"/>
      <c r="E63" s="103"/>
      <c r="F63" s="103"/>
      <c r="G63" s="103"/>
      <c r="H63" s="103"/>
      <c r="I63" s="103"/>
      <c r="J63" s="103"/>
      <c r="K63" s="103"/>
      <c r="L63" s="103"/>
      <c r="M63" s="103"/>
      <c r="O63" s="104"/>
      <c r="T63" s="103"/>
      <c r="U63" s="103"/>
    </row>
    <row r="64" spans="2:21" ht="15.75" customHeight="1" x14ac:dyDescent="0.3">
      <c r="B64" s="122" t="s">
        <v>136</v>
      </c>
      <c r="C64" s="133">
        <v>0.10299999999999999</v>
      </c>
      <c r="E64" s="103"/>
      <c r="F64" s="122" t="s">
        <v>136</v>
      </c>
      <c r="G64" s="134">
        <v>2</v>
      </c>
      <c r="H64" s="103"/>
      <c r="I64" s="103"/>
      <c r="J64" s="122" t="s">
        <v>136</v>
      </c>
      <c r="K64" s="103">
        <v>62</v>
      </c>
      <c r="L64" s="103"/>
      <c r="M64" s="103"/>
      <c r="O64" s="104"/>
      <c r="T64" s="103"/>
      <c r="U64" s="103"/>
    </row>
    <row r="65" spans="1:21" ht="15.75" customHeight="1" x14ac:dyDescent="0.3">
      <c r="C65" s="103"/>
      <c r="E65" s="103"/>
      <c r="F65" s="103"/>
      <c r="G65" s="103"/>
      <c r="H65" s="103"/>
      <c r="I65" s="103"/>
      <c r="J65" s="103"/>
      <c r="L65" s="103"/>
      <c r="M65" s="103"/>
      <c r="O65" s="104"/>
      <c r="T65" s="103"/>
      <c r="U65" s="103"/>
    </row>
    <row r="66" spans="1:21" ht="15.75" customHeight="1" x14ac:dyDescent="0.3">
      <c r="C66" s="103"/>
      <c r="E66" s="103"/>
      <c r="F66" s="103"/>
      <c r="G66" s="103"/>
      <c r="H66" s="103"/>
      <c r="I66" s="103"/>
      <c r="J66" s="103"/>
      <c r="K66" s="103"/>
      <c r="L66" s="103"/>
      <c r="M66" s="103"/>
      <c r="O66" s="104"/>
      <c r="T66" s="103"/>
      <c r="U66" s="103"/>
    </row>
    <row r="67" spans="1:21" ht="15.75" customHeight="1" x14ac:dyDescent="0.3">
      <c r="C67" s="103"/>
      <c r="E67" s="103"/>
      <c r="F67" s="103"/>
      <c r="G67" s="103"/>
      <c r="H67" s="103"/>
      <c r="I67" s="103"/>
      <c r="J67" s="103"/>
      <c r="K67" s="103"/>
      <c r="L67" s="103"/>
      <c r="M67" s="103"/>
      <c r="O67" s="104"/>
      <c r="T67" s="103"/>
      <c r="U67" s="103"/>
    </row>
    <row r="68" spans="1:21" ht="15.75" customHeight="1" x14ac:dyDescent="0.3">
      <c r="C68" s="103"/>
      <c r="E68" s="103"/>
      <c r="F68" s="103"/>
      <c r="G68" s="103"/>
      <c r="H68" s="103"/>
      <c r="I68" s="103"/>
      <c r="J68" s="103"/>
      <c r="K68" s="103"/>
      <c r="L68" s="103"/>
      <c r="M68" s="103"/>
      <c r="O68" s="104"/>
      <c r="T68" s="103"/>
      <c r="U68" s="103"/>
    </row>
    <row r="69" spans="1:21" ht="15.75" customHeight="1" x14ac:dyDescent="0.3">
      <c r="C69" s="103"/>
      <c r="E69" s="103"/>
      <c r="F69" s="103"/>
      <c r="G69" s="103"/>
      <c r="H69" s="103"/>
      <c r="I69" s="103"/>
      <c r="J69" s="103"/>
      <c r="K69" s="103"/>
      <c r="L69" s="103"/>
      <c r="M69" s="103"/>
      <c r="O69" s="104"/>
      <c r="T69" s="103"/>
      <c r="U69" s="103"/>
    </row>
    <row r="70" spans="1:21" ht="15.75" customHeight="1" x14ac:dyDescent="0.3">
      <c r="C70" s="103"/>
      <c r="E70" s="103"/>
      <c r="F70" s="103"/>
      <c r="G70" s="103"/>
      <c r="H70" s="103"/>
      <c r="I70" s="103"/>
      <c r="J70" s="103"/>
      <c r="K70" s="103"/>
      <c r="L70" s="103"/>
      <c r="M70" s="103"/>
      <c r="O70" s="104"/>
      <c r="T70" s="103"/>
      <c r="U70" s="103"/>
    </row>
    <row r="71" spans="1:21" ht="15.75" customHeight="1" x14ac:dyDescent="0.3">
      <c r="C71" s="103"/>
      <c r="E71" s="103"/>
      <c r="F71" s="103"/>
      <c r="G71" s="103"/>
      <c r="H71" s="103"/>
      <c r="I71" s="103"/>
      <c r="J71" s="103"/>
      <c r="K71" s="103"/>
      <c r="L71" s="103"/>
      <c r="M71" s="103"/>
      <c r="O71" s="104"/>
      <c r="T71" s="103"/>
      <c r="U71" s="103"/>
    </row>
    <row r="72" spans="1:21" ht="15.75" customHeight="1" x14ac:dyDescent="0.3">
      <c r="C72" s="103"/>
      <c r="E72" s="103"/>
      <c r="F72" s="103"/>
      <c r="G72" s="103"/>
      <c r="H72" s="103"/>
      <c r="I72" s="103"/>
      <c r="J72" s="103"/>
      <c r="K72" s="103"/>
      <c r="L72" s="103"/>
      <c r="M72" s="103"/>
      <c r="O72" s="104"/>
      <c r="T72" s="103"/>
      <c r="U72" s="103"/>
    </row>
    <row r="73" spans="1:21" ht="15.75" customHeight="1" x14ac:dyDescent="0.3">
      <c r="C73" s="103"/>
      <c r="E73" s="103"/>
      <c r="F73" s="103"/>
      <c r="G73" s="103"/>
      <c r="H73" s="103"/>
      <c r="I73" s="103"/>
      <c r="J73" s="103"/>
      <c r="K73" s="103"/>
      <c r="L73" s="103"/>
      <c r="M73" s="103"/>
      <c r="O73" s="104"/>
      <c r="T73" s="103"/>
      <c r="U73" s="103"/>
    </row>
    <row r="74" spans="1:21" ht="15.75" customHeight="1" x14ac:dyDescent="0.3">
      <c r="C74" s="103"/>
      <c r="E74" s="103"/>
      <c r="F74" s="103"/>
      <c r="G74" s="103"/>
      <c r="H74" s="103"/>
      <c r="I74" s="103"/>
      <c r="J74" s="103"/>
      <c r="K74" s="103"/>
      <c r="L74" s="103"/>
      <c r="M74" s="103"/>
      <c r="O74" s="104"/>
      <c r="T74" s="103"/>
      <c r="U74" s="103"/>
    </row>
    <row r="75" spans="1:21" ht="15.75" customHeight="1" x14ac:dyDescent="0.3">
      <c r="C75" s="103"/>
      <c r="E75" s="103"/>
      <c r="F75" s="103"/>
      <c r="G75" s="103"/>
      <c r="H75" s="103"/>
      <c r="I75" s="103"/>
      <c r="J75" s="103"/>
      <c r="K75" s="103"/>
      <c r="L75" s="103"/>
      <c r="M75" s="103"/>
      <c r="O75" s="104"/>
      <c r="T75" s="103"/>
      <c r="U75" s="103"/>
    </row>
    <row r="76" spans="1:21" ht="15.75" customHeight="1" x14ac:dyDescent="0.3">
      <c r="C76" s="103"/>
      <c r="E76" s="103"/>
      <c r="F76" s="103"/>
      <c r="G76" s="103"/>
      <c r="H76" s="103"/>
      <c r="I76" s="103"/>
      <c r="J76" s="103"/>
      <c r="K76" s="103"/>
      <c r="L76" s="103"/>
      <c r="M76" s="103"/>
      <c r="O76" s="104"/>
      <c r="T76" s="103"/>
      <c r="U76" s="103"/>
    </row>
    <row r="77" spans="1:21" ht="15.75" customHeight="1" x14ac:dyDescent="0.3">
      <c r="C77" s="103"/>
      <c r="E77" s="103"/>
      <c r="F77" s="103"/>
      <c r="G77" s="103"/>
      <c r="H77" s="103"/>
      <c r="I77" s="103"/>
      <c r="J77" s="103"/>
      <c r="K77" s="103"/>
      <c r="L77" s="103"/>
      <c r="M77" s="103"/>
      <c r="O77" s="104"/>
      <c r="T77" s="103"/>
      <c r="U77" s="103"/>
    </row>
    <row r="78" spans="1:21" ht="15.75" customHeight="1" x14ac:dyDescent="0.3">
      <c r="C78" s="103"/>
      <c r="E78" s="103"/>
      <c r="F78" s="103"/>
      <c r="G78" s="103"/>
      <c r="H78" s="103"/>
      <c r="I78" s="103"/>
      <c r="J78" s="103"/>
      <c r="K78" s="103"/>
      <c r="L78" s="103"/>
      <c r="M78" s="103"/>
      <c r="O78" s="104"/>
      <c r="T78" s="103"/>
      <c r="U78" s="103"/>
    </row>
    <row r="79" spans="1:21" ht="15.75" customHeight="1" x14ac:dyDescent="0.3">
      <c r="C79" s="103"/>
      <c r="E79" s="103"/>
      <c r="F79" s="103"/>
      <c r="G79" s="103"/>
      <c r="H79" s="103"/>
      <c r="I79" s="103"/>
      <c r="J79" s="103"/>
      <c r="K79" s="103"/>
      <c r="L79" s="103"/>
      <c r="M79" s="103"/>
      <c r="O79" s="104"/>
      <c r="T79" s="103"/>
      <c r="U79" s="103"/>
    </row>
    <row r="80" spans="1:21" ht="15.75" customHeight="1" x14ac:dyDescent="0.3">
      <c r="A80" s="112" t="s">
        <v>28</v>
      </c>
      <c r="E80" s="103"/>
      <c r="F80" s="103"/>
      <c r="G80" s="103"/>
      <c r="H80" s="103"/>
      <c r="I80" s="103"/>
      <c r="J80" s="103"/>
      <c r="K80" s="103"/>
      <c r="L80" s="103"/>
      <c r="M80" s="103"/>
      <c r="O80" s="104"/>
      <c r="T80" s="103"/>
      <c r="U80" s="103"/>
    </row>
    <row r="81" spans="2:21" ht="15.75" customHeight="1" x14ac:dyDescent="0.3">
      <c r="E81" s="103"/>
      <c r="F81" s="103"/>
      <c r="G81" s="103"/>
      <c r="H81" s="103"/>
      <c r="I81" s="103"/>
      <c r="J81" s="103"/>
      <c r="K81" s="103"/>
      <c r="L81" s="103"/>
      <c r="M81" s="103"/>
      <c r="O81" s="104"/>
      <c r="T81" s="103"/>
      <c r="U81" s="103"/>
    </row>
    <row r="82" spans="2:21" ht="15.75" customHeight="1" x14ac:dyDescent="0.3">
      <c r="B82" s="112" t="s">
        <v>137</v>
      </c>
      <c r="C82" s="112" t="s">
        <v>36</v>
      </c>
      <c r="E82" s="103"/>
      <c r="F82" s="112" t="s">
        <v>137</v>
      </c>
      <c r="G82" s="112" t="s">
        <v>38</v>
      </c>
      <c r="H82" s="103"/>
      <c r="I82" s="103"/>
      <c r="J82" s="112" t="s">
        <v>137</v>
      </c>
      <c r="K82" s="112" t="s">
        <v>37</v>
      </c>
      <c r="L82" s="103"/>
      <c r="M82" s="103"/>
      <c r="O82" s="104"/>
      <c r="T82" s="103"/>
      <c r="U82" s="103"/>
    </row>
    <row r="83" spans="2:21" ht="15.75" customHeight="1" x14ac:dyDescent="0.3">
      <c r="B83" s="113" t="s">
        <v>3</v>
      </c>
      <c r="C83" s="104">
        <v>2.3837308369520877E-2</v>
      </c>
      <c r="E83" s="103"/>
      <c r="F83" s="103" t="s">
        <v>3</v>
      </c>
      <c r="G83" s="103">
        <v>267.44</v>
      </c>
      <c r="H83" s="103"/>
      <c r="I83" s="103"/>
      <c r="J83" s="103" t="s">
        <v>3</v>
      </c>
      <c r="K83" s="104">
        <v>0.30948813370473538</v>
      </c>
      <c r="L83" s="103"/>
      <c r="M83" s="103"/>
      <c r="O83" s="104"/>
      <c r="T83" s="103"/>
      <c r="U83" s="103"/>
    </row>
    <row r="84" spans="2:21" ht="15.75" customHeight="1" x14ac:dyDescent="0.3">
      <c r="B84" s="113" t="s">
        <v>159</v>
      </c>
      <c r="C84" s="104">
        <v>0.44751635793936045</v>
      </c>
      <c r="E84" s="103"/>
      <c r="F84" s="103" t="s">
        <v>159</v>
      </c>
      <c r="G84" s="103">
        <v>64.986111111111114</v>
      </c>
      <c r="H84" s="103"/>
      <c r="I84" s="103"/>
      <c r="J84" s="103" t="s">
        <v>159</v>
      </c>
      <c r="K84" s="104">
        <v>0.44784776635799328</v>
      </c>
      <c r="L84" s="103"/>
      <c r="M84" s="103"/>
      <c r="O84" s="104"/>
      <c r="T84" s="103"/>
      <c r="U84" s="103"/>
    </row>
    <row r="85" spans="2:21" ht="15.75" customHeight="1" x14ac:dyDescent="0.3">
      <c r="B85" s="113" t="s">
        <v>161</v>
      </c>
      <c r="C85" s="104">
        <v>0.28313043478260869</v>
      </c>
      <c r="E85" s="103"/>
      <c r="F85" s="103" t="s">
        <v>161</v>
      </c>
      <c r="G85" s="103">
        <v>56.29032258064516</v>
      </c>
      <c r="H85" s="103"/>
      <c r="I85" s="103"/>
      <c r="J85" s="103" t="s">
        <v>161</v>
      </c>
      <c r="K85" s="104">
        <v>0.33422088446399628</v>
      </c>
      <c r="L85" s="103"/>
      <c r="M85" s="103"/>
      <c r="O85" s="104"/>
      <c r="T85" s="103"/>
      <c r="U85" s="103"/>
    </row>
    <row r="86" spans="2:21" ht="15.75" customHeight="1" x14ac:dyDescent="0.3">
      <c r="B86" s="113" t="s">
        <v>162</v>
      </c>
      <c r="C86" s="104">
        <v>1.2139790691675572E-2</v>
      </c>
      <c r="E86" s="103"/>
      <c r="F86" s="103" t="s">
        <v>162</v>
      </c>
      <c r="G86" s="103">
        <v>1215</v>
      </c>
      <c r="H86" s="103"/>
      <c r="I86" s="103"/>
      <c r="J86" s="103" t="s">
        <v>162</v>
      </c>
      <c r="K86" s="104">
        <v>0.17584196829723381</v>
      </c>
      <c r="L86" s="103"/>
      <c r="M86" s="103"/>
      <c r="O86" s="104"/>
      <c r="T86" s="103"/>
      <c r="U86" s="103"/>
    </row>
    <row r="87" spans="2:21" ht="15.75" customHeight="1" x14ac:dyDescent="0.3">
      <c r="B87" s="113" t="s">
        <v>163</v>
      </c>
      <c r="C87" s="104">
        <v>0.62743538767395624</v>
      </c>
      <c r="E87" s="103"/>
      <c r="F87" s="103" t="s">
        <v>163</v>
      </c>
      <c r="G87" s="103">
        <v>47.131313131313128</v>
      </c>
      <c r="H87" s="103"/>
      <c r="I87" s="103"/>
      <c r="J87" s="103" t="s">
        <v>163</v>
      </c>
      <c r="K87" s="104">
        <v>0.456098615916955</v>
      </c>
      <c r="L87" s="103"/>
      <c r="M87" s="103"/>
      <c r="O87" s="104"/>
      <c r="T87" s="103"/>
      <c r="U87" s="103"/>
    </row>
    <row r="88" spans="2:21" ht="15.75" customHeight="1" x14ac:dyDescent="0.3">
      <c r="B88" s="113" t="s">
        <v>165</v>
      </c>
      <c r="C88" s="104">
        <v>3.1639137243016618E-2</v>
      </c>
      <c r="E88" s="103"/>
      <c r="F88" s="103" t="s">
        <v>165</v>
      </c>
      <c r="G88" s="103">
        <v>820.75</v>
      </c>
      <c r="H88" s="103"/>
      <c r="I88" s="103"/>
      <c r="J88" s="103" t="s">
        <v>165</v>
      </c>
      <c r="K88" s="104">
        <v>0.18827095193343799</v>
      </c>
      <c r="L88" s="103"/>
      <c r="M88" s="103"/>
      <c r="O88" s="104"/>
      <c r="T88" s="103"/>
      <c r="U88" s="103"/>
    </row>
    <row r="89" spans="2:21" ht="15.75" customHeight="1" x14ac:dyDescent="0.3">
      <c r="B89" s="113" t="s">
        <v>166</v>
      </c>
      <c r="C89" s="104">
        <v>9.0791180285343707E-5</v>
      </c>
      <c r="E89" s="103"/>
      <c r="F89" s="103" t="s">
        <v>166</v>
      </c>
      <c r="G89" s="103">
        <v>1399</v>
      </c>
      <c r="H89" s="103"/>
      <c r="I89" s="103"/>
      <c r="J89" s="103" t="s">
        <v>166</v>
      </c>
      <c r="K89" s="104">
        <v>0.12585034013605442</v>
      </c>
      <c r="L89" s="103"/>
      <c r="M89" s="103"/>
      <c r="O89" s="104"/>
      <c r="T89" s="103"/>
      <c r="U89" s="103"/>
    </row>
    <row r="90" spans="2:21" ht="15.75" customHeight="1" x14ac:dyDescent="0.3">
      <c r="B90" s="113" t="s">
        <v>167</v>
      </c>
      <c r="C90" s="104">
        <v>0.40503342508847817</v>
      </c>
      <c r="E90" s="103"/>
      <c r="F90" s="103" t="s">
        <v>167</v>
      </c>
      <c r="G90" s="103">
        <v>46.462962962962962</v>
      </c>
      <c r="H90" s="103"/>
      <c r="I90" s="103"/>
      <c r="J90" s="103" t="s">
        <v>167</v>
      </c>
      <c r="K90" s="104">
        <v>0.40014164305949007</v>
      </c>
      <c r="L90" s="103"/>
      <c r="M90" s="103"/>
      <c r="O90" s="104"/>
      <c r="T90" s="103"/>
      <c r="U90" s="103"/>
    </row>
    <row r="91" spans="2:21" ht="15.75" customHeight="1" x14ac:dyDescent="0.3">
      <c r="B91" s="113" t="s">
        <v>168</v>
      </c>
      <c r="C91" s="104">
        <v>1.0091743119266057E-3</v>
      </c>
      <c r="E91" s="103"/>
      <c r="F91" s="103" t="s">
        <v>168</v>
      </c>
      <c r="G91" s="103">
        <v>696</v>
      </c>
      <c r="H91" s="103"/>
      <c r="I91" s="103"/>
      <c r="J91" s="103" t="s">
        <v>168</v>
      </c>
      <c r="K91" s="104">
        <v>0.11372867587327376</v>
      </c>
      <c r="L91" s="103"/>
      <c r="M91" s="103"/>
      <c r="O91" s="104"/>
      <c r="T91" s="103"/>
      <c r="U91" s="103"/>
    </row>
    <row r="92" spans="2:21" ht="15.75" customHeight="1" x14ac:dyDescent="0.3">
      <c r="B92" s="113" t="s">
        <v>169</v>
      </c>
      <c r="C92" s="104">
        <v>5.3700677095493811E-3</v>
      </c>
      <c r="E92" s="103"/>
      <c r="F92" s="103" t="s">
        <v>169</v>
      </c>
      <c r="G92" s="103">
        <v>56.642857142857146</v>
      </c>
      <c r="H92" s="103"/>
      <c r="I92" s="103"/>
      <c r="J92" s="103" t="s">
        <v>169</v>
      </c>
      <c r="K92" s="104">
        <v>8.0107382550335574E-2</v>
      </c>
      <c r="L92" s="103"/>
      <c r="M92" s="103"/>
      <c r="O92" s="104"/>
      <c r="T92" s="103"/>
      <c r="U92" s="103"/>
    </row>
    <row r="93" spans="2:21" ht="15.75" customHeight="1" x14ac:dyDescent="0.3">
      <c r="B93" s="113" t="s">
        <v>170</v>
      </c>
      <c r="C93" s="104">
        <v>0</v>
      </c>
      <c r="E93" s="103"/>
      <c r="F93" s="103" t="s">
        <v>170</v>
      </c>
      <c r="G93" s="103">
        <v>766.77777777777783</v>
      </c>
      <c r="H93" s="103"/>
      <c r="I93" s="103"/>
      <c r="J93" s="103" t="s">
        <v>170</v>
      </c>
      <c r="K93" s="104">
        <v>0.53472111870332117</v>
      </c>
      <c r="L93" s="103"/>
      <c r="M93" s="103"/>
      <c r="O93" s="104"/>
      <c r="T93" s="103"/>
      <c r="U93" s="103"/>
    </row>
    <row r="94" spans="2:21" ht="15.75" customHeight="1" x14ac:dyDescent="0.3">
      <c r="B94" s="113" t="s">
        <v>171</v>
      </c>
      <c r="C94" s="104">
        <v>7.5925848432857684E-2</v>
      </c>
      <c r="E94" s="103"/>
      <c r="F94" s="103" t="s">
        <v>171</v>
      </c>
      <c r="G94" s="103">
        <v>400.33333333333331</v>
      </c>
      <c r="H94" s="103"/>
      <c r="I94" s="103"/>
      <c r="J94" s="103" t="s">
        <v>171</v>
      </c>
      <c r="K94" s="104">
        <v>0.23815808769614316</v>
      </c>
      <c r="L94" s="103"/>
      <c r="M94" s="103"/>
      <c r="O94" s="104"/>
      <c r="T94" s="103"/>
      <c r="U94" s="103"/>
    </row>
    <row r="95" spans="2:21" ht="15.75" customHeight="1" x14ac:dyDescent="0.3">
      <c r="B95" s="113" t="s">
        <v>172</v>
      </c>
      <c r="C95" s="104">
        <v>9.7799511002444979E-4</v>
      </c>
      <c r="E95" s="103"/>
      <c r="F95" s="103" t="s">
        <v>172</v>
      </c>
      <c r="G95" s="103">
        <v>198.5</v>
      </c>
      <c r="H95" s="103"/>
      <c r="I95" s="103"/>
      <c r="J95" s="103" t="s">
        <v>172</v>
      </c>
      <c r="K95" s="104">
        <v>8.1311769991015276E-2</v>
      </c>
      <c r="L95" s="103"/>
      <c r="M95" s="103"/>
      <c r="O95" s="104"/>
      <c r="T95" s="103"/>
      <c r="U95" s="103"/>
    </row>
    <row r="96" spans="2:21" ht="15.75" customHeight="1" x14ac:dyDescent="0.3">
      <c r="B96" s="113" t="s">
        <v>173</v>
      </c>
      <c r="C96" s="104">
        <v>0.43624436244362441</v>
      </c>
      <c r="E96" s="103"/>
      <c r="F96" s="103" t="s">
        <v>173</v>
      </c>
      <c r="G96" s="103">
        <v>26.157894736842106</v>
      </c>
      <c r="H96" s="103"/>
      <c r="I96" s="103"/>
      <c r="J96" s="103" t="s">
        <v>173</v>
      </c>
      <c r="K96" s="104">
        <v>0.38920320603488923</v>
      </c>
      <c r="L96" s="103"/>
      <c r="M96" s="103"/>
      <c r="O96" s="104"/>
      <c r="T96" s="103"/>
      <c r="U96" s="103"/>
    </row>
    <row r="97" spans="2:21" ht="15.75" customHeight="1" x14ac:dyDescent="0.3">
      <c r="B97" s="113" t="s">
        <v>174</v>
      </c>
      <c r="C97" s="104">
        <v>9.3672083649515639E-2</v>
      </c>
      <c r="E97" s="103"/>
      <c r="F97" s="103" t="s">
        <v>174</v>
      </c>
      <c r="G97" s="103">
        <v>247.27272727272728</v>
      </c>
      <c r="H97" s="103"/>
      <c r="I97" s="103"/>
      <c r="J97" s="103" t="s">
        <v>174</v>
      </c>
      <c r="K97" s="104">
        <v>0.26078990598785601</v>
      </c>
      <c r="L97" s="103"/>
      <c r="M97" s="103"/>
      <c r="O97" s="104"/>
      <c r="T97" s="103"/>
      <c r="U97" s="103"/>
    </row>
    <row r="98" spans="2:21" ht="15.75" customHeight="1" x14ac:dyDescent="0.3">
      <c r="B98" s="113" t="s">
        <v>175</v>
      </c>
      <c r="C98" s="104">
        <v>1.6502871729419274E-2</v>
      </c>
      <c r="E98" s="103"/>
      <c r="F98" s="103" t="s">
        <v>175</v>
      </c>
      <c r="G98" s="103">
        <v>200.6</v>
      </c>
      <c r="H98" s="103"/>
      <c r="I98" s="103"/>
      <c r="J98" s="103" t="s">
        <v>175</v>
      </c>
      <c r="K98" s="104">
        <v>0.16640085061137694</v>
      </c>
      <c r="L98" s="103"/>
      <c r="M98" s="103"/>
      <c r="O98" s="104"/>
      <c r="T98" s="103"/>
      <c r="U98" s="103"/>
    </row>
    <row r="99" spans="2:21" ht="15.75" customHeight="1" x14ac:dyDescent="0.3">
      <c r="E99" s="103"/>
      <c r="F99" s="103"/>
      <c r="G99" s="103"/>
      <c r="H99" s="103"/>
      <c r="I99" s="103"/>
      <c r="J99" s="103"/>
      <c r="K99" s="103"/>
      <c r="L99" s="103"/>
      <c r="M99" s="103"/>
      <c r="O99" s="104"/>
      <c r="T99" s="103"/>
      <c r="U99" s="103"/>
    </row>
    <row r="100" spans="2:21" ht="15.75" customHeight="1" x14ac:dyDescent="0.3">
      <c r="B100" s="122" t="s">
        <v>136</v>
      </c>
      <c r="C100" s="134">
        <v>0.2</v>
      </c>
      <c r="E100" s="103"/>
      <c r="F100" s="124" t="s">
        <v>136</v>
      </c>
      <c r="G100" s="124">
        <v>93</v>
      </c>
      <c r="H100" s="103"/>
      <c r="I100" s="103"/>
      <c r="J100" s="124" t="s">
        <v>136</v>
      </c>
      <c r="K100" s="135">
        <v>0.32</v>
      </c>
      <c r="L100" s="103"/>
      <c r="M100" s="103"/>
      <c r="O100" s="104"/>
      <c r="T100" s="103"/>
      <c r="U100" s="103"/>
    </row>
    <row r="101" spans="2:21" ht="15.75" customHeight="1" x14ac:dyDescent="0.3">
      <c r="E101" s="103"/>
      <c r="F101" s="103"/>
      <c r="G101" s="103"/>
      <c r="H101" s="103"/>
      <c r="I101" s="103"/>
      <c r="J101" s="103"/>
      <c r="K101" s="103"/>
      <c r="L101" s="103"/>
      <c r="M101" s="103"/>
      <c r="O101" s="104"/>
      <c r="T101" s="103"/>
      <c r="U101" s="103"/>
    </row>
    <row r="102" spans="2:21" ht="15.75" customHeight="1" x14ac:dyDescent="0.3">
      <c r="E102" s="103"/>
      <c r="F102" s="103"/>
      <c r="G102" s="103"/>
      <c r="H102" s="103"/>
      <c r="I102" s="103"/>
      <c r="J102" s="103"/>
      <c r="K102" s="103"/>
      <c r="L102" s="103"/>
      <c r="M102" s="103"/>
      <c r="O102" s="104"/>
      <c r="T102" s="103"/>
      <c r="U102" s="103"/>
    </row>
    <row r="103" spans="2:21" ht="15.75" customHeight="1" x14ac:dyDescent="0.3">
      <c r="E103" s="103"/>
      <c r="F103" s="103"/>
      <c r="G103" s="103"/>
      <c r="H103" s="103"/>
      <c r="I103" s="103"/>
      <c r="J103" s="103"/>
      <c r="K103" s="103"/>
      <c r="L103" s="103"/>
      <c r="M103" s="103"/>
      <c r="O103" s="104"/>
      <c r="T103" s="103"/>
      <c r="U103" s="103"/>
    </row>
    <row r="104" spans="2:21" ht="15.75" customHeight="1" x14ac:dyDescent="0.3">
      <c r="E104" s="103"/>
      <c r="F104" s="103"/>
      <c r="G104" s="103"/>
      <c r="H104" s="103"/>
      <c r="I104" s="103"/>
      <c r="J104" s="103"/>
      <c r="K104" s="103"/>
      <c r="L104" s="103"/>
      <c r="M104" s="103"/>
      <c r="O104" s="104"/>
      <c r="T104" s="103"/>
      <c r="U104" s="103"/>
    </row>
    <row r="105" spans="2:21" ht="15.75" customHeight="1" x14ac:dyDescent="0.3">
      <c r="E105" s="103"/>
      <c r="F105" s="103"/>
      <c r="G105" s="103"/>
      <c r="H105" s="103"/>
      <c r="I105" s="103"/>
      <c r="J105" s="103"/>
      <c r="K105" s="103"/>
      <c r="L105" s="103"/>
      <c r="M105" s="103"/>
      <c r="O105" s="104"/>
      <c r="T105" s="103"/>
      <c r="U105" s="103"/>
    </row>
    <row r="106" spans="2:21" ht="15.75" customHeight="1" x14ac:dyDescent="0.3">
      <c r="E106" s="103"/>
      <c r="F106" s="103"/>
      <c r="G106" s="103"/>
      <c r="H106" s="103"/>
      <c r="I106" s="103"/>
      <c r="J106" s="103"/>
      <c r="K106" s="103"/>
      <c r="L106" s="103"/>
      <c r="M106" s="103"/>
      <c r="O106" s="104"/>
      <c r="T106" s="103"/>
      <c r="U106" s="103"/>
    </row>
    <row r="107" spans="2:21" ht="15.75" customHeight="1" x14ac:dyDescent="0.3">
      <c r="E107" s="103"/>
      <c r="F107" s="103"/>
      <c r="G107" s="103"/>
      <c r="H107" s="103"/>
      <c r="I107" s="103"/>
      <c r="J107" s="103"/>
      <c r="K107" s="103"/>
      <c r="L107" s="103"/>
      <c r="M107" s="103"/>
      <c r="O107" s="104"/>
      <c r="T107" s="103"/>
      <c r="U107" s="103"/>
    </row>
    <row r="108" spans="2:21" ht="15.75" customHeight="1" x14ac:dyDescent="0.3">
      <c r="E108" s="103"/>
      <c r="F108" s="103"/>
      <c r="G108" s="103"/>
      <c r="H108" s="103"/>
      <c r="I108" s="103"/>
      <c r="J108" s="103"/>
      <c r="K108" s="103"/>
      <c r="L108" s="103"/>
      <c r="M108" s="103"/>
      <c r="O108" s="104"/>
      <c r="T108" s="103"/>
      <c r="U108" s="103"/>
    </row>
    <row r="109" spans="2:21" ht="15.75" customHeight="1" x14ac:dyDescent="0.3">
      <c r="E109" s="103"/>
      <c r="F109" s="103"/>
      <c r="G109" s="103"/>
      <c r="H109" s="103"/>
      <c r="I109" s="103"/>
      <c r="J109" s="103"/>
      <c r="K109" s="103"/>
      <c r="L109" s="103"/>
      <c r="M109" s="103"/>
      <c r="O109" s="104"/>
      <c r="T109" s="103"/>
      <c r="U109" s="103"/>
    </row>
    <row r="110" spans="2:21" ht="15.75" customHeight="1" x14ac:dyDescent="0.3">
      <c r="E110" s="103"/>
      <c r="F110" s="103"/>
      <c r="G110" s="103"/>
      <c r="H110" s="103"/>
      <c r="I110" s="103"/>
      <c r="J110" s="103"/>
      <c r="K110" s="103"/>
      <c r="L110" s="103"/>
      <c r="M110" s="103"/>
      <c r="O110" s="104"/>
      <c r="T110" s="103"/>
      <c r="U110" s="103"/>
    </row>
    <row r="111" spans="2:21" ht="15.75" customHeight="1" x14ac:dyDescent="0.3">
      <c r="E111" s="103"/>
      <c r="F111" s="103"/>
      <c r="G111" s="103"/>
      <c r="H111" s="103"/>
      <c r="I111" s="103"/>
      <c r="J111" s="103"/>
      <c r="K111" s="103"/>
      <c r="L111" s="103"/>
      <c r="M111" s="103"/>
      <c r="O111" s="104"/>
      <c r="T111" s="103"/>
      <c r="U111" s="103"/>
    </row>
    <row r="112" spans="2:21" ht="15.75" customHeight="1" x14ac:dyDescent="0.3">
      <c r="E112" s="103"/>
      <c r="F112" s="103"/>
      <c r="G112" s="103"/>
      <c r="H112" s="103"/>
      <c r="I112" s="103"/>
      <c r="J112" s="103"/>
      <c r="K112" s="103"/>
      <c r="L112" s="103"/>
      <c r="M112" s="103"/>
      <c r="O112" s="104"/>
      <c r="T112" s="103"/>
      <c r="U112" s="103"/>
    </row>
    <row r="113" spans="1:21" ht="15.75" customHeight="1" x14ac:dyDescent="0.3">
      <c r="E113" s="103"/>
      <c r="F113" s="103"/>
      <c r="G113" s="103"/>
      <c r="H113" s="103"/>
      <c r="I113" s="103"/>
      <c r="J113" s="103"/>
      <c r="K113" s="103"/>
      <c r="L113" s="103"/>
      <c r="M113" s="103"/>
      <c r="O113" s="104"/>
      <c r="T113" s="103"/>
      <c r="U113" s="103"/>
    </row>
    <row r="114" spans="1:21" ht="15.75" customHeight="1" x14ac:dyDescent="0.3">
      <c r="E114" s="103"/>
      <c r="F114" s="103"/>
      <c r="G114" s="103"/>
      <c r="H114" s="103"/>
      <c r="I114" s="103"/>
      <c r="J114" s="103"/>
      <c r="K114" s="103"/>
      <c r="L114" s="103"/>
      <c r="M114" s="103"/>
      <c r="O114" s="104"/>
      <c r="T114" s="103"/>
      <c r="U114" s="103"/>
    </row>
    <row r="115" spans="1:21" ht="15.75" customHeight="1" x14ac:dyDescent="0.3">
      <c r="E115" s="103"/>
      <c r="F115" s="103"/>
      <c r="G115" s="103"/>
      <c r="H115" s="103"/>
      <c r="I115" s="103"/>
      <c r="J115" s="103"/>
      <c r="K115" s="103"/>
      <c r="L115" s="103"/>
      <c r="M115" s="103"/>
      <c r="O115" s="104"/>
      <c r="T115" s="103"/>
      <c r="U115" s="103"/>
    </row>
    <row r="116" spans="1:21" ht="15.75" customHeight="1" x14ac:dyDescent="0.3">
      <c r="A116" s="112" t="s">
        <v>29</v>
      </c>
      <c r="E116" s="103"/>
      <c r="F116" s="103"/>
      <c r="G116" s="103"/>
      <c r="H116" s="103"/>
      <c r="I116" s="103"/>
      <c r="J116" s="103"/>
      <c r="K116" s="103"/>
      <c r="L116" s="103"/>
      <c r="M116" s="103"/>
      <c r="O116" s="104"/>
      <c r="T116" s="103"/>
      <c r="U116" s="103"/>
    </row>
    <row r="117" spans="1:21" ht="15.75" customHeight="1" x14ac:dyDescent="0.3">
      <c r="E117" s="103"/>
      <c r="F117" s="103"/>
      <c r="G117" s="103"/>
      <c r="H117" s="103"/>
      <c r="I117" s="103"/>
      <c r="J117" s="103"/>
      <c r="K117" s="103"/>
      <c r="L117" s="103"/>
      <c r="M117" s="103"/>
      <c r="O117" s="104"/>
      <c r="T117" s="103"/>
      <c r="U117" s="103"/>
    </row>
    <row r="118" spans="1:21" ht="15.75" customHeight="1" x14ac:dyDescent="0.3">
      <c r="B118" s="112" t="s">
        <v>137</v>
      </c>
      <c r="C118" s="112" t="s">
        <v>39</v>
      </c>
      <c r="D118" s="112" t="s">
        <v>41</v>
      </c>
      <c r="E118" s="103"/>
      <c r="F118" s="103"/>
      <c r="G118" s="103"/>
      <c r="H118" s="103"/>
      <c r="I118" s="103"/>
      <c r="J118" s="103"/>
      <c r="K118" s="103"/>
      <c r="L118" s="103"/>
      <c r="M118" s="103"/>
      <c r="O118" s="104"/>
      <c r="T118" s="103"/>
      <c r="U118" s="103"/>
    </row>
    <row r="119" spans="1:21" ht="15.75" customHeight="1" x14ac:dyDescent="0.3">
      <c r="B119" s="113" t="s">
        <v>3</v>
      </c>
      <c r="C119" s="111">
        <v>0.16626477407095686</v>
      </c>
      <c r="D119" s="111">
        <v>0.11480779944289693</v>
      </c>
      <c r="E119" s="103"/>
      <c r="F119" s="103"/>
      <c r="G119" s="103"/>
      <c r="H119" s="103"/>
      <c r="I119" s="103"/>
      <c r="J119" s="103"/>
      <c r="K119" s="103"/>
      <c r="L119" s="103"/>
      <c r="M119" s="103"/>
      <c r="O119" s="104"/>
      <c r="T119" s="103"/>
      <c r="U119" s="103"/>
    </row>
    <row r="120" spans="1:21" ht="15.75" customHeight="1" x14ac:dyDescent="0.3">
      <c r="B120" s="113" t="s">
        <v>159</v>
      </c>
      <c r="C120" s="111">
        <v>0.19924430928025066</v>
      </c>
      <c r="D120" s="111">
        <v>0.1100030528136766</v>
      </c>
      <c r="E120" s="103"/>
      <c r="F120" s="103"/>
      <c r="G120" s="103"/>
      <c r="H120" s="103"/>
      <c r="I120" s="103"/>
      <c r="J120" s="103"/>
      <c r="K120" s="103"/>
      <c r="L120" s="103"/>
      <c r="M120" s="103"/>
      <c r="O120" s="104"/>
      <c r="T120" s="103"/>
      <c r="U120" s="103"/>
    </row>
    <row r="121" spans="1:21" ht="15.75" customHeight="1" x14ac:dyDescent="0.3">
      <c r="B121" s="113" t="s">
        <v>161</v>
      </c>
      <c r="C121" s="111">
        <v>0.23565217391304347</v>
      </c>
      <c r="D121" s="111">
        <v>0.15686501504978004</v>
      </c>
      <c r="E121" s="103"/>
      <c r="F121" s="103"/>
      <c r="G121" s="103"/>
      <c r="H121" s="103"/>
      <c r="I121" s="103"/>
      <c r="J121" s="103"/>
      <c r="K121" s="103"/>
      <c r="L121" s="103"/>
      <c r="M121" s="103"/>
      <c r="O121" s="104"/>
      <c r="T121" s="103"/>
      <c r="U121" s="103"/>
    </row>
    <row r="122" spans="1:21" ht="15.75" customHeight="1" x14ac:dyDescent="0.3">
      <c r="B122" s="113" t="s">
        <v>162</v>
      </c>
      <c r="C122" s="111">
        <v>0.19622655415115894</v>
      </c>
      <c r="D122" s="111">
        <v>0.1617216906370354</v>
      </c>
      <c r="E122" s="103"/>
      <c r="F122" s="103"/>
      <c r="G122" s="103"/>
      <c r="H122" s="103"/>
      <c r="I122" s="103"/>
      <c r="J122" s="103"/>
      <c r="K122" s="103"/>
      <c r="L122" s="103"/>
      <c r="M122" s="103"/>
      <c r="O122" s="104"/>
      <c r="T122" s="103"/>
      <c r="U122" s="103"/>
    </row>
    <row r="123" spans="1:21" ht="15.75" customHeight="1" x14ac:dyDescent="0.3">
      <c r="B123" s="113" t="s">
        <v>163</v>
      </c>
      <c r="C123" s="111">
        <v>0.10834990059642147</v>
      </c>
      <c r="D123" s="111">
        <v>5.893166089965398E-2</v>
      </c>
      <c r="E123" s="103"/>
      <c r="F123" s="103"/>
      <c r="G123" s="103"/>
      <c r="H123" s="103"/>
      <c r="I123" s="103"/>
      <c r="J123" s="103"/>
      <c r="K123" s="103"/>
      <c r="L123" s="103"/>
      <c r="M123" s="103"/>
      <c r="O123" s="104"/>
      <c r="T123" s="103"/>
      <c r="U123" s="103"/>
    </row>
    <row r="124" spans="1:21" ht="15.75" customHeight="1" x14ac:dyDescent="0.3">
      <c r="B124" s="113" t="s">
        <v>165</v>
      </c>
      <c r="C124" s="111">
        <v>0.10223771278476537</v>
      </c>
      <c r="D124" s="111">
        <v>8.2989321275280165E-2</v>
      </c>
      <c r="E124" s="103"/>
      <c r="F124" s="103"/>
      <c r="G124" s="103"/>
      <c r="H124" s="103"/>
      <c r="I124" s="103"/>
      <c r="J124" s="103"/>
      <c r="K124" s="103"/>
      <c r="L124" s="103"/>
      <c r="M124" s="103"/>
      <c r="O124" s="104"/>
      <c r="T124" s="103"/>
      <c r="U124" s="103"/>
    </row>
    <row r="125" spans="1:21" ht="15.75" customHeight="1" x14ac:dyDescent="0.3">
      <c r="B125" s="113" t="s">
        <v>166</v>
      </c>
      <c r="C125" s="111">
        <v>9.3385214007782102E-2</v>
      </c>
      <c r="D125" s="111">
        <v>8.1632653061224483E-2</v>
      </c>
      <c r="E125" s="103"/>
      <c r="F125" s="103"/>
      <c r="G125" s="103"/>
      <c r="H125" s="103"/>
      <c r="I125" s="103"/>
      <c r="J125" s="103"/>
      <c r="K125" s="103"/>
      <c r="L125" s="103"/>
      <c r="M125" s="103"/>
      <c r="O125" s="104"/>
      <c r="T125" s="103"/>
      <c r="U125" s="103"/>
    </row>
    <row r="126" spans="1:21" ht="15.75" customHeight="1" x14ac:dyDescent="0.3">
      <c r="B126" s="113" t="s">
        <v>167</v>
      </c>
      <c r="C126" s="111">
        <v>0.18010224144710971</v>
      </c>
      <c r="D126" s="111">
        <v>0.10812086874409821</v>
      </c>
      <c r="E126" s="103"/>
      <c r="F126" s="103"/>
      <c r="G126" s="103"/>
      <c r="H126" s="103"/>
      <c r="I126" s="103"/>
      <c r="J126" s="103"/>
      <c r="K126" s="103"/>
      <c r="L126" s="103"/>
      <c r="M126" s="103"/>
      <c r="O126" s="104"/>
      <c r="T126" s="103"/>
      <c r="U126" s="103"/>
    </row>
    <row r="127" spans="1:21" ht="15.75" customHeight="1" x14ac:dyDescent="0.3">
      <c r="B127" s="113" t="s">
        <v>168</v>
      </c>
      <c r="C127" s="111">
        <v>0.27064220183486237</v>
      </c>
      <c r="D127" s="111">
        <v>0.239642567018684</v>
      </c>
      <c r="E127" s="103"/>
      <c r="F127" s="103"/>
      <c r="G127" s="103"/>
      <c r="H127" s="103"/>
      <c r="I127" s="103"/>
      <c r="J127" s="103"/>
      <c r="K127" s="103"/>
      <c r="L127" s="103"/>
      <c r="M127" s="103"/>
      <c r="O127" s="104"/>
      <c r="T127" s="103"/>
      <c r="U127" s="103"/>
    </row>
    <row r="128" spans="1:21" ht="15.75" customHeight="1" x14ac:dyDescent="0.3">
      <c r="B128" s="113" t="s">
        <v>169</v>
      </c>
      <c r="C128" s="111">
        <v>3.6072846135886058E-2</v>
      </c>
      <c r="D128" s="111">
        <v>3.3181208053691277E-2</v>
      </c>
      <c r="E128" s="103"/>
      <c r="F128" s="103"/>
      <c r="G128" s="103"/>
      <c r="H128" s="103"/>
      <c r="I128" s="103"/>
      <c r="J128" s="103"/>
      <c r="K128" s="103"/>
      <c r="L128" s="103"/>
      <c r="M128" s="103"/>
      <c r="O128" s="104"/>
      <c r="T128" s="103"/>
      <c r="U128" s="103"/>
    </row>
    <row r="129" spans="2:21" ht="15.75" customHeight="1" x14ac:dyDescent="0.3">
      <c r="B129" s="113" t="s">
        <v>170</v>
      </c>
      <c r="C129" s="111">
        <v>0.13763661202185792</v>
      </c>
      <c r="D129" s="111">
        <v>6.4039408866995079E-2</v>
      </c>
      <c r="E129" s="103"/>
      <c r="F129" s="103"/>
      <c r="G129" s="103"/>
      <c r="H129" s="103"/>
      <c r="I129" s="103"/>
      <c r="J129" s="103"/>
      <c r="K129" s="103"/>
      <c r="L129" s="103"/>
      <c r="M129" s="103"/>
      <c r="O129" s="104"/>
      <c r="T129" s="103"/>
      <c r="U129" s="103"/>
    </row>
    <row r="130" spans="2:21" ht="15.75" customHeight="1" x14ac:dyDescent="0.3">
      <c r="B130" s="113" t="s">
        <v>171</v>
      </c>
      <c r="C130" s="111">
        <v>0.19165585638364649</v>
      </c>
      <c r="D130" s="111">
        <v>0.14601146413155061</v>
      </c>
      <c r="E130" s="103"/>
      <c r="F130" s="103"/>
      <c r="G130" s="103"/>
      <c r="H130" s="103"/>
      <c r="I130" s="103"/>
      <c r="J130" s="103"/>
      <c r="K130" s="103"/>
      <c r="L130" s="103"/>
      <c r="M130" s="103"/>
      <c r="O130" s="104"/>
      <c r="T130" s="103"/>
      <c r="U130" s="103"/>
    </row>
    <row r="131" spans="2:21" ht="15.75" customHeight="1" x14ac:dyDescent="0.3">
      <c r="B131" s="113" t="s">
        <v>172</v>
      </c>
      <c r="C131" s="111">
        <v>6.3569682151589244E-2</v>
      </c>
      <c r="D131" s="111">
        <v>5.8400718778077267E-2</v>
      </c>
      <c r="E131" s="103"/>
      <c r="F131" s="103"/>
      <c r="G131" s="103"/>
      <c r="H131" s="103"/>
      <c r="I131" s="103"/>
      <c r="J131" s="103"/>
      <c r="K131" s="103"/>
      <c r="L131" s="103"/>
      <c r="M131" s="103"/>
      <c r="O131" s="104"/>
      <c r="T131" s="103"/>
      <c r="U131" s="103"/>
    </row>
    <row r="132" spans="2:21" ht="15.75" customHeight="1" x14ac:dyDescent="0.3">
      <c r="B132" s="113" t="s">
        <v>173</v>
      </c>
      <c r="C132" s="111">
        <v>8.8970889708897091E-2</v>
      </c>
      <c r="D132" s="111">
        <v>5.1155115511551157E-2</v>
      </c>
      <c r="E132" s="103"/>
      <c r="F132" s="103"/>
      <c r="G132" s="103"/>
      <c r="H132" s="103"/>
      <c r="I132" s="103"/>
      <c r="J132" s="103"/>
      <c r="K132" s="103"/>
      <c r="L132" s="103"/>
      <c r="M132" s="103"/>
      <c r="O132" s="104"/>
      <c r="T132" s="103"/>
      <c r="U132" s="103"/>
    </row>
    <row r="133" spans="2:21" ht="15.75" customHeight="1" x14ac:dyDescent="0.3">
      <c r="B133" s="113" t="s">
        <v>174</v>
      </c>
      <c r="C133" s="111">
        <v>0.18773836859792453</v>
      </c>
      <c r="D133" s="111">
        <v>0.13877809710095834</v>
      </c>
      <c r="E133" s="103"/>
      <c r="F133" s="103"/>
      <c r="G133" s="103"/>
      <c r="H133" s="103"/>
      <c r="I133" s="103"/>
      <c r="J133" s="103"/>
      <c r="K133" s="103"/>
      <c r="L133" s="103"/>
      <c r="M133" s="103"/>
      <c r="O133" s="104"/>
      <c r="T133" s="103"/>
      <c r="U133" s="103"/>
    </row>
    <row r="134" spans="2:21" ht="15.75" customHeight="1" x14ac:dyDescent="0.3">
      <c r="B134" s="122" t="s">
        <v>175</v>
      </c>
      <c r="C134" s="136">
        <v>0.24441608168474793</v>
      </c>
      <c r="D134" s="136">
        <v>0.20361509835194044</v>
      </c>
      <c r="E134" s="103"/>
      <c r="F134" s="103"/>
      <c r="G134" s="103"/>
      <c r="H134" s="103"/>
      <c r="I134" s="103"/>
      <c r="J134" s="103"/>
      <c r="K134" s="103"/>
      <c r="L134" s="103"/>
      <c r="M134" s="103"/>
      <c r="O134" s="104"/>
      <c r="T134" s="103"/>
      <c r="U134" s="103"/>
    </row>
    <row r="135" spans="2:21" ht="15.75" customHeight="1" x14ac:dyDescent="0.3">
      <c r="E135" s="103"/>
      <c r="F135" s="103"/>
      <c r="G135" s="103"/>
      <c r="H135" s="103"/>
      <c r="I135" s="103"/>
      <c r="J135" s="103"/>
      <c r="K135" s="103"/>
      <c r="L135" s="103"/>
      <c r="M135" s="103"/>
      <c r="O135" s="104"/>
      <c r="T135" s="103"/>
      <c r="U135" s="103"/>
    </row>
    <row r="136" spans="2:21" ht="15.75" customHeight="1" x14ac:dyDescent="0.3">
      <c r="B136" s="122" t="s">
        <v>136</v>
      </c>
      <c r="C136" s="131">
        <v>0.13600000000000001</v>
      </c>
      <c r="D136" s="131">
        <v>9.2399999999999996E-2</v>
      </c>
      <c r="E136" s="103"/>
      <c r="F136" s="103"/>
      <c r="G136" s="103"/>
      <c r="H136" s="103"/>
      <c r="I136" s="103"/>
      <c r="J136" s="103"/>
      <c r="K136" s="103"/>
      <c r="L136" s="103"/>
      <c r="M136" s="103"/>
      <c r="O136" s="104"/>
      <c r="T136" s="103"/>
      <c r="U136" s="103"/>
    </row>
    <row r="137" spans="2:21" ht="15.75" customHeight="1" x14ac:dyDescent="0.3">
      <c r="E137" s="103"/>
      <c r="F137" s="103"/>
      <c r="G137" s="103"/>
      <c r="H137" s="103"/>
      <c r="I137" s="103"/>
      <c r="J137" s="103"/>
      <c r="K137" s="103"/>
      <c r="L137" s="103"/>
      <c r="M137" s="103"/>
      <c r="O137" s="104"/>
      <c r="T137" s="103"/>
      <c r="U137" s="103"/>
    </row>
    <row r="138" spans="2:21" ht="15.75" customHeight="1" x14ac:dyDescent="0.3">
      <c r="E138" s="103"/>
      <c r="F138" s="103"/>
      <c r="G138" s="103"/>
      <c r="H138" s="103"/>
      <c r="I138" s="103"/>
      <c r="J138" s="103"/>
      <c r="K138" s="103"/>
      <c r="L138" s="103"/>
      <c r="M138" s="103"/>
      <c r="O138" s="104"/>
      <c r="T138" s="103"/>
      <c r="U138" s="103"/>
    </row>
    <row r="139" spans="2:21" ht="15.75" customHeight="1" x14ac:dyDescent="0.3">
      <c r="E139" s="103"/>
      <c r="F139" s="103"/>
      <c r="G139" s="103"/>
      <c r="H139" s="103"/>
      <c r="I139" s="103"/>
      <c r="J139" s="103"/>
      <c r="K139" s="103"/>
      <c r="L139" s="103"/>
      <c r="M139" s="103"/>
      <c r="O139" s="104"/>
      <c r="T139" s="103"/>
      <c r="U139" s="103"/>
    </row>
    <row r="140" spans="2:21" ht="15.75" customHeight="1" x14ac:dyDescent="0.3">
      <c r="E140" s="103"/>
      <c r="F140" s="103"/>
      <c r="G140" s="103"/>
      <c r="H140" s="103"/>
      <c r="I140" s="103"/>
      <c r="J140" s="103"/>
      <c r="K140" s="103"/>
      <c r="L140" s="103"/>
      <c r="M140" s="103"/>
      <c r="O140" s="104"/>
      <c r="T140" s="103"/>
      <c r="U140" s="103"/>
    </row>
    <row r="141" spans="2:21" ht="15.75" customHeight="1" x14ac:dyDescent="0.3">
      <c r="E141" s="103"/>
      <c r="F141" s="103"/>
      <c r="G141" s="103"/>
      <c r="H141" s="103"/>
      <c r="I141" s="103"/>
      <c r="J141" s="103"/>
      <c r="K141" s="103"/>
      <c r="L141" s="103"/>
      <c r="M141" s="103"/>
      <c r="O141" s="104"/>
      <c r="T141" s="103"/>
      <c r="U141" s="103"/>
    </row>
    <row r="142" spans="2:21" ht="15.75" customHeight="1" x14ac:dyDescent="0.3">
      <c r="E142" s="103"/>
      <c r="F142" s="103"/>
      <c r="G142" s="103"/>
      <c r="H142" s="103"/>
      <c r="I142" s="103"/>
      <c r="J142" s="103"/>
      <c r="K142" s="103"/>
      <c r="L142" s="103"/>
      <c r="M142" s="103"/>
      <c r="O142" s="104"/>
      <c r="T142" s="103"/>
      <c r="U142" s="103"/>
    </row>
    <row r="143" spans="2:21" ht="15.75" customHeight="1" x14ac:dyDescent="0.3">
      <c r="E143" s="103"/>
      <c r="F143" s="103"/>
      <c r="G143" s="103"/>
      <c r="H143" s="103"/>
      <c r="I143" s="103"/>
      <c r="J143" s="103"/>
      <c r="K143" s="103"/>
      <c r="L143" s="103"/>
      <c r="M143" s="103"/>
      <c r="O143" s="104"/>
      <c r="T143" s="103"/>
      <c r="U143" s="103"/>
    </row>
    <row r="144" spans="2:21" ht="15.75" customHeight="1" x14ac:dyDescent="0.3">
      <c r="E144" s="103"/>
      <c r="F144" s="103"/>
      <c r="G144" s="103"/>
      <c r="H144" s="103"/>
      <c r="I144" s="103"/>
      <c r="J144" s="103"/>
      <c r="K144" s="103"/>
      <c r="L144" s="103"/>
      <c r="M144" s="103"/>
      <c r="O144" s="104"/>
      <c r="T144" s="103"/>
      <c r="U144" s="103"/>
    </row>
    <row r="145" spans="1:40" ht="15.75" customHeight="1" x14ac:dyDescent="0.3">
      <c r="E145" s="103"/>
      <c r="F145" s="103"/>
      <c r="G145" s="103"/>
      <c r="H145" s="103"/>
      <c r="I145" s="103"/>
      <c r="J145" s="103"/>
      <c r="K145" s="103"/>
      <c r="L145" s="103"/>
      <c r="M145" s="103"/>
      <c r="O145" s="104"/>
      <c r="T145" s="103"/>
      <c r="U145" s="103"/>
    </row>
    <row r="146" spans="1:40" ht="15.75" customHeight="1" x14ac:dyDescent="0.3">
      <c r="E146" s="103"/>
      <c r="F146" s="103"/>
      <c r="G146" s="103"/>
      <c r="H146" s="103"/>
      <c r="I146" s="103"/>
      <c r="J146" s="103"/>
      <c r="K146" s="103"/>
      <c r="L146" s="103"/>
      <c r="M146" s="103"/>
      <c r="O146" s="104"/>
      <c r="T146" s="103"/>
      <c r="U146" s="103"/>
    </row>
    <row r="147" spans="1:40" ht="15.75" customHeight="1" x14ac:dyDescent="0.3">
      <c r="E147" s="103"/>
      <c r="F147" s="103"/>
      <c r="G147" s="103"/>
      <c r="H147" s="103"/>
      <c r="I147" s="103"/>
      <c r="J147" s="103"/>
      <c r="K147" s="103"/>
      <c r="L147" s="103"/>
      <c r="M147" s="103"/>
      <c r="O147" s="104"/>
      <c r="T147" s="103"/>
      <c r="U147" s="103"/>
    </row>
    <row r="148" spans="1:40" ht="15.75" customHeight="1" x14ac:dyDescent="0.3">
      <c r="E148" s="103"/>
      <c r="F148" s="103"/>
      <c r="G148" s="103"/>
      <c r="H148" s="103"/>
      <c r="I148" s="103"/>
      <c r="J148" s="103"/>
      <c r="K148" s="103"/>
      <c r="L148" s="103"/>
      <c r="M148" s="103"/>
      <c r="O148" s="104"/>
      <c r="T148" s="103"/>
      <c r="U148" s="103"/>
    </row>
    <row r="149" spans="1:40" ht="15.75" customHeight="1" x14ac:dyDescent="0.3">
      <c r="E149" s="103"/>
      <c r="F149" s="103"/>
      <c r="G149" s="103"/>
      <c r="H149" s="103"/>
      <c r="I149" s="103"/>
      <c r="J149" s="103"/>
      <c r="K149" s="103"/>
      <c r="L149" s="103"/>
      <c r="M149" s="103"/>
      <c r="O149" s="104"/>
      <c r="T149" s="103"/>
      <c r="U149" s="103"/>
    </row>
    <row r="150" spans="1:40" ht="15.75" customHeight="1" x14ac:dyDescent="0.3">
      <c r="E150" s="103"/>
      <c r="F150" s="103"/>
      <c r="G150" s="103"/>
      <c r="H150" s="103"/>
      <c r="I150" s="103"/>
      <c r="J150" s="103"/>
      <c r="K150" s="103"/>
      <c r="L150" s="103"/>
      <c r="M150" s="103"/>
      <c r="O150" s="104"/>
      <c r="T150" s="103"/>
      <c r="U150" s="103"/>
    </row>
    <row r="151" spans="1:40" ht="15.75" customHeight="1" x14ac:dyDescent="0.3">
      <c r="E151" s="103"/>
      <c r="F151" s="103"/>
      <c r="G151" s="103"/>
      <c r="H151" s="103"/>
      <c r="I151" s="103"/>
      <c r="J151" s="103"/>
      <c r="K151" s="103"/>
      <c r="L151" s="103"/>
      <c r="M151" s="103"/>
      <c r="O151" s="104"/>
      <c r="T151" s="103"/>
      <c r="U151" s="103"/>
    </row>
    <row r="152" spans="1:40" ht="15.75" customHeight="1" x14ac:dyDescent="0.3">
      <c r="E152" s="103"/>
      <c r="F152" s="103"/>
      <c r="G152" s="103"/>
      <c r="H152" s="103"/>
      <c r="I152" s="103"/>
      <c r="J152" s="103"/>
      <c r="K152" s="103"/>
      <c r="L152" s="103"/>
      <c r="M152" s="103"/>
      <c r="O152" s="104"/>
      <c r="T152" s="103"/>
      <c r="U152" s="103"/>
    </row>
    <row r="153" spans="1:40" ht="15.75" customHeight="1" x14ac:dyDescent="0.3">
      <c r="E153" s="103"/>
      <c r="F153" s="103"/>
      <c r="G153" s="103"/>
      <c r="H153" s="103"/>
      <c r="I153" s="103"/>
      <c r="J153" s="103"/>
      <c r="K153" s="103"/>
      <c r="L153" s="103"/>
      <c r="M153" s="103"/>
      <c r="O153" s="104"/>
      <c r="T153" s="103"/>
      <c r="U153" s="103"/>
    </row>
    <row r="154" spans="1:40" ht="15.75" customHeight="1" x14ac:dyDescent="0.3">
      <c r="E154" s="103"/>
      <c r="F154" s="103"/>
      <c r="G154" s="103"/>
      <c r="H154" s="103"/>
      <c r="I154" s="103"/>
      <c r="J154" s="103"/>
      <c r="K154" s="103"/>
      <c r="L154" s="103"/>
      <c r="M154" s="103"/>
      <c r="O154" s="104"/>
      <c r="T154" s="103"/>
      <c r="U154" s="103"/>
    </row>
    <row r="155" spans="1:40" ht="15.75" customHeight="1" x14ac:dyDescent="0.3">
      <c r="E155" s="103"/>
      <c r="F155" s="103"/>
      <c r="G155" s="103"/>
      <c r="H155" s="103"/>
      <c r="I155" s="103"/>
      <c r="J155" s="103"/>
      <c r="K155" s="103"/>
      <c r="L155" s="103"/>
      <c r="M155" s="103"/>
      <c r="O155" s="104"/>
      <c r="T155" s="103"/>
      <c r="U155" s="103"/>
    </row>
    <row r="156" spans="1:40" ht="15.75" customHeight="1" x14ac:dyDescent="0.3">
      <c r="A156" s="112" t="s">
        <v>180</v>
      </c>
      <c r="B156" s="112" t="s">
        <v>137</v>
      </c>
      <c r="C156" s="112" t="s">
        <v>181</v>
      </c>
      <c r="D156" s="112" t="s">
        <v>138</v>
      </c>
      <c r="E156" s="112" t="s">
        <v>182</v>
      </c>
      <c r="F156" s="112" t="s">
        <v>183</v>
      </c>
      <c r="G156" s="112" t="s">
        <v>140</v>
      </c>
      <c r="H156" s="112" t="s">
        <v>184</v>
      </c>
      <c r="I156" s="112" t="s">
        <v>10</v>
      </c>
      <c r="J156" s="112" t="s">
        <v>139</v>
      </c>
      <c r="K156" s="112" t="s">
        <v>12</v>
      </c>
      <c r="L156" s="112" t="s">
        <v>185</v>
      </c>
      <c r="M156" s="112" t="s">
        <v>14</v>
      </c>
      <c r="N156" s="112" t="s">
        <v>186</v>
      </c>
      <c r="O156" s="112" t="s">
        <v>187</v>
      </c>
      <c r="P156" s="112" t="s">
        <v>188</v>
      </c>
      <c r="Q156" s="112" t="s">
        <v>141</v>
      </c>
      <c r="R156" s="112" t="s">
        <v>142</v>
      </c>
      <c r="S156" s="112" t="s">
        <v>143</v>
      </c>
      <c r="T156" s="112" t="s">
        <v>144</v>
      </c>
      <c r="U156" s="112" t="s">
        <v>145</v>
      </c>
      <c r="V156" s="112" t="s">
        <v>92</v>
      </c>
      <c r="W156" s="112" t="s">
        <v>189</v>
      </c>
      <c r="X156" s="137" t="s">
        <v>179</v>
      </c>
      <c r="Y156" s="137" t="s">
        <v>156</v>
      </c>
      <c r="Z156" s="137" t="s">
        <v>38</v>
      </c>
      <c r="AA156" s="137" t="s">
        <v>146</v>
      </c>
      <c r="AB156" s="137" t="s">
        <v>147</v>
      </c>
      <c r="AC156" s="137" t="s">
        <v>36</v>
      </c>
      <c r="AD156" s="137" t="s">
        <v>37</v>
      </c>
      <c r="AE156" s="137" t="s">
        <v>39</v>
      </c>
      <c r="AF156" s="137" t="s">
        <v>40</v>
      </c>
      <c r="AG156" s="137" t="s">
        <v>41</v>
      </c>
      <c r="AH156" s="137" t="s">
        <v>148</v>
      </c>
      <c r="AI156" s="137" t="s">
        <v>43</v>
      </c>
      <c r="AJ156" s="137" t="s">
        <v>44</v>
      </c>
      <c r="AK156" s="137" t="s">
        <v>45</v>
      </c>
      <c r="AL156" s="137" t="s">
        <v>151</v>
      </c>
      <c r="AM156" s="106" t="s">
        <v>190</v>
      </c>
      <c r="AN156" s="106" t="s">
        <v>191</v>
      </c>
    </row>
    <row r="157" spans="1:40" ht="15.75" customHeight="1" x14ac:dyDescent="0.3">
      <c r="A157" s="138">
        <v>500331</v>
      </c>
      <c r="B157" s="139" t="s">
        <v>3</v>
      </c>
      <c r="C157" s="114">
        <f ca="1">IFERROR(__xludf.DUMMYFUNCTION("GOOGLEFINANCE(""bom:""&amp;A2,""price"")"),3003.2)</f>
        <v>3003.2</v>
      </c>
      <c r="D157" s="107">
        <f ca="1">IFERROR(__xludf.DUMMYFUNCTION("GOOGLEFINANCE(""bom:""&amp;A2,""marketcap"")/10000000"),153554.2689208)</f>
        <v>153554.26892080001</v>
      </c>
      <c r="E157" s="107">
        <v>5057</v>
      </c>
      <c r="F157" s="107">
        <v>2789</v>
      </c>
      <c r="G157" s="107">
        <v>11219</v>
      </c>
      <c r="H157" s="107">
        <v>3472</v>
      </c>
      <c r="I157" s="107">
        <v>51</v>
      </c>
      <c r="J157" s="107">
        <v>7747</v>
      </c>
      <c r="K157" s="107">
        <v>185</v>
      </c>
      <c r="L157" s="107">
        <v>1752</v>
      </c>
      <c r="M157" s="107">
        <v>1</v>
      </c>
      <c r="N157" s="114"/>
      <c r="O157" s="140">
        <v>29.68</v>
      </c>
      <c r="P157" s="114"/>
      <c r="Q157" s="141">
        <v>6218</v>
      </c>
      <c r="R157" s="114">
        <v>11799</v>
      </c>
      <c r="S157" s="47">
        <v>12170</v>
      </c>
      <c r="T157" s="114">
        <v>1288</v>
      </c>
      <c r="U157" s="87">
        <v>1729</v>
      </c>
      <c r="V157" s="107">
        <v>25</v>
      </c>
      <c r="W157" s="107">
        <v>5138</v>
      </c>
      <c r="X157" s="142">
        <f t="shared" ref="X157:Y172" si="6">T157/R157</f>
        <v>0.10916179337231968</v>
      </c>
      <c r="Y157" s="142">
        <f t="shared" si="6"/>
        <v>0.14207066557107642</v>
      </c>
      <c r="Z157" s="107">
        <f t="shared" ref="Z157:Z207" si="7">(R157-W157+V157)/V157</f>
        <v>267.44</v>
      </c>
      <c r="AA157" s="107">
        <f t="shared" ref="AA157:AA207" si="8">E157/F157</f>
        <v>1.8131946934385084</v>
      </c>
      <c r="AB157" s="107">
        <f t="shared" ref="AB157:AB207" si="9">(L157/R157)*365</f>
        <v>54.19781337401475</v>
      </c>
      <c r="AC157" s="140">
        <f t="shared" ref="AC157:AC207" si="10">K157/J157</f>
        <v>2.3880211694849621E-2</v>
      </c>
      <c r="AD157" s="140">
        <f t="shared" ref="AD157:AD207" si="11">H157/G157</f>
        <v>0.30947499777163739</v>
      </c>
      <c r="AE157" s="142">
        <f t="shared" ref="AE157:AE207" si="12">T157/J157</f>
        <v>0.16625790628630438</v>
      </c>
      <c r="AF157" s="143">
        <f t="shared" ref="AF157:AF207" si="13">T157/I157</f>
        <v>25.254901960784313</v>
      </c>
      <c r="AG157" s="142">
        <f t="shared" ref="AG157:AG207" si="14">T157/G157</f>
        <v>0.11480524110883322</v>
      </c>
      <c r="AH157" s="107">
        <f t="shared" ref="AH157:AH207" ca="1" si="15">C157/O157</f>
        <v>101.18598382749326</v>
      </c>
      <c r="AI157" s="142">
        <f t="shared" ref="AI157:AI207" ca="1" si="16">O157/C157</f>
        <v>9.8827916888652115E-3</v>
      </c>
      <c r="AJ157" s="107">
        <f t="shared" ref="AJ157:AJ207" si="17">J157/(I157/M157)</f>
        <v>151.90196078431373</v>
      </c>
      <c r="AK157" s="143">
        <f t="shared" ref="AK157:AK207" ca="1" si="18">C157/AJ157</f>
        <v>19.77064670194914</v>
      </c>
      <c r="AL157" s="144">
        <f t="shared" ref="AL157:AL207" si="19">(R157/Q157)^(1/5)-1</f>
        <v>0.13668177473675258</v>
      </c>
      <c r="AM157" s="144">
        <f t="shared" ref="AM157:AM172" si="20">(S157/R157)-1</f>
        <v>3.1443342656157336E-2</v>
      </c>
      <c r="AN157" s="144">
        <f t="shared" ref="AN157:AN172" si="21">(U157/T157)-1</f>
        <v>0.34239130434782616</v>
      </c>
    </row>
    <row r="158" spans="1:40" ht="15.75" customHeight="1" x14ac:dyDescent="0.3">
      <c r="A158" s="138">
        <v>503806</v>
      </c>
      <c r="B158" s="139" t="s">
        <v>159</v>
      </c>
      <c r="C158" s="114">
        <f ca="1">IFERROR(__xludf.DUMMYFUNCTION("GOOGLEFINANCE(""bom:""&amp;A3,""price"")"),2288.8)</f>
        <v>2288.8000000000002</v>
      </c>
      <c r="D158" s="107">
        <f ca="1">IFERROR(__xludf.DUMMYFUNCTION("GOOGLEFINANCE(""bom:""&amp;A3,""marketcap"")/10000000"),67730.0996572)</f>
        <v>67730.0996572</v>
      </c>
      <c r="E158" s="107">
        <v>5523</v>
      </c>
      <c r="F158" s="107">
        <v>5190</v>
      </c>
      <c r="G158" s="107">
        <v>19654</v>
      </c>
      <c r="H158" s="107">
        <v>8802</v>
      </c>
      <c r="I158" s="107">
        <v>297</v>
      </c>
      <c r="J158" s="107">
        <v>10851</v>
      </c>
      <c r="K158" s="107">
        <v>4856</v>
      </c>
      <c r="L158" s="107">
        <v>1748</v>
      </c>
      <c r="M158" s="107">
        <v>10</v>
      </c>
      <c r="N158" s="114"/>
      <c r="O158" s="140">
        <v>59.03</v>
      </c>
      <c r="P158" s="114"/>
      <c r="Q158" s="145">
        <v>5684</v>
      </c>
      <c r="R158" s="114">
        <v>14870</v>
      </c>
      <c r="S158" s="41">
        <v>13347</v>
      </c>
      <c r="T158" s="114">
        <v>2162</v>
      </c>
      <c r="U158" s="87">
        <v>1476</v>
      </c>
      <c r="V158" s="107">
        <v>144</v>
      </c>
      <c r="W158" s="107">
        <v>5656</v>
      </c>
      <c r="X158" s="142">
        <f t="shared" si="6"/>
        <v>0.14539340954942839</v>
      </c>
      <c r="Y158" s="142">
        <f t="shared" si="6"/>
        <v>0.11058664868509778</v>
      </c>
      <c r="Z158" s="107">
        <f t="shared" si="7"/>
        <v>64.986111111111114</v>
      </c>
      <c r="AA158" s="107">
        <f t="shared" si="8"/>
        <v>1.0641618497109826</v>
      </c>
      <c r="AB158" s="107">
        <f t="shared" si="9"/>
        <v>42.906523201075991</v>
      </c>
      <c r="AC158" s="140">
        <f t="shared" si="10"/>
        <v>0.44751635793936045</v>
      </c>
      <c r="AD158" s="140">
        <f t="shared" si="11"/>
        <v>0.44784776635799328</v>
      </c>
      <c r="AE158" s="142">
        <f t="shared" si="12"/>
        <v>0.19924430928025066</v>
      </c>
      <c r="AF158" s="143">
        <f t="shared" si="13"/>
        <v>7.2794612794612794</v>
      </c>
      <c r="AG158" s="142">
        <f t="shared" si="14"/>
        <v>0.1100030528136766</v>
      </c>
      <c r="AH158" s="107">
        <f t="shared" ca="1" si="15"/>
        <v>38.773504997458922</v>
      </c>
      <c r="AI158" s="142">
        <f t="shared" ca="1" si="16"/>
        <v>2.5790807409996504E-2</v>
      </c>
      <c r="AJ158" s="107">
        <f t="shared" si="17"/>
        <v>365.35353535353534</v>
      </c>
      <c r="AK158" s="143">
        <f t="shared" ca="1" si="18"/>
        <v>6.2646170859828594</v>
      </c>
      <c r="AL158" s="144">
        <f t="shared" si="19"/>
        <v>0.21208026420680182</v>
      </c>
      <c r="AM158" s="144">
        <f t="shared" si="20"/>
        <v>-0.10242098184263615</v>
      </c>
      <c r="AN158" s="144">
        <f t="shared" si="21"/>
        <v>-0.31729879740980571</v>
      </c>
    </row>
    <row r="159" spans="1:40" ht="15.75" customHeight="1" x14ac:dyDescent="0.3">
      <c r="A159" s="146">
        <v>542812</v>
      </c>
      <c r="B159" s="147" t="s">
        <v>161</v>
      </c>
      <c r="C159" s="148">
        <f ca="1">IFERROR(__xludf.DUMMYFUNCTION("GOOGLEFINANCE(""bom:""&amp;A4,""price"")"),3236.5)</f>
        <v>3236.5</v>
      </c>
      <c r="D159" s="149">
        <f ca="1">IFERROR(__xludf.DUMMYFUNCTION("GOOGLEFINANCE(""bom:""&amp;A4,""marketcap"")/10000000"),35591.3676)</f>
        <v>35591.367599999998</v>
      </c>
      <c r="E159" s="107">
        <v>3340</v>
      </c>
      <c r="F159" s="107">
        <v>2398</v>
      </c>
      <c r="G159" s="107">
        <v>8638</v>
      </c>
      <c r="H159" s="107">
        <v>2887</v>
      </c>
      <c r="I159" s="107">
        <v>11</v>
      </c>
      <c r="J159" s="107">
        <v>5750</v>
      </c>
      <c r="K159" s="107">
        <v>1628</v>
      </c>
      <c r="L159" s="107">
        <v>729</v>
      </c>
      <c r="M159" s="107">
        <v>1</v>
      </c>
      <c r="N159" s="114"/>
      <c r="O159" s="140">
        <v>98.82</v>
      </c>
      <c r="P159" s="114"/>
      <c r="Q159" s="145">
        <v>2729</v>
      </c>
      <c r="R159" s="114">
        <v>5612</v>
      </c>
      <c r="S159" s="41">
        <v>5045</v>
      </c>
      <c r="T159" s="114">
        <v>1355</v>
      </c>
      <c r="U159" s="87">
        <v>916</v>
      </c>
      <c r="V159" s="107">
        <v>62</v>
      </c>
      <c r="W159" s="107">
        <v>2184</v>
      </c>
      <c r="X159" s="142">
        <f t="shared" si="6"/>
        <v>0.24144689950106915</v>
      </c>
      <c r="Y159" s="142">
        <f t="shared" si="6"/>
        <v>0.18156590683845392</v>
      </c>
      <c r="Z159" s="107">
        <f t="shared" si="7"/>
        <v>56.29032258064516</v>
      </c>
      <c r="AA159" s="107">
        <f t="shared" si="8"/>
        <v>1.3928273561301083</v>
      </c>
      <c r="AB159" s="107">
        <f t="shared" si="9"/>
        <v>47.413578047042051</v>
      </c>
      <c r="AC159" s="140">
        <f t="shared" si="10"/>
        <v>0.28313043478260869</v>
      </c>
      <c r="AD159" s="140">
        <f t="shared" si="11"/>
        <v>0.33422088446399628</v>
      </c>
      <c r="AE159" s="142">
        <f t="shared" si="12"/>
        <v>0.23565217391304347</v>
      </c>
      <c r="AF159" s="143">
        <f t="shared" si="13"/>
        <v>123.18181818181819</v>
      </c>
      <c r="AG159" s="142">
        <f t="shared" si="14"/>
        <v>0.15686501504978004</v>
      </c>
      <c r="AH159" s="107">
        <f t="shared" ca="1" si="15"/>
        <v>32.751467314308847</v>
      </c>
      <c r="AI159" s="142">
        <f t="shared" ca="1" si="16"/>
        <v>3.0532983160821873E-2</v>
      </c>
      <c r="AJ159" s="107">
        <f t="shared" si="17"/>
        <v>522.72727272727275</v>
      </c>
      <c r="AK159" s="143">
        <f t="shared" ca="1" si="18"/>
        <v>6.1915652173913038</v>
      </c>
      <c r="AL159" s="144">
        <f t="shared" si="19"/>
        <v>0.15510862145635573</v>
      </c>
      <c r="AM159" s="144">
        <f t="shared" si="20"/>
        <v>-0.10103349964362085</v>
      </c>
      <c r="AN159" s="144">
        <f t="shared" si="21"/>
        <v>-0.32398523985239858</v>
      </c>
    </row>
    <row r="160" spans="1:40" ht="15.75" customHeight="1" x14ac:dyDescent="0.3">
      <c r="A160" s="138">
        <v>506401</v>
      </c>
      <c r="B160" s="139" t="s">
        <v>162</v>
      </c>
      <c r="C160" s="114">
        <f ca="1">IFERROR(__xludf.DUMMYFUNCTION("GOOGLEFINANCE(""bom:""&amp;A5,""price"")"),2514.35)</f>
        <v>2514.35</v>
      </c>
      <c r="D160" s="107">
        <f ca="1">IFERROR(__xludf.DUMMYFUNCTION("GOOGLEFINANCE(""bom:""&amp;A5,""marketcap"")/10000000"),33934.5784)</f>
        <v>33934.578399999999</v>
      </c>
      <c r="E160" s="107">
        <v>2576</v>
      </c>
      <c r="F160" s="107">
        <v>688</v>
      </c>
      <c r="G160" s="107">
        <v>5268</v>
      </c>
      <c r="H160" s="107">
        <v>926</v>
      </c>
      <c r="I160" s="107">
        <v>27</v>
      </c>
      <c r="J160" s="107">
        <v>4342</v>
      </c>
      <c r="K160" s="107">
        <v>53</v>
      </c>
      <c r="L160" s="107">
        <v>1212</v>
      </c>
      <c r="M160" s="107">
        <v>2</v>
      </c>
      <c r="N160" s="114"/>
      <c r="O160" s="140">
        <v>33.5</v>
      </c>
      <c r="P160" s="114"/>
      <c r="Q160" s="145">
        <v>1676</v>
      </c>
      <c r="R160" s="114">
        <v>7972</v>
      </c>
      <c r="S160" s="41">
        <v>7499</v>
      </c>
      <c r="T160" s="114">
        <v>852</v>
      </c>
      <c r="U160" s="87">
        <v>798</v>
      </c>
      <c r="V160" s="107">
        <v>4</v>
      </c>
      <c r="W160" s="107">
        <v>3116</v>
      </c>
      <c r="X160" s="142">
        <f t="shared" si="6"/>
        <v>0.10687405920722529</v>
      </c>
      <c r="Y160" s="142">
        <f t="shared" si="6"/>
        <v>0.10641418855847447</v>
      </c>
      <c r="Z160" s="107">
        <f t="shared" si="7"/>
        <v>1215</v>
      </c>
      <c r="AA160" s="107">
        <f t="shared" si="8"/>
        <v>3.7441860465116279</v>
      </c>
      <c r="AB160" s="107">
        <f t="shared" si="9"/>
        <v>55.491721023582542</v>
      </c>
      <c r="AC160" s="140">
        <f t="shared" si="10"/>
        <v>1.2206356517733764E-2</v>
      </c>
      <c r="AD160" s="140">
        <f t="shared" si="11"/>
        <v>0.17577828397873957</v>
      </c>
      <c r="AE160" s="142">
        <f t="shared" si="12"/>
        <v>0.1962229387379088</v>
      </c>
      <c r="AF160" s="143">
        <f t="shared" si="13"/>
        <v>31.555555555555557</v>
      </c>
      <c r="AG160" s="142">
        <f t="shared" si="14"/>
        <v>0.16173120728929385</v>
      </c>
      <c r="AH160" s="107">
        <f t="shared" ca="1" si="15"/>
        <v>75.055223880597012</v>
      </c>
      <c r="AI160" s="142">
        <f t="shared" ca="1" si="16"/>
        <v>1.3323522978105674E-2</v>
      </c>
      <c r="AJ160" s="107">
        <f t="shared" si="17"/>
        <v>321.62962962962962</v>
      </c>
      <c r="AK160" s="143">
        <f t="shared" ca="1" si="18"/>
        <v>7.8175322432058962</v>
      </c>
      <c r="AL160" s="144">
        <f t="shared" si="19"/>
        <v>0.36602502385962632</v>
      </c>
      <c r="AM160" s="144">
        <f t="shared" si="20"/>
        <v>-5.9332664325137952E-2</v>
      </c>
      <c r="AN160" s="144">
        <f t="shared" si="21"/>
        <v>-6.3380281690140872E-2</v>
      </c>
    </row>
    <row r="161" spans="1:40" ht="15.75" customHeight="1" x14ac:dyDescent="0.3">
      <c r="A161" s="138">
        <v>524208</v>
      </c>
      <c r="B161" s="139" t="s">
        <v>163</v>
      </c>
      <c r="C161" s="114">
        <f ca="1">IFERROR(__xludf.DUMMYFUNCTION("GOOGLEFINANCE(""bom:""&amp;A6,""price"")"),631.9)</f>
        <v>631.9</v>
      </c>
      <c r="D161" s="107">
        <f ca="1">IFERROR(__xludf.DUMMYFUNCTION("GOOGLEFINANCE(""bom:""&amp;A6,""marketcap"")/10000000"),22874.0024)</f>
        <v>22874.002400000001</v>
      </c>
      <c r="E161" s="107">
        <v>2708</v>
      </c>
      <c r="F161" s="107">
        <v>2560</v>
      </c>
      <c r="G161" s="107">
        <v>9248</v>
      </c>
      <c r="H161" s="107">
        <v>4218</v>
      </c>
      <c r="I161" s="107">
        <v>181</v>
      </c>
      <c r="J161" s="107">
        <v>5030</v>
      </c>
      <c r="K161" s="107">
        <v>3156</v>
      </c>
      <c r="L161" s="107">
        <v>785</v>
      </c>
      <c r="M161" s="107">
        <v>5</v>
      </c>
      <c r="N161" s="114"/>
      <c r="O161" s="140">
        <v>12.29</v>
      </c>
      <c r="P161" s="114"/>
      <c r="Q161" s="145">
        <v>3806</v>
      </c>
      <c r="R161" s="114">
        <v>7282</v>
      </c>
      <c r="S161" s="41">
        <v>6191</v>
      </c>
      <c r="T161" s="114">
        <v>545</v>
      </c>
      <c r="U161" s="87">
        <v>447</v>
      </c>
      <c r="V161" s="107">
        <v>99</v>
      </c>
      <c r="W161" s="107">
        <v>2715</v>
      </c>
      <c r="X161" s="142">
        <f t="shared" si="6"/>
        <v>7.4842076352650375E-2</v>
      </c>
      <c r="Y161" s="142">
        <f t="shared" si="6"/>
        <v>7.2201582942981749E-2</v>
      </c>
      <c r="Z161" s="107">
        <f t="shared" si="7"/>
        <v>47.131313131313128</v>
      </c>
      <c r="AA161" s="107">
        <f t="shared" si="8"/>
        <v>1.0578125</v>
      </c>
      <c r="AB161" s="107">
        <f t="shared" si="9"/>
        <v>39.347020049436964</v>
      </c>
      <c r="AC161" s="140">
        <f t="shared" si="10"/>
        <v>0.62743538767395624</v>
      </c>
      <c r="AD161" s="140">
        <f t="shared" si="11"/>
        <v>0.456098615916955</v>
      </c>
      <c r="AE161" s="142">
        <f t="shared" si="12"/>
        <v>0.10834990059642147</v>
      </c>
      <c r="AF161" s="143">
        <f t="shared" si="13"/>
        <v>3.0110497237569063</v>
      </c>
      <c r="AG161" s="142">
        <f t="shared" si="14"/>
        <v>5.893166089965398E-2</v>
      </c>
      <c r="AH161" s="107">
        <f t="shared" ca="1" si="15"/>
        <v>51.415785191212372</v>
      </c>
      <c r="AI161" s="142">
        <f t="shared" ca="1" si="16"/>
        <v>1.9449279949359074E-2</v>
      </c>
      <c r="AJ161" s="107">
        <f t="shared" si="17"/>
        <v>138.95027624309392</v>
      </c>
      <c r="AK161" s="143">
        <f t="shared" ca="1" si="18"/>
        <v>4.5476699801192844</v>
      </c>
      <c r="AL161" s="144">
        <f t="shared" si="19"/>
        <v>0.1385611956259134</v>
      </c>
      <c r="AM161" s="144">
        <f t="shared" si="20"/>
        <v>-0.14982147761603959</v>
      </c>
      <c r="AN161" s="144">
        <f t="shared" si="21"/>
        <v>-0.1798165137614679</v>
      </c>
    </row>
    <row r="162" spans="1:40" ht="15.75" customHeight="1" x14ac:dyDescent="0.3">
      <c r="A162" s="138">
        <v>500027</v>
      </c>
      <c r="B162" s="139" t="s">
        <v>165</v>
      </c>
      <c r="C162" s="114">
        <f ca="1">IFERROR(__xludf.DUMMYFUNCTION("GOOGLEFINANCE(""bom:""&amp;A7,""price"")"),7100)</f>
        <v>7100</v>
      </c>
      <c r="D162" s="107">
        <f ca="1">IFERROR(__xludf.DUMMYFUNCTION("GOOGLEFINANCE(""bom:""&amp;A7,""marketcap"")/10000000"),17561.99791)</f>
        <v>17561.997909999998</v>
      </c>
      <c r="E162" s="107">
        <v>2107</v>
      </c>
      <c r="F162" s="107">
        <v>815</v>
      </c>
      <c r="G162" s="107">
        <v>6097</v>
      </c>
      <c r="H162" s="107">
        <v>1148</v>
      </c>
      <c r="I162" s="107">
        <v>30</v>
      </c>
      <c r="J162" s="107">
        <v>4949</v>
      </c>
      <c r="K162" s="107">
        <v>157</v>
      </c>
      <c r="L162" s="107">
        <v>907</v>
      </c>
      <c r="M162" s="107">
        <v>10</v>
      </c>
      <c r="N162" s="114"/>
      <c r="O162" s="140">
        <v>134.93</v>
      </c>
      <c r="P162" s="114"/>
      <c r="Q162" s="145">
        <v>3337</v>
      </c>
      <c r="R162" s="114">
        <v>5427</v>
      </c>
      <c r="S162" s="41">
        <v>4709</v>
      </c>
      <c r="T162" s="114">
        <v>506</v>
      </c>
      <c r="U162" s="87">
        <v>358</v>
      </c>
      <c r="V162" s="107">
        <v>4</v>
      </c>
      <c r="W162" s="107">
        <v>2148</v>
      </c>
      <c r="X162" s="142">
        <f t="shared" si="6"/>
        <v>9.3237516123088268E-2</v>
      </c>
      <c r="Y162" s="142">
        <f t="shared" si="6"/>
        <v>7.6024633680186873E-2</v>
      </c>
      <c r="Z162" s="107">
        <f t="shared" si="7"/>
        <v>820.75</v>
      </c>
      <c r="AA162" s="107">
        <f t="shared" si="8"/>
        <v>2.5852760736196321</v>
      </c>
      <c r="AB162" s="107">
        <f t="shared" si="9"/>
        <v>61.001474110926843</v>
      </c>
      <c r="AC162" s="140">
        <f t="shared" si="10"/>
        <v>3.1723580521317435E-2</v>
      </c>
      <c r="AD162" s="140">
        <f t="shared" si="11"/>
        <v>0.18828932261768083</v>
      </c>
      <c r="AE162" s="142">
        <f t="shared" si="12"/>
        <v>0.10224287734895939</v>
      </c>
      <c r="AF162" s="143">
        <f t="shared" si="13"/>
        <v>16.866666666666667</v>
      </c>
      <c r="AG162" s="142">
        <f t="shared" si="14"/>
        <v>8.2991635230441202E-2</v>
      </c>
      <c r="AH162" s="107">
        <f t="shared" ca="1" si="15"/>
        <v>52.619876973245383</v>
      </c>
      <c r="AI162" s="142">
        <f t="shared" ca="1" si="16"/>
        <v>1.9004225352112675E-2</v>
      </c>
      <c r="AJ162" s="107">
        <f t="shared" si="17"/>
        <v>1649.6666666666667</v>
      </c>
      <c r="AK162" s="143">
        <f t="shared" ca="1" si="18"/>
        <v>4.3038997777328749</v>
      </c>
      <c r="AL162" s="144">
        <f t="shared" si="19"/>
        <v>0.10215004567551755</v>
      </c>
      <c r="AM162" s="144">
        <f t="shared" si="20"/>
        <v>-0.13230145568454021</v>
      </c>
      <c r="AN162" s="144">
        <f t="shared" si="21"/>
        <v>-0.29249011857707508</v>
      </c>
    </row>
    <row r="163" spans="1:40" ht="15.75" customHeight="1" x14ac:dyDescent="0.3">
      <c r="A163" s="138">
        <v>524200</v>
      </c>
      <c r="B163" s="139" t="s">
        <v>166</v>
      </c>
      <c r="C163" s="114">
        <f ca="1">IFERROR(__xludf.DUMMYFUNCTION("GOOGLEFINANCE(""bom:""&amp;A8,""price"")"),1670.5)</f>
        <v>1670.5</v>
      </c>
      <c r="D163" s="107">
        <f ca="1">IFERROR(__xludf.DUMMYFUNCTION("GOOGLEFINANCE(""bom:""&amp;A8,""marketcap"")/10000000"),17281.05552)</f>
        <v>17281.055520000002</v>
      </c>
      <c r="E163" s="107">
        <v>928</v>
      </c>
      <c r="F163" s="107">
        <v>182</v>
      </c>
      <c r="G163" s="107">
        <v>2646</v>
      </c>
      <c r="H163" s="107">
        <v>333</v>
      </c>
      <c r="I163" s="107">
        <v>10</v>
      </c>
      <c r="J163" s="107">
        <v>2313</v>
      </c>
      <c r="K163" s="107">
        <v>0</v>
      </c>
      <c r="L163" s="107">
        <v>390</v>
      </c>
      <c r="M163" s="107">
        <v>1</v>
      </c>
      <c r="N163" s="114"/>
      <c r="O163" s="140">
        <v>39.71</v>
      </c>
      <c r="P163" s="114"/>
      <c r="Q163" s="145">
        <v>756</v>
      </c>
      <c r="R163" s="114">
        <v>2085</v>
      </c>
      <c r="S163" s="41">
        <v>1891</v>
      </c>
      <c r="T163" s="114">
        <v>458</v>
      </c>
      <c r="U163" s="87">
        <v>408</v>
      </c>
      <c r="V163" s="107">
        <v>1</v>
      </c>
      <c r="W163" s="107">
        <v>687</v>
      </c>
      <c r="X163" s="142">
        <f t="shared" si="6"/>
        <v>0.21966426858513188</v>
      </c>
      <c r="Y163" s="142">
        <f t="shared" si="6"/>
        <v>0.2157588577472237</v>
      </c>
      <c r="Z163" s="107">
        <f t="shared" si="7"/>
        <v>1399</v>
      </c>
      <c r="AA163" s="107">
        <f t="shared" si="8"/>
        <v>5.0989010989010985</v>
      </c>
      <c r="AB163" s="107">
        <f t="shared" si="9"/>
        <v>68.273381294964025</v>
      </c>
      <c r="AC163" s="140">
        <f t="shared" si="10"/>
        <v>0</v>
      </c>
      <c r="AD163" s="140">
        <f t="shared" si="11"/>
        <v>0.12585034013605442</v>
      </c>
      <c r="AE163" s="142">
        <f t="shared" si="12"/>
        <v>0.19801124081279722</v>
      </c>
      <c r="AF163" s="143">
        <f t="shared" si="13"/>
        <v>45.8</v>
      </c>
      <c r="AG163" s="142">
        <f t="shared" si="14"/>
        <v>0.17309145880574453</v>
      </c>
      <c r="AH163" s="107">
        <f t="shared" ca="1" si="15"/>
        <v>42.06748929740619</v>
      </c>
      <c r="AI163" s="142">
        <f t="shared" ca="1" si="16"/>
        <v>2.3771325950314278E-2</v>
      </c>
      <c r="AJ163" s="107">
        <f t="shared" si="17"/>
        <v>231.3</v>
      </c>
      <c r="AK163" s="143">
        <f t="shared" ca="1" si="18"/>
        <v>7.2222222222222214</v>
      </c>
      <c r="AL163" s="144">
        <f t="shared" si="19"/>
        <v>0.22494574302872405</v>
      </c>
      <c r="AM163" s="144">
        <f t="shared" si="20"/>
        <v>-9.3045563549160715E-2</v>
      </c>
      <c r="AN163" s="144">
        <f t="shared" si="21"/>
        <v>-0.10917030567685593</v>
      </c>
    </row>
    <row r="164" spans="1:40" ht="15.75" customHeight="1" x14ac:dyDescent="0.3">
      <c r="A164" s="138">
        <v>500184</v>
      </c>
      <c r="B164" s="139" t="s">
        <v>167</v>
      </c>
      <c r="C164" s="114">
        <f ca="1">IFERROR(__xludf.DUMMYFUNCTION("GOOGLEFINANCE(""bom:""&amp;A9,""price"")"),353)</f>
        <v>353</v>
      </c>
      <c r="D164" s="107">
        <f ca="1">IFERROR(__xludf.DUMMYFUNCTION("GOOGLEFINANCE(""bom:""&amp;A9,""marketcap"")/10000000"),17383.1116065)</f>
        <v>17383.111606499999</v>
      </c>
      <c r="E164" s="107">
        <v>2061</v>
      </c>
      <c r="F164" s="107">
        <v>1524</v>
      </c>
      <c r="G164" s="107">
        <v>4236</v>
      </c>
      <c r="H164" s="107">
        <v>1695</v>
      </c>
      <c r="I164" s="107">
        <v>44</v>
      </c>
      <c r="J164" s="107">
        <v>2543</v>
      </c>
      <c r="K164" s="107">
        <v>1030</v>
      </c>
      <c r="L164" s="107">
        <v>574</v>
      </c>
      <c r="M164" s="107">
        <v>1</v>
      </c>
      <c r="N164" s="114"/>
      <c r="O164" s="140">
        <v>8.4700000000000006</v>
      </c>
      <c r="P164" s="114"/>
      <c r="Q164" s="145">
        <v>2072</v>
      </c>
      <c r="R164" s="114">
        <v>4172</v>
      </c>
      <c r="S164" s="41">
        <v>4037</v>
      </c>
      <c r="T164" s="114">
        <v>216</v>
      </c>
      <c r="U164" s="87">
        <v>372</v>
      </c>
      <c r="V164" s="107">
        <v>54</v>
      </c>
      <c r="W164" s="107">
        <v>1717</v>
      </c>
      <c r="X164" s="142">
        <f t="shared" si="6"/>
        <v>5.1773729626078617E-2</v>
      </c>
      <c r="Y164" s="142">
        <f t="shared" si="6"/>
        <v>9.2147634381966811E-2</v>
      </c>
      <c r="Z164" s="107">
        <f t="shared" si="7"/>
        <v>46.462962962962962</v>
      </c>
      <c r="AA164" s="107">
        <f t="shared" si="8"/>
        <v>1.3523622047244095</v>
      </c>
      <c r="AB164" s="107">
        <f t="shared" si="9"/>
        <v>50.218120805369125</v>
      </c>
      <c r="AC164" s="140">
        <f t="shared" si="10"/>
        <v>0.40503342508847817</v>
      </c>
      <c r="AD164" s="140">
        <f t="shared" si="11"/>
        <v>0.40014164305949007</v>
      </c>
      <c r="AE164" s="142">
        <f t="shared" si="12"/>
        <v>8.4939048368069203E-2</v>
      </c>
      <c r="AF164" s="143">
        <f t="shared" si="13"/>
        <v>4.9090909090909092</v>
      </c>
      <c r="AG164" s="142">
        <f t="shared" si="14"/>
        <v>5.0991501416430593E-2</v>
      </c>
      <c r="AH164" s="107">
        <f t="shared" ca="1" si="15"/>
        <v>41.676505312868947</v>
      </c>
      <c r="AI164" s="142">
        <f t="shared" ca="1" si="16"/>
        <v>2.3994334277620398E-2</v>
      </c>
      <c r="AJ164" s="107">
        <f t="shared" si="17"/>
        <v>57.795454545454547</v>
      </c>
      <c r="AK164" s="143">
        <f t="shared" ca="1" si="18"/>
        <v>6.1077467558002354</v>
      </c>
      <c r="AL164" s="144">
        <f t="shared" si="19"/>
        <v>0.15024647160757487</v>
      </c>
      <c r="AM164" s="144">
        <f t="shared" si="20"/>
        <v>-3.2358581016299182E-2</v>
      </c>
      <c r="AN164" s="144">
        <f t="shared" si="21"/>
        <v>0.72222222222222232</v>
      </c>
    </row>
    <row r="165" spans="1:40" ht="15.75" customHeight="1" x14ac:dyDescent="0.3">
      <c r="A165" s="138">
        <v>543318</v>
      </c>
      <c r="B165" s="139" t="s">
        <v>168</v>
      </c>
      <c r="C165" s="114">
        <f ca="1">IFERROR(__xludf.DUMMYFUNCTION("GOOGLEFINANCE(""bom:""&amp;A10,""price"")"),1338)</f>
        <v>1338</v>
      </c>
      <c r="D165" s="107">
        <f ca="1">IFERROR(__xludf.DUMMYFUNCTION("GOOGLEFINANCE(""bom:""&amp;A10,""marketcap"")/10000000"),14256.3621)</f>
        <v>14256.3621</v>
      </c>
      <c r="E165" s="107">
        <v>573</v>
      </c>
      <c r="F165" s="107">
        <v>111</v>
      </c>
      <c r="G165" s="107">
        <v>1231</v>
      </c>
      <c r="H165" s="107">
        <v>140</v>
      </c>
      <c r="I165" s="107">
        <v>11</v>
      </c>
      <c r="J165" s="107">
        <v>1090</v>
      </c>
      <c r="K165" s="107">
        <v>1</v>
      </c>
      <c r="L165" s="107">
        <v>131</v>
      </c>
      <c r="M165" s="107">
        <v>1</v>
      </c>
      <c r="N165" s="114"/>
      <c r="O165" s="140">
        <v>25.91</v>
      </c>
      <c r="P165" s="114"/>
      <c r="Q165" s="145">
        <v>243</v>
      </c>
      <c r="R165" s="114">
        <v>936</v>
      </c>
      <c r="S165" s="41">
        <v>823</v>
      </c>
      <c r="T165" s="114">
        <v>295</v>
      </c>
      <c r="U165" s="87">
        <v>275</v>
      </c>
      <c r="V165" s="107">
        <v>1</v>
      </c>
      <c r="W165" s="107">
        <v>241</v>
      </c>
      <c r="X165" s="142">
        <f t="shared" si="6"/>
        <v>0.31517094017094016</v>
      </c>
      <c r="Y165" s="142">
        <f t="shared" si="6"/>
        <v>0.33414337788578374</v>
      </c>
      <c r="Z165" s="107">
        <f t="shared" si="7"/>
        <v>696</v>
      </c>
      <c r="AA165" s="107">
        <f t="shared" si="8"/>
        <v>5.1621621621621623</v>
      </c>
      <c r="AB165" s="107">
        <f t="shared" si="9"/>
        <v>51.08440170940171</v>
      </c>
      <c r="AC165" s="140">
        <f t="shared" si="10"/>
        <v>9.1743119266055051E-4</v>
      </c>
      <c r="AD165" s="140">
        <f t="shared" si="11"/>
        <v>0.11372867587327376</v>
      </c>
      <c r="AE165" s="142">
        <f t="shared" si="12"/>
        <v>0.27064220183486237</v>
      </c>
      <c r="AF165" s="143">
        <f t="shared" si="13"/>
        <v>26.818181818181817</v>
      </c>
      <c r="AG165" s="142">
        <f t="shared" si="14"/>
        <v>0.239642567018684</v>
      </c>
      <c r="AH165" s="107">
        <f t="shared" ca="1" si="15"/>
        <v>51.640293323041298</v>
      </c>
      <c r="AI165" s="142">
        <f t="shared" ca="1" si="16"/>
        <v>1.9364723467862482E-2</v>
      </c>
      <c r="AJ165" s="107">
        <f t="shared" si="17"/>
        <v>99.090909090909093</v>
      </c>
      <c r="AK165" s="143">
        <f t="shared" ca="1" si="18"/>
        <v>13.502752293577981</v>
      </c>
      <c r="AL165" s="144">
        <f t="shared" si="19"/>
        <v>0.30958567246848689</v>
      </c>
      <c r="AM165" s="144">
        <f t="shared" si="20"/>
        <v>-0.12072649572649574</v>
      </c>
      <c r="AN165" s="144">
        <f t="shared" si="21"/>
        <v>-6.7796610169491567E-2</v>
      </c>
    </row>
    <row r="166" spans="1:40" ht="15.75" customHeight="1" x14ac:dyDescent="0.3">
      <c r="A166" s="138">
        <v>541557</v>
      </c>
      <c r="B166" s="139" t="s">
        <v>169</v>
      </c>
      <c r="C166" s="114">
        <f ca="1">IFERROR(__xludf.DUMMYFUNCTION("GOOGLEFINANCE(""bom:""&amp;A11,""price"")"),4392.55)</f>
        <v>4392.55</v>
      </c>
      <c r="D166" s="107">
        <f ca="1">IFERROR(__xludf.DUMMYFUNCTION("GOOGLEFINANCE(""bom:""&amp;A11,""marketcap"")/10000000"),13404.538884)</f>
        <v>13404.538884</v>
      </c>
      <c r="E166" s="107">
        <v>14627</v>
      </c>
      <c r="F166" s="107">
        <v>1464</v>
      </c>
      <c r="G166" s="107">
        <v>18625</v>
      </c>
      <c r="H166" s="107">
        <v>1492</v>
      </c>
      <c r="I166" s="107">
        <v>153</v>
      </c>
      <c r="J166" s="107">
        <v>17132</v>
      </c>
      <c r="K166" s="107">
        <v>92</v>
      </c>
      <c r="L166" s="107">
        <v>2897</v>
      </c>
      <c r="M166" s="107">
        <v>5</v>
      </c>
      <c r="N166" s="114"/>
      <c r="O166" s="140">
        <v>150.97999999999999</v>
      </c>
      <c r="P166" s="114"/>
      <c r="Q166" s="145">
        <v>860</v>
      </c>
      <c r="R166" s="114">
        <v>3023</v>
      </c>
      <c r="S166" s="41">
        <v>2173</v>
      </c>
      <c r="T166" s="114">
        <v>618</v>
      </c>
      <c r="U166" s="87">
        <v>447</v>
      </c>
      <c r="V166" s="107">
        <v>14</v>
      </c>
      <c r="W166" s="107">
        <v>2244</v>
      </c>
      <c r="X166" s="142">
        <f t="shared" si="6"/>
        <v>0.20443268276546478</v>
      </c>
      <c r="Y166" s="142">
        <f t="shared" si="6"/>
        <v>0.20570639668660837</v>
      </c>
      <c r="Z166" s="107">
        <f t="shared" si="7"/>
        <v>56.642857142857146</v>
      </c>
      <c r="AA166" s="107">
        <f t="shared" si="8"/>
        <v>9.9911202185792352</v>
      </c>
      <c r="AB166" s="107">
        <f t="shared" si="9"/>
        <v>349.78663579225935</v>
      </c>
      <c r="AC166" s="140">
        <f t="shared" si="10"/>
        <v>5.3700677095493811E-3</v>
      </c>
      <c r="AD166" s="140">
        <f t="shared" si="11"/>
        <v>8.0107382550335574E-2</v>
      </c>
      <c r="AE166" s="142">
        <f t="shared" si="12"/>
        <v>3.6072846135886058E-2</v>
      </c>
      <c r="AF166" s="143">
        <f t="shared" si="13"/>
        <v>4.0392156862745097</v>
      </c>
      <c r="AG166" s="142">
        <f t="shared" si="14"/>
        <v>3.3181208053691277E-2</v>
      </c>
      <c r="AH166" s="107">
        <f t="shared" ca="1" si="15"/>
        <v>29.093588554775469</v>
      </c>
      <c r="AI166" s="142">
        <f t="shared" ca="1" si="16"/>
        <v>3.437183412823986E-2</v>
      </c>
      <c r="AJ166" s="107">
        <f t="shared" si="17"/>
        <v>559.86928104575156</v>
      </c>
      <c r="AK166" s="143">
        <f t="shared" ca="1" si="18"/>
        <v>7.845670674760683</v>
      </c>
      <c r="AL166" s="144">
        <f t="shared" si="19"/>
        <v>0.28584298293062282</v>
      </c>
      <c r="AM166" s="144">
        <f t="shared" si="20"/>
        <v>-0.28117763810783991</v>
      </c>
      <c r="AN166" s="144">
        <f t="shared" si="21"/>
        <v>-0.27669902912621358</v>
      </c>
    </row>
    <row r="167" spans="1:40" ht="15.75" customHeight="1" x14ac:dyDescent="0.3">
      <c r="A167" s="138">
        <v>500042</v>
      </c>
      <c r="B167" s="139" t="s">
        <v>170</v>
      </c>
      <c r="C167" s="114">
        <f ca="1">IFERROR(__xludf.DUMMYFUNCTION("GOOGLEFINANCE(""bom:""&amp;A12,""price"")"),4617.35)</f>
        <v>4617.3500000000004</v>
      </c>
      <c r="D167" s="107">
        <f ca="1">IFERROR(__xludf.DUMMYFUNCTION("GOOGLEFINANCE(""bom:""&amp;A12,""marketcap"")/10000000"),19976.32286)</f>
        <v>19976.32286</v>
      </c>
      <c r="E167" s="107">
        <v>5199</v>
      </c>
      <c r="F167" s="107">
        <v>3211</v>
      </c>
      <c r="G167" s="107">
        <v>6293</v>
      </c>
      <c r="H167" s="107">
        <v>3365</v>
      </c>
      <c r="I167" s="107">
        <v>43</v>
      </c>
      <c r="J167" s="107">
        <v>2928</v>
      </c>
      <c r="K167" s="107">
        <v>0</v>
      </c>
      <c r="L167" s="107">
        <v>2387</v>
      </c>
      <c r="M167" s="107">
        <v>10</v>
      </c>
      <c r="N167" s="114"/>
      <c r="O167" s="140">
        <v>81.97</v>
      </c>
      <c r="P167" s="114"/>
      <c r="Q167" s="150">
        <v>5722</v>
      </c>
      <c r="R167" s="114">
        <v>13645</v>
      </c>
      <c r="S167" s="41">
        <v>13256</v>
      </c>
      <c r="T167" s="114">
        <v>403</v>
      </c>
      <c r="U167" s="87">
        <v>355</v>
      </c>
      <c r="V167" s="107">
        <v>9</v>
      </c>
      <c r="W167" s="107">
        <v>6753</v>
      </c>
      <c r="X167" s="142">
        <f t="shared" si="6"/>
        <v>2.9534628068889703E-2</v>
      </c>
      <c r="Y167" s="142">
        <f t="shared" si="6"/>
        <v>2.6780325890162944E-2</v>
      </c>
      <c r="Z167" s="107">
        <f t="shared" si="7"/>
        <v>766.77777777777783</v>
      </c>
      <c r="AA167" s="107">
        <f t="shared" si="8"/>
        <v>1.6191217689193398</v>
      </c>
      <c r="AB167" s="107">
        <f t="shared" si="9"/>
        <v>63.851593990472693</v>
      </c>
      <c r="AC167" s="140">
        <f t="shared" si="10"/>
        <v>0</v>
      </c>
      <c r="AD167" s="140">
        <f t="shared" si="11"/>
        <v>0.53472111870332117</v>
      </c>
      <c r="AE167" s="142">
        <f t="shared" si="12"/>
        <v>0.13763661202185792</v>
      </c>
      <c r="AF167" s="143">
        <f t="shared" si="13"/>
        <v>9.3720930232558146</v>
      </c>
      <c r="AG167" s="142">
        <f t="shared" si="14"/>
        <v>6.4039408866995079E-2</v>
      </c>
      <c r="AH167" s="107">
        <f t="shared" ca="1" si="15"/>
        <v>56.329754788337205</v>
      </c>
      <c r="AI167" s="142">
        <f t="shared" ca="1" si="16"/>
        <v>1.7752607014846176E-2</v>
      </c>
      <c r="AJ167" s="107">
        <f t="shared" si="17"/>
        <v>680.93023255813955</v>
      </c>
      <c r="AK167" s="143">
        <f t="shared" ca="1" si="18"/>
        <v>6.780944330601093</v>
      </c>
      <c r="AL167" s="144">
        <f t="shared" si="19"/>
        <v>0.18983060934892348</v>
      </c>
      <c r="AM167" s="144">
        <f t="shared" si="20"/>
        <v>-2.8508611212898494E-2</v>
      </c>
      <c r="AN167" s="144">
        <f t="shared" si="21"/>
        <v>-0.11910669975186106</v>
      </c>
    </row>
    <row r="168" spans="1:40" ht="15.75" customHeight="1" x14ac:dyDescent="0.3">
      <c r="A168" s="138">
        <v>506767</v>
      </c>
      <c r="B168" s="139" t="s">
        <v>171</v>
      </c>
      <c r="C168" s="114">
        <f ca="1">IFERROR(__xludf.DUMMYFUNCTION("GOOGLEFINANCE(""bom:""&amp;A13,""price"")"),2031.85)</f>
        <v>2031.85</v>
      </c>
      <c r="D168" s="107">
        <f ca="1">IFERROR(__xludf.DUMMYFUNCTION("GOOGLEFINANCE(""bom:""&amp;A13,""marketcap"")/10000000"),10423.647343)</f>
        <v>10423.647343000001</v>
      </c>
      <c r="E168" s="107">
        <v>414</v>
      </c>
      <c r="F168" s="107">
        <v>294</v>
      </c>
      <c r="G168" s="107">
        <v>1568</v>
      </c>
      <c r="H168" s="107">
        <v>374</v>
      </c>
      <c r="I168" s="107">
        <v>10</v>
      </c>
      <c r="J168" s="107">
        <v>1195</v>
      </c>
      <c r="K168" s="107">
        <v>91</v>
      </c>
      <c r="L168" s="107">
        <v>220</v>
      </c>
      <c r="M168" s="107">
        <v>2</v>
      </c>
      <c r="N168" s="114"/>
      <c r="O168" s="140">
        <v>33.520000000000003</v>
      </c>
      <c r="P168" s="114"/>
      <c r="Q168" s="151">
        <v>696</v>
      </c>
      <c r="R168" s="114">
        <v>1865</v>
      </c>
      <c r="S168" s="41">
        <v>1496</v>
      </c>
      <c r="T168" s="114">
        <v>229</v>
      </c>
      <c r="U168" s="87">
        <v>159</v>
      </c>
      <c r="V168" s="107">
        <v>3</v>
      </c>
      <c r="W168" s="107">
        <v>667</v>
      </c>
      <c r="X168" s="142">
        <f t="shared" si="6"/>
        <v>0.12278820375335121</v>
      </c>
      <c r="Y168" s="142">
        <f t="shared" si="6"/>
        <v>0.10628342245989304</v>
      </c>
      <c r="Z168" s="107">
        <f t="shared" si="7"/>
        <v>400.33333333333331</v>
      </c>
      <c r="AA168" s="107">
        <f t="shared" si="8"/>
        <v>1.4081632653061225</v>
      </c>
      <c r="AB168" s="107">
        <f t="shared" si="9"/>
        <v>43.056300268096514</v>
      </c>
      <c r="AC168" s="140">
        <f t="shared" si="10"/>
        <v>7.6150627615062763E-2</v>
      </c>
      <c r="AD168" s="140">
        <f t="shared" si="11"/>
        <v>0.23852040816326531</v>
      </c>
      <c r="AE168" s="142">
        <f t="shared" si="12"/>
        <v>0.19163179916317991</v>
      </c>
      <c r="AF168" s="143">
        <f t="shared" si="13"/>
        <v>22.9</v>
      </c>
      <c r="AG168" s="142">
        <f t="shared" si="14"/>
        <v>0.14604591836734693</v>
      </c>
      <c r="AH168" s="107">
        <f t="shared" ca="1" si="15"/>
        <v>60.616050119331732</v>
      </c>
      <c r="AI168" s="142">
        <f t="shared" ca="1" si="16"/>
        <v>1.6497280803208902E-2</v>
      </c>
      <c r="AJ168" s="107">
        <f t="shared" si="17"/>
        <v>239</v>
      </c>
      <c r="AK168" s="143">
        <f t="shared" ca="1" si="18"/>
        <v>8.5014644351464437</v>
      </c>
      <c r="AL168" s="144">
        <f t="shared" si="19"/>
        <v>0.21790641863949589</v>
      </c>
      <c r="AM168" s="144">
        <f t="shared" si="20"/>
        <v>-0.19785522788203758</v>
      </c>
      <c r="AN168" s="144">
        <f t="shared" si="21"/>
        <v>-0.30567685589519655</v>
      </c>
    </row>
    <row r="169" spans="1:40" ht="15.75" customHeight="1" x14ac:dyDescent="0.3">
      <c r="A169" s="138">
        <v>543534</v>
      </c>
      <c r="B169" s="139" t="s">
        <v>172</v>
      </c>
      <c r="C169" s="114">
        <f ca="1">IFERROR(__xludf.DUMMYFUNCTION("GOOGLEFINANCE(""bom:""&amp;A14,""price"")"),831.1)</f>
        <v>831.1</v>
      </c>
      <c r="D169" s="107">
        <f ca="1">IFERROR(__xludf.DUMMYFUNCTION("GOOGLEFINANCE(""bom:""&amp;A14,""marketcap"")/10000000"),11005.6429441)</f>
        <v>11005.6429441</v>
      </c>
      <c r="E169" s="107">
        <v>863</v>
      </c>
      <c r="F169" s="107">
        <v>138</v>
      </c>
      <c r="G169" s="107">
        <v>2226</v>
      </c>
      <c r="H169" s="107">
        <v>181</v>
      </c>
      <c r="I169" s="107">
        <v>132</v>
      </c>
      <c r="J169" s="107">
        <v>2045</v>
      </c>
      <c r="K169" s="107">
        <v>2</v>
      </c>
      <c r="L169" s="107">
        <v>252</v>
      </c>
      <c r="M169" s="107">
        <v>10</v>
      </c>
      <c r="N169" s="114"/>
      <c r="O169" s="140">
        <v>10.61</v>
      </c>
      <c r="P169" s="114"/>
      <c r="Q169" s="151">
        <v>201</v>
      </c>
      <c r="R169" s="114">
        <v>651</v>
      </c>
      <c r="S169" s="41">
        <v>664</v>
      </c>
      <c r="T169" s="114">
        <v>130</v>
      </c>
      <c r="U169" s="87">
        <v>125</v>
      </c>
      <c r="V169" s="107">
        <v>2</v>
      </c>
      <c r="W169" s="107">
        <v>256</v>
      </c>
      <c r="X169" s="142">
        <f t="shared" si="6"/>
        <v>0.19969278033794163</v>
      </c>
      <c r="Y169" s="142">
        <f t="shared" si="6"/>
        <v>0.18825301204819278</v>
      </c>
      <c r="Z169" s="107">
        <f t="shared" si="7"/>
        <v>198.5</v>
      </c>
      <c r="AA169" s="107">
        <f t="shared" si="8"/>
        <v>6.2536231884057969</v>
      </c>
      <c r="AB169" s="107">
        <f t="shared" si="9"/>
        <v>141.29032258064515</v>
      </c>
      <c r="AC169" s="140">
        <f t="shared" si="10"/>
        <v>9.7799511002444979E-4</v>
      </c>
      <c r="AD169" s="140">
        <f t="shared" si="11"/>
        <v>8.1311769991015276E-2</v>
      </c>
      <c r="AE169" s="142">
        <f t="shared" si="12"/>
        <v>6.3569682151589244E-2</v>
      </c>
      <c r="AF169" s="143">
        <f t="shared" si="13"/>
        <v>0.98484848484848486</v>
      </c>
      <c r="AG169" s="142">
        <f t="shared" si="14"/>
        <v>5.8400718778077267E-2</v>
      </c>
      <c r="AH169" s="107">
        <f t="shared" ca="1" si="15"/>
        <v>78.331762488218672</v>
      </c>
      <c r="AI169" s="142">
        <f t="shared" ca="1" si="16"/>
        <v>1.2766213452051497E-2</v>
      </c>
      <c r="AJ169" s="107">
        <f t="shared" si="17"/>
        <v>154.92424242424244</v>
      </c>
      <c r="AK169" s="143">
        <f t="shared" ca="1" si="18"/>
        <v>5.3645574572127135</v>
      </c>
      <c r="AL169" s="144">
        <f t="shared" si="19"/>
        <v>0.264960563797497</v>
      </c>
      <c r="AM169" s="144">
        <f t="shared" si="20"/>
        <v>1.9969278033794113E-2</v>
      </c>
      <c r="AN169" s="144">
        <f t="shared" si="21"/>
        <v>-3.8461538461538436E-2</v>
      </c>
    </row>
    <row r="170" spans="1:40" ht="15.75" customHeight="1" x14ac:dyDescent="0.3">
      <c r="A170" s="138">
        <v>543275</v>
      </c>
      <c r="B170" s="139" t="s">
        <v>173</v>
      </c>
      <c r="C170" s="114">
        <f ca="1">IFERROR(__xludf.DUMMYFUNCTION("GOOGLEFINANCE(""bom:""&amp;A15,""price"")"),781.25)</f>
        <v>781.25</v>
      </c>
      <c r="D170" s="107">
        <f ca="1">IFERROR(__xludf.DUMMYFUNCTION("GOOGLEFINANCE(""bom:""&amp;A15,""marketcap"")/10000000"),8563.3002)</f>
        <v>8563.3001999999997</v>
      </c>
      <c r="E170" s="107">
        <v>2288</v>
      </c>
      <c r="F170" s="107">
        <v>1154</v>
      </c>
      <c r="G170" s="107">
        <v>4242</v>
      </c>
      <c r="H170" s="107">
        <v>1651</v>
      </c>
      <c r="I170" s="107">
        <v>107</v>
      </c>
      <c r="J170" s="107">
        <v>2439</v>
      </c>
      <c r="K170" s="107">
        <v>1064</v>
      </c>
      <c r="L170" s="107">
        <v>635</v>
      </c>
      <c r="M170" s="107">
        <v>10</v>
      </c>
      <c r="N170" s="114"/>
      <c r="O170" s="140">
        <v>15.2</v>
      </c>
      <c r="P170" s="114"/>
      <c r="Q170" s="151">
        <v>341</v>
      </c>
      <c r="R170" s="114">
        <v>1602</v>
      </c>
      <c r="S170" s="41">
        <v>1651</v>
      </c>
      <c r="T170" s="114">
        <v>217</v>
      </c>
      <c r="U170" s="87">
        <v>228</v>
      </c>
      <c r="V170" s="107">
        <v>38</v>
      </c>
      <c r="W170" s="107">
        <v>646</v>
      </c>
      <c r="X170" s="142">
        <f t="shared" si="6"/>
        <v>0.13545568039950062</v>
      </c>
      <c r="Y170" s="142">
        <f t="shared" si="6"/>
        <v>0.13809812235009086</v>
      </c>
      <c r="Z170" s="107">
        <f t="shared" si="7"/>
        <v>26.157894736842106</v>
      </c>
      <c r="AA170" s="107">
        <f t="shared" si="8"/>
        <v>1.9826689774696706</v>
      </c>
      <c r="AB170" s="107">
        <f t="shared" si="9"/>
        <v>144.67852684144819</v>
      </c>
      <c r="AC170" s="140">
        <f t="shared" si="10"/>
        <v>0.43624436244362441</v>
      </c>
      <c r="AD170" s="140">
        <f t="shared" si="11"/>
        <v>0.38920320603488923</v>
      </c>
      <c r="AE170" s="142">
        <f t="shared" si="12"/>
        <v>8.8970889708897091E-2</v>
      </c>
      <c r="AF170" s="143">
        <f t="shared" si="13"/>
        <v>2.02803738317757</v>
      </c>
      <c r="AG170" s="142">
        <f t="shared" si="14"/>
        <v>5.1155115511551157E-2</v>
      </c>
      <c r="AH170" s="107">
        <f t="shared" ca="1" si="15"/>
        <v>51.398026315789473</v>
      </c>
      <c r="AI170" s="142">
        <f t="shared" ca="1" si="16"/>
        <v>1.9455999999999998E-2</v>
      </c>
      <c r="AJ170" s="107">
        <f t="shared" si="17"/>
        <v>227.94392523364488</v>
      </c>
      <c r="AK170" s="143">
        <f t="shared" ca="1" si="18"/>
        <v>3.4273780237802374</v>
      </c>
      <c r="AL170" s="144">
        <f t="shared" si="19"/>
        <v>0.36264154727692621</v>
      </c>
      <c r="AM170" s="144">
        <f t="shared" si="20"/>
        <v>3.0586766541822685E-2</v>
      </c>
      <c r="AN170" s="144">
        <f t="shared" si="21"/>
        <v>5.0691244239631228E-2</v>
      </c>
    </row>
    <row r="171" spans="1:40" ht="15.75" customHeight="1" x14ac:dyDescent="0.3">
      <c r="A171" s="138">
        <v>540935</v>
      </c>
      <c r="B171" s="139" t="s">
        <v>174</v>
      </c>
      <c r="C171" s="114">
        <f ca="1">IFERROR(__xludf.DUMMYFUNCTION("GOOGLEFINANCE(""bom:""&amp;A16,""price"")"),2584.1)</f>
        <v>2584.1</v>
      </c>
      <c r="D171" s="107">
        <f ca="1">IFERROR(__xludf.DUMMYFUNCTION("GOOGLEFINANCE(""bom:""&amp;A16,""marketcap"")/10000000"),9118.9617)</f>
        <v>9118.9616999999998</v>
      </c>
      <c r="E171" s="107">
        <v>1586</v>
      </c>
      <c r="F171" s="107">
        <v>567</v>
      </c>
      <c r="G171" s="107">
        <v>2745</v>
      </c>
      <c r="H171" s="107">
        <v>716</v>
      </c>
      <c r="I171" s="107">
        <v>35</v>
      </c>
      <c r="J171" s="107">
        <v>2029</v>
      </c>
      <c r="K171" s="107">
        <v>190</v>
      </c>
      <c r="L171" s="107">
        <v>641</v>
      </c>
      <c r="M171" s="107">
        <v>10</v>
      </c>
      <c r="N171" s="114"/>
      <c r="O171" s="140">
        <v>64.510000000000005</v>
      </c>
      <c r="P171" s="114"/>
      <c r="Q171" s="151">
        <v>2463</v>
      </c>
      <c r="R171" s="114">
        <v>4445</v>
      </c>
      <c r="S171" s="41">
        <v>3980</v>
      </c>
      <c r="T171" s="114">
        <v>381</v>
      </c>
      <c r="U171" s="87">
        <v>349</v>
      </c>
      <c r="V171" s="107">
        <v>11</v>
      </c>
      <c r="W171" s="107">
        <v>1736</v>
      </c>
      <c r="X171" s="142">
        <f t="shared" si="6"/>
        <v>8.5714285714285715E-2</v>
      </c>
      <c r="Y171" s="142">
        <f t="shared" si="6"/>
        <v>8.7688442211055276E-2</v>
      </c>
      <c r="Z171" s="107">
        <f t="shared" si="7"/>
        <v>247.27272727272728</v>
      </c>
      <c r="AA171" s="107">
        <f t="shared" si="8"/>
        <v>2.797178130511464</v>
      </c>
      <c r="AB171" s="107">
        <f t="shared" si="9"/>
        <v>52.635545556805397</v>
      </c>
      <c r="AC171" s="140">
        <f t="shared" si="10"/>
        <v>9.364218827008379E-2</v>
      </c>
      <c r="AD171" s="140">
        <f t="shared" si="11"/>
        <v>0.26083788706739525</v>
      </c>
      <c r="AE171" s="142">
        <f t="shared" si="12"/>
        <v>0.1877772301626417</v>
      </c>
      <c r="AF171" s="143">
        <f t="shared" si="13"/>
        <v>10.885714285714286</v>
      </c>
      <c r="AG171" s="142">
        <f t="shared" si="14"/>
        <v>0.13879781420765028</v>
      </c>
      <c r="AH171" s="107">
        <f t="shared" ca="1" si="15"/>
        <v>40.05735544876763</v>
      </c>
      <c r="AI171" s="142">
        <f t="shared" ca="1" si="16"/>
        <v>2.4964204171665186E-2</v>
      </c>
      <c r="AJ171" s="107">
        <f t="shared" si="17"/>
        <v>579.71428571428567</v>
      </c>
      <c r="AK171" s="143">
        <f t="shared" ca="1" si="18"/>
        <v>4.4575406604238541</v>
      </c>
      <c r="AL171" s="144">
        <f t="shared" si="19"/>
        <v>0.12533407819159215</v>
      </c>
      <c r="AM171" s="144">
        <f t="shared" si="20"/>
        <v>-0.10461192350956128</v>
      </c>
      <c r="AN171" s="144">
        <f t="shared" si="21"/>
        <v>-8.3989501312335957E-2</v>
      </c>
    </row>
    <row r="172" spans="1:40" ht="15.75" customHeight="1" x14ac:dyDescent="0.3">
      <c r="A172" s="138">
        <v>543657</v>
      </c>
      <c r="B172" s="139" t="s">
        <v>175</v>
      </c>
      <c r="C172" s="114">
        <f ca="1">IFERROR(__xludf.DUMMYFUNCTION("GOOGLEFINANCE(""bom:""&amp;A17,""price"")"),624.45)</f>
        <v>624.45000000000005</v>
      </c>
      <c r="D172" s="107">
        <f ca="1">IFERROR(__xludf.DUMMYFUNCTION("GOOGLEFINANCE(""bom:""&amp;A17,""marketcap"")/10000000"),7693.796715)</f>
        <v>7693.7967150000004</v>
      </c>
      <c r="E172" s="107">
        <v>699</v>
      </c>
      <c r="F172" s="107">
        <v>160</v>
      </c>
      <c r="G172" s="107">
        <v>1881</v>
      </c>
      <c r="H172" s="107">
        <v>313</v>
      </c>
      <c r="I172" s="107">
        <v>24</v>
      </c>
      <c r="J172" s="107">
        <v>1567</v>
      </c>
      <c r="K172" s="107">
        <v>26</v>
      </c>
      <c r="L172" s="107">
        <v>118</v>
      </c>
      <c r="M172" s="107">
        <v>2</v>
      </c>
      <c r="N172" s="114"/>
      <c r="O172" s="140">
        <v>32.06</v>
      </c>
      <c r="P172" s="114"/>
      <c r="Q172" s="151">
        <v>741</v>
      </c>
      <c r="R172" s="114">
        <v>1441</v>
      </c>
      <c r="S172" s="41">
        <v>1381</v>
      </c>
      <c r="T172" s="114">
        <v>383</v>
      </c>
      <c r="U172" s="87">
        <v>396</v>
      </c>
      <c r="V172" s="107">
        <v>5</v>
      </c>
      <c r="W172" s="107">
        <v>443</v>
      </c>
      <c r="X172" s="142">
        <f t="shared" si="6"/>
        <v>0.26578764746703676</v>
      </c>
      <c r="Y172" s="142">
        <f t="shared" si="6"/>
        <v>0.28674873280231716</v>
      </c>
      <c r="Z172" s="107">
        <f t="shared" si="7"/>
        <v>200.6</v>
      </c>
      <c r="AA172" s="107">
        <f t="shared" si="8"/>
        <v>4.3687500000000004</v>
      </c>
      <c r="AB172" s="107">
        <f t="shared" si="9"/>
        <v>29.888965995836223</v>
      </c>
      <c r="AC172" s="140">
        <f t="shared" si="10"/>
        <v>1.6592214422463305E-2</v>
      </c>
      <c r="AD172" s="140">
        <f t="shared" si="11"/>
        <v>0.16640085061137694</v>
      </c>
      <c r="AE172" s="142">
        <f t="shared" si="12"/>
        <v>0.24441608168474793</v>
      </c>
      <c r="AF172" s="143">
        <f t="shared" si="13"/>
        <v>15.958333333333334</v>
      </c>
      <c r="AG172" s="142">
        <f t="shared" si="14"/>
        <v>0.20361509835194044</v>
      </c>
      <c r="AH172" s="107">
        <f t="shared" ca="1" si="15"/>
        <v>19.477542108546476</v>
      </c>
      <c r="AI172" s="142">
        <f t="shared" ca="1" si="16"/>
        <v>5.1341180238609979E-2</v>
      </c>
      <c r="AJ172" s="107">
        <f t="shared" si="17"/>
        <v>130.58333333333334</v>
      </c>
      <c r="AK172" s="143">
        <f t="shared" ca="1" si="18"/>
        <v>4.7820038289725586</v>
      </c>
      <c r="AL172" s="144">
        <f t="shared" si="19"/>
        <v>0.14227100923130154</v>
      </c>
      <c r="AM172" s="144">
        <f t="shared" si="20"/>
        <v>-4.1637751561415692E-2</v>
      </c>
      <c r="AN172" s="144">
        <f t="shared" si="21"/>
        <v>3.3942558746736351E-2</v>
      </c>
    </row>
    <row r="173" spans="1:40" ht="15.75" customHeight="1" x14ac:dyDescent="0.3">
      <c r="A173" s="138">
        <v>530999</v>
      </c>
      <c r="B173" s="139" t="s">
        <v>192</v>
      </c>
      <c r="C173" s="114">
        <f ca="1">IFERROR(__xludf.DUMMYFUNCTION("GOOGLEFINANCE(""bom:""&amp;A18,""price"")"),2297)</f>
        <v>2297</v>
      </c>
      <c r="D173" s="107">
        <f ca="1">IFERROR(__xludf.DUMMYFUNCTION("GOOGLEFINANCE(""bom:""&amp;A18,""marketcap"")/10000000"),7355.02473)</f>
        <v>7355.0247300000001</v>
      </c>
      <c r="E173" s="107">
        <v>965</v>
      </c>
      <c r="F173" s="107">
        <v>115</v>
      </c>
      <c r="G173" s="107">
        <v>1989</v>
      </c>
      <c r="H173" s="107">
        <v>216</v>
      </c>
      <c r="I173" s="107">
        <v>6</v>
      </c>
      <c r="J173" s="107">
        <v>1769</v>
      </c>
      <c r="K173" s="107">
        <v>43</v>
      </c>
      <c r="L173" s="107">
        <v>348</v>
      </c>
      <c r="M173" s="107">
        <v>2</v>
      </c>
      <c r="N173" s="114"/>
      <c r="O173" s="140">
        <v>43.61</v>
      </c>
      <c r="P173" s="114"/>
      <c r="Q173" s="151">
        <v>864</v>
      </c>
      <c r="R173" s="114">
        <v>2355</v>
      </c>
      <c r="T173" s="114">
        <v>406</v>
      </c>
      <c r="V173" s="107">
        <v>3</v>
      </c>
      <c r="W173" s="107">
        <v>718</v>
      </c>
      <c r="X173" s="142">
        <f t="shared" ref="X173:X207" si="22">T173/R173</f>
        <v>0.17239915074309978</v>
      </c>
      <c r="Z173" s="107">
        <f t="shared" si="7"/>
        <v>546.66666666666663</v>
      </c>
      <c r="AA173" s="107">
        <f t="shared" si="8"/>
        <v>8.3913043478260878</v>
      </c>
      <c r="AB173" s="107">
        <f t="shared" si="9"/>
        <v>53.936305732484072</v>
      </c>
      <c r="AC173" s="140">
        <f t="shared" si="10"/>
        <v>2.4307518371961559E-2</v>
      </c>
      <c r="AD173" s="140">
        <f t="shared" si="11"/>
        <v>0.10859728506787331</v>
      </c>
      <c r="AE173" s="142">
        <f t="shared" si="12"/>
        <v>0.22950819672131148</v>
      </c>
      <c r="AF173" s="143">
        <f t="shared" si="13"/>
        <v>67.666666666666671</v>
      </c>
      <c r="AG173" s="142">
        <f t="shared" si="14"/>
        <v>0.20412267471091</v>
      </c>
      <c r="AH173" s="107">
        <f t="shared" ca="1" si="15"/>
        <v>52.671405640908048</v>
      </c>
      <c r="AI173" s="142">
        <f t="shared" ca="1" si="16"/>
        <v>1.8985633434915106E-2</v>
      </c>
      <c r="AJ173" s="107">
        <f t="shared" si="17"/>
        <v>589.66666666666663</v>
      </c>
      <c r="AK173" s="143">
        <f t="shared" ca="1" si="18"/>
        <v>3.8954211418880726</v>
      </c>
      <c r="AL173" s="144">
        <f t="shared" si="19"/>
        <v>0.22206817334659235</v>
      </c>
      <c r="AM173" s="115"/>
      <c r="AN173" s="115"/>
    </row>
    <row r="174" spans="1:40" ht="15.75" customHeight="1" x14ac:dyDescent="0.3">
      <c r="A174" s="152">
        <v>543277</v>
      </c>
      <c r="B174" s="139" t="s">
        <v>193</v>
      </c>
      <c r="C174" s="114">
        <f ca="1">IFERROR(__xludf.DUMMYFUNCTION("GOOGLEFINANCE(""bom:""&amp;A19,""price"")"),259.2)</f>
        <v>259.2</v>
      </c>
      <c r="D174" s="107">
        <f ca="1">IFERROR(__xludf.DUMMYFUNCTION("GOOGLEFINANCE(""bom:""&amp;A19,""marketcap"")/10000000"),7153.9540329)</f>
        <v>7153.9540329000001</v>
      </c>
      <c r="E174" s="107">
        <v>931</v>
      </c>
      <c r="F174" s="107">
        <v>568</v>
      </c>
      <c r="G174" s="107">
        <v>2175</v>
      </c>
      <c r="H174" s="107">
        <v>716</v>
      </c>
      <c r="I174" s="107">
        <v>53</v>
      </c>
      <c r="J174" s="107">
        <v>1459</v>
      </c>
      <c r="K174" s="107">
        <v>159</v>
      </c>
      <c r="L174" s="107">
        <v>464</v>
      </c>
      <c r="M174" s="107">
        <v>2</v>
      </c>
      <c r="N174" s="114"/>
      <c r="O174" s="140">
        <v>4.42</v>
      </c>
      <c r="P174" s="114"/>
      <c r="Q174" s="151">
        <v>1396</v>
      </c>
      <c r="R174" s="114">
        <v>2797</v>
      </c>
      <c r="T174" s="114">
        <v>125</v>
      </c>
      <c r="V174" s="107">
        <v>6</v>
      </c>
      <c r="W174" s="107">
        <v>1320</v>
      </c>
      <c r="X174" s="142">
        <f t="shared" si="22"/>
        <v>4.46907400786557E-2</v>
      </c>
      <c r="Z174" s="107">
        <f t="shared" si="7"/>
        <v>247.16666666666666</v>
      </c>
      <c r="AA174" s="107">
        <f t="shared" si="8"/>
        <v>1.6390845070422535</v>
      </c>
      <c r="AB174" s="107">
        <f t="shared" si="9"/>
        <v>60.550589917769038</v>
      </c>
      <c r="AC174" s="140">
        <f t="shared" si="10"/>
        <v>0.10897875257025359</v>
      </c>
      <c r="AD174" s="140">
        <f t="shared" si="11"/>
        <v>0.32919540229885058</v>
      </c>
      <c r="AE174" s="142">
        <f t="shared" si="12"/>
        <v>8.5675119945167924E-2</v>
      </c>
      <c r="AF174" s="143">
        <f t="shared" si="13"/>
        <v>2.358490566037736</v>
      </c>
      <c r="AG174" s="142">
        <f t="shared" si="14"/>
        <v>5.7471264367816091E-2</v>
      </c>
      <c r="AH174" s="107">
        <f t="shared" ca="1" si="15"/>
        <v>58.642533936651581</v>
      </c>
      <c r="AI174" s="142">
        <f t="shared" ca="1" si="16"/>
        <v>1.7052469135802471E-2</v>
      </c>
      <c r="AJ174" s="107">
        <f t="shared" si="17"/>
        <v>55.056603773584904</v>
      </c>
      <c r="AK174" s="143">
        <f t="shared" ca="1" si="18"/>
        <v>4.7078821110349551</v>
      </c>
      <c r="AL174" s="144">
        <f t="shared" si="19"/>
        <v>0.14910948550857395</v>
      </c>
      <c r="AM174" s="115"/>
      <c r="AN174" s="115"/>
    </row>
    <row r="175" spans="1:40" ht="15.75" customHeight="1" x14ac:dyDescent="0.3">
      <c r="A175" s="153">
        <v>543271</v>
      </c>
      <c r="B175" s="154" t="s">
        <v>194</v>
      </c>
      <c r="C175" s="114">
        <f ca="1">IFERROR(__xludf.DUMMYFUNCTION("GOOGLEFINANCE(""bom:""&amp;A20,""price"")"),527.2)</f>
        <v>527.20000000000005</v>
      </c>
      <c r="D175" s="107">
        <f ca="1">IFERROR(__xludf.DUMMYFUNCTION("GOOGLEFINANCE(""bom:""&amp;A20,""marketcap"")/10000000"),8364.1445117)</f>
        <v>8364.1445117000003</v>
      </c>
      <c r="E175" s="107">
        <v>1778</v>
      </c>
      <c r="F175" s="107">
        <v>1190</v>
      </c>
      <c r="G175" s="107">
        <v>4470</v>
      </c>
      <c r="H175" s="107">
        <v>1769</v>
      </c>
      <c r="I175" s="107">
        <v>15</v>
      </c>
      <c r="J175" s="107">
        <v>2699</v>
      </c>
      <c r="K175" s="107">
        <v>757</v>
      </c>
      <c r="L175" s="107">
        <v>454</v>
      </c>
      <c r="M175" s="107">
        <v>1</v>
      </c>
      <c r="N175" s="114"/>
      <c r="O175" s="140">
        <v>13.73</v>
      </c>
      <c r="P175" s="114"/>
      <c r="Q175" s="155">
        <v>3179</v>
      </c>
      <c r="R175" s="114">
        <v>4772</v>
      </c>
      <c r="T175" s="114">
        <v>307</v>
      </c>
      <c r="V175" s="107">
        <v>23</v>
      </c>
      <c r="W175" s="107">
        <v>1950</v>
      </c>
      <c r="X175" s="142">
        <f t="shared" si="22"/>
        <v>6.4333612740989102E-2</v>
      </c>
      <c r="Z175" s="107">
        <f t="shared" si="7"/>
        <v>123.69565217391305</v>
      </c>
      <c r="AA175" s="107">
        <f t="shared" si="8"/>
        <v>1.4941176470588236</v>
      </c>
      <c r="AB175" s="107">
        <f t="shared" si="9"/>
        <v>34.725481978206204</v>
      </c>
      <c r="AC175" s="140">
        <f t="shared" si="10"/>
        <v>0.28047424972211932</v>
      </c>
      <c r="AD175" s="140">
        <f t="shared" si="11"/>
        <v>0.39574944071588369</v>
      </c>
      <c r="AE175" s="142">
        <f t="shared" si="12"/>
        <v>0.11374583178955168</v>
      </c>
      <c r="AF175" s="143">
        <f t="shared" si="13"/>
        <v>20.466666666666665</v>
      </c>
      <c r="AG175" s="142">
        <f t="shared" si="14"/>
        <v>6.8680089485458617E-2</v>
      </c>
      <c r="AH175" s="107">
        <f t="shared" ca="1" si="15"/>
        <v>38.397669337217771</v>
      </c>
      <c r="AI175" s="142">
        <f t="shared" ca="1" si="16"/>
        <v>2.6043247344461305E-2</v>
      </c>
      <c r="AJ175" s="107">
        <f t="shared" si="17"/>
        <v>179.93333333333334</v>
      </c>
      <c r="AK175" s="143">
        <f t="shared" ca="1" si="18"/>
        <v>2.9299740644683219</v>
      </c>
      <c r="AL175" s="144">
        <f t="shared" si="19"/>
        <v>8.4630921341838805E-2</v>
      </c>
      <c r="AM175" s="115"/>
      <c r="AN175" s="115"/>
    </row>
    <row r="176" spans="1:40" ht="15.75" customHeight="1" x14ac:dyDescent="0.3">
      <c r="A176" s="156">
        <v>500123</v>
      </c>
      <c r="B176" s="139" t="s">
        <v>195</v>
      </c>
      <c r="C176" s="114">
        <f ca="1">IFERROR(__xludf.DUMMYFUNCTION("GOOGLEFINANCE(""bom:""&amp;A21,""price"")"),11595)</f>
        <v>11595</v>
      </c>
      <c r="D176" s="107">
        <f ca="1">IFERROR(__xludf.DUMMYFUNCTION("GOOGLEFINANCE(""bom:""&amp;A21,""marketcap"")/10000000"),9192.1461195)</f>
        <v>9192.1461194999993</v>
      </c>
      <c r="E176" s="107">
        <v>673</v>
      </c>
      <c r="F176" s="107">
        <v>102</v>
      </c>
      <c r="G176" s="107">
        <v>786</v>
      </c>
      <c r="H176" s="107">
        <v>126</v>
      </c>
      <c r="I176" s="107">
        <v>8</v>
      </c>
      <c r="J176" s="107">
        <v>660</v>
      </c>
      <c r="K176" s="107">
        <v>0</v>
      </c>
      <c r="L176" s="107">
        <v>102</v>
      </c>
      <c r="M176" s="107">
        <v>10</v>
      </c>
      <c r="N176" s="114"/>
      <c r="O176" s="140">
        <v>160</v>
      </c>
      <c r="P176" s="114"/>
      <c r="Q176" s="114">
        <v>409</v>
      </c>
      <c r="R176" s="114">
        <v>671</v>
      </c>
      <c r="T176" s="114">
        <v>127</v>
      </c>
      <c r="V176" s="107">
        <v>1</v>
      </c>
      <c r="W176" s="107">
        <v>273</v>
      </c>
      <c r="X176" s="142">
        <f t="shared" si="22"/>
        <v>0.18926974664679583</v>
      </c>
      <c r="Z176" s="107">
        <f t="shared" si="7"/>
        <v>399</v>
      </c>
      <c r="AA176" s="107">
        <f t="shared" si="8"/>
        <v>6.5980392156862742</v>
      </c>
      <c r="AB176" s="107">
        <f t="shared" si="9"/>
        <v>55.484351713859908</v>
      </c>
      <c r="AC176" s="140">
        <f t="shared" si="10"/>
        <v>0</v>
      </c>
      <c r="AD176" s="140">
        <f t="shared" si="11"/>
        <v>0.16030534351145037</v>
      </c>
      <c r="AE176" s="142">
        <f t="shared" si="12"/>
        <v>0.19242424242424241</v>
      </c>
      <c r="AF176" s="143">
        <f t="shared" si="13"/>
        <v>15.875</v>
      </c>
      <c r="AG176" s="142">
        <f t="shared" si="14"/>
        <v>0.16157760814249364</v>
      </c>
      <c r="AH176" s="107">
        <f t="shared" ca="1" si="15"/>
        <v>72.46875</v>
      </c>
      <c r="AI176" s="142">
        <f t="shared" ca="1" si="16"/>
        <v>1.3799051315222079E-2</v>
      </c>
      <c r="AJ176" s="107">
        <f t="shared" si="17"/>
        <v>825</v>
      </c>
      <c r="AK176" s="143">
        <f t="shared" ca="1" si="18"/>
        <v>14.054545454545455</v>
      </c>
      <c r="AL176" s="144">
        <f t="shared" si="19"/>
        <v>0.1040782193281049</v>
      </c>
      <c r="AM176" s="115"/>
      <c r="AN176" s="115"/>
    </row>
    <row r="177" spans="1:40" ht="15.75" customHeight="1" x14ac:dyDescent="0.3">
      <c r="A177" s="138">
        <v>530117</v>
      </c>
      <c r="B177" s="139" t="s">
        <v>196</v>
      </c>
      <c r="C177" s="114">
        <f ca="1">IFERROR(__xludf.DUMMYFUNCTION("GOOGLEFINANCE(""bom:""&amp;A22,""price"")"),1159.1)</f>
        <v>1159.0999999999999</v>
      </c>
      <c r="D177" s="107">
        <f ca="1">IFERROR(__xludf.DUMMYFUNCTION("GOOGLEFINANCE(""bom:""&amp;A22,""marketcap"")/10000000"),4531.2732)</f>
        <v>4531.2731999999996</v>
      </c>
      <c r="E177" s="107">
        <v>1131</v>
      </c>
      <c r="F177" s="107">
        <v>966</v>
      </c>
      <c r="G177" s="107">
        <v>2285</v>
      </c>
      <c r="H177" s="107">
        <v>1405</v>
      </c>
      <c r="I177" s="107">
        <v>39</v>
      </c>
      <c r="J177" s="107">
        <v>880</v>
      </c>
      <c r="K177" s="107">
        <v>1047</v>
      </c>
      <c r="L177" s="107">
        <v>316</v>
      </c>
      <c r="M177" s="107">
        <v>10</v>
      </c>
      <c r="N177" s="114"/>
      <c r="O177" s="140">
        <v>5.69</v>
      </c>
      <c r="P177" s="114"/>
      <c r="Q177" s="114">
        <v>1039</v>
      </c>
      <c r="R177" s="114">
        <v>1608</v>
      </c>
      <c r="T177" s="114">
        <v>21</v>
      </c>
      <c r="V177" s="107">
        <v>48</v>
      </c>
      <c r="W177" s="107">
        <v>830</v>
      </c>
      <c r="X177" s="142">
        <f t="shared" si="22"/>
        <v>1.3059701492537313E-2</v>
      </c>
      <c r="Z177" s="107">
        <f t="shared" si="7"/>
        <v>17.208333333333332</v>
      </c>
      <c r="AA177" s="107">
        <f t="shared" si="8"/>
        <v>1.170807453416149</v>
      </c>
      <c r="AB177" s="107">
        <f t="shared" si="9"/>
        <v>71.728855721393032</v>
      </c>
      <c r="AC177" s="140">
        <f t="shared" si="10"/>
        <v>1.1897727272727272</v>
      </c>
      <c r="AD177" s="140">
        <f t="shared" si="11"/>
        <v>0.61487964989059085</v>
      </c>
      <c r="AE177" s="142">
        <f t="shared" si="12"/>
        <v>2.3863636363636365E-2</v>
      </c>
      <c r="AF177" s="143">
        <f t="shared" si="13"/>
        <v>0.53846153846153844</v>
      </c>
      <c r="AG177" s="142">
        <f t="shared" si="14"/>
        <v>9.1903719912472641E-3</v>
      </c>
      <c r="AH177" s="107">
        <f t="shared" ca="1" si="15"/>
        <v>203.70826010544812</v>
      </c>
      <c r="AI177" s="142">
        <f t="shared" ca="1" si="16"/>
        <v>4.9089811060305417E-3</v>
      </c>
      <c r="AJ177" s="107">
        <f t="shared" si="17"/>
        <v>225.64102564102564</v>
      </c>
      <c r="AK177" s="143">
        <f t="shared" ca="1" si="18"/>
        <v>5.1369204545454545</v>
      </c>
      <c r="AL177" s="144">
        <f t="shared" si="19"/>
        <v>9.1274731886026084E-2</v>
      </c>
      <c r="AM177" s="115"/>
      <c r="AN177" s="115"/>
    </row>
    <row r="178" spans="1:40" ht="15.75" customHeight="1" x14ac:dyDescent="0.3">
      <c r="A178" s="138">
        <v>500730</v>
      </c>
      <c r="B178" s="139" t="s">
        <v>197</v>
      </c>
      <c r="C178" s="114">
        <f ca="1">IFERROR(__xludf.DUMMYFUNCTION("GOOGLEFINANCE(""bom:""&amp;A23,""price"")"),262.6)</f>
        <v>262.60000000000002</v>
      </c>
      <c r="D178" s="107">
        <f ca="1">IFERROR(__xludf.DUMMYFUNCTION("GOOGLEFINANCE(""bom:""&amp;A23,""marketcap"")/10000000"),4380.2823262)</f>
        <v>4380.2823262000002</v>
      </c>
      <c r="E178" s="107">
        <v>894</v>
      </c>
      <c r="F178" s="107">
        <v>164</v>
      </c>
      <c r="G178" s="107">
        <v>1958</v>
      </c>
      <c r="H178" s="107">
        <v>308</v>
      </c>
      <c r="I178" s="107">
        <v>167</v>
      </c>
      <c r="J178" s="107">
        <v>1651</v>
      </c>
      <c r="K178" s="107">
        <v>0</v>
      </c>
      <c r="L178" s="107">
        <v>319</v>
      </c>
      <c r="M178" s="107">
        <v>10</v>
      </c>
      <c r="N178" s="114"/>
      <c r="O178" s="140">
        <v>6.46</v>
      </c>
      <c r="P178" s="114"/>
      <c r="Q178" s="114">
        <v>989</v>
      </c>
      <c r="R178" s="114">
        <v>1617</v>
      </c>
      <c r="T178" s="114">
        <v>149</v>
      </c>
      <c r="V178" s="107">
        <v>1</v>
      </c>
      <c r="W178" s="107">
        <v>673</v>
      </c>
      <c r="X178" s="142">
        <f t="shared" si="22"/>
        <v>9.2145949288806428E-2</v>
      </c>
      <c r="Z178" s="107">
        <f t="shared" si="7"/>
        <v>945</v>
      </c>
      <c r="AA178" s="107">
        <f t="shared" si="8"/>
        <v>5.4512195121951219</v>
      </c>
      <c r="AB178" s="107">
        <f t="shared" si="9"/>
        <v>72.006802721088434</v>
      </c>
      <c r="AC178" s="140">
        <f t="shared" si="10"/>
        <v>0</v>
      </c>
      <c r="AD178" s="140">
        <f t="shared" si="11"/>
        <v>0.15730337078651685</v>
      </c>
      <c r="AE178" s="142">
        <f t="shared" si="12"/>
        <v>9.0248334342822534E-2</v>
      </c>
      <c r="AF178" s="143">
        <f t="shared" si="13"/>
        <v>0.89221556886227549</v>
      </c>
      <c r="AG178" s="142">
        <f t="shared" si="14"/>
        <v>7.6098059244126659E-2</v>
      </c>
      <c r="AH178" s="107">
        <f t="shared" ca="1" si="15"/>
        <v>40.650154798761612</v>
      </c>
      <c r="AI178" s="142">
        <f t="shared" ca="1" si="16"/>
        <v>2.4600152322924597E-2</v>
      </c>
      <c r="AJ178" s="107">
        <f t="shared" si="17"/>
        <v>98.862275449101801</v>
      </c>
      <c r="AK178" s="143">
        <f t="shared" ca="1" si="18"/>
        <v>2.6562204724409448</v>
      </c>
      <c r="AL178" s="144">
        <f t="shared" si="19"/>
        <v>0.10332318808656238</v>
      </c>
      <c r="AM178" s="115"/>
      <c r="AN178" s="115"/>
    </row>
    <row r="179" spans="1:40" ht="15.75" customHeight="1" x14ac:dyDescent="0.3">
      <c r="A179" s="138">
        <v>543213</v>
      </c>
      <c r="B179" s="139" t="s">
        <v>198</v>
      </c>
      <c r="C179" s="114">
        <f ca="1">IFERROR(__xludf.DUMMYFUNCTION("GOOGLEFINANCE(""bom:""&amp;A24,""price"")"),705.8)</f>
        <v>705.8</v>
      </c>
      <c r="D179" s="107">
        <f ca="1">IFERROR(__xludf.DUMMYFUNCTION("GOOGLEFINANCE(""bom:""&amp;A24,""marketcap"")/10000000"),3889.421184)</f>
        <v>3889.4211839999998</v>
      </c>
      <c r="E179" s="107">
        <v>842</v>
      </c>
      <c r="F179" s="107">
        <v>469</v>
      </c>
      <c r="G179" s="107">
        <v>1543</v>
      </c>
      <c r="H179" s="107">
        <v>556</v>
      </c>
      <c r="I179" s="107">
        <v>11</v>
      </c>
      <c r="J179" s="107">
        <v>978</v>
      </c>
      <c r="K179" s="107">
        <v>30</v>
      </c>
      <c r="L179" s="107">
        <v>413</v>
      </c>
      <c r="M179" s="107">
        <v>2</v>
      </c>
      <c r="N179" s="114"/>
      <c r="O179" s="140">
        <v>17.489999999999998</v>
      </c>
      <c r="P179" s="114"/>
      <c r="Q179" s="114">
        <v>292</v>
      </c>
      <c r="R179" s="114">
        <v>1656</v>
      </c>
      <c r="T179" s="114">
        <v>107</v>
      </c>
      <c r="V179" s="107">
        <v>2</v>
      </c>
      <c r="W179" s="107">
        <v>433</v>
      </c>
      <c r="X179" s="142">
        <f t="shared" si="22"/>
        <v>6.4613526570048305E-2</v>
      </c>
      <c r="Z179" s="107">
        <f t="shared" si="7"/>
        <v>612.5</v>
      </c>
      <c r="AA179" s="107">
        <f t="shared" si="8"/>
        <v>1.7953091684434968</v>
      </c>
      <c r="AB179" s="107">
        <f t="shared" si="9"/>
        <v>91.029589371980677</v>
      </c>
      <c r="AC179" s="140">
        <f t="shared" si="10"/>
        <v>3.0674846625766871E-2</v>
      </c>
      <c r="AD179" s="140">
        <f t="shared" si="11"/>
        <v>0.36033700583279327</v>
      </c>
      <c r="AE179" s="142">
        <f t="shared" si="12"/>
        <v>0.10940695296523517</v>
      </c>
      <c r="AF179" s="143">
        <f t="shared" si="13"/>
        <v>9.7272727272727266</v>
      </c>
      <c r="AG179" s="142">
        <f t="shared" si="14"/>
        <v>6.9345430978613093E-2</v>
      </c>
      <c r="AH179" s="107">
        <f t="shared" ca="1" si="15"/>
        <v>40.354488279016579</v>
      </c>
      <c r="AI179" s="142">
        <f t="shared" ca="1" si="16"/>
        <v>2.4780391045621988E-2</v>
      </c>
      <c r="AJ179" s="107">
        <f t="shared" si="17"/>
        <v>177.81818181818181</v>
      </c>
      <c r="AK179" s="143">
        <f t="shared" ca="1" si="18"/>
        <v>3.9692229038854805</v>
      </c>
      <c r="AL179" s="144">
        <f t="shared" si="19"/>
        <v>0.4149317638932013</v>
      </c>
      <c r="AM179" s="115"/>
      <c r="AN179" s="115"/>
    </row>
    <row r="180" spans="1:40" ht="15.75" customHeight="1" x14ac:dyDescent="0.3">
      <c r="A180" s="138">
        <v>543332</v>
      </c>
      <c r="B180" s="139" t="s">
        <v>199</v>
      </c>
      <c r="C180" s="114">
        <f ca="1">IFERROR(__xludf.DUMMYFUNCTION("GOOGLEFINANCE(""bom:""&amp;A25,""price"")"),1299)</f>
        <v>1299</v>
      </c>
      <c r="D180" s="107">
        <f ca="1">IFERROR(__xludf.DUMMYFUNCTION("GOOGLEFINANCE(""bom:""&amp;A25,""marketcap"")/10000000"),5351.65932)</f>
        <v>5351.6593199999998</v>
      </c>
      <c r="E180" s="107">
        <v>438</v>
      </c>
      <c r="F180" s="107">
        <v>792</v>
      </c>
      <c r="G180" s="107">
        <v>2648</v>
      </c>
      <c r="H180" s="107">
        <v>1519</v>
      </c>
      <c r="I180" s="107">
        <v>41</v>
      </c>
      <c r="J180" s="107">
        <v>1128</v>
      </c>
      <c r="K180" s="107">
        <v>968</v>
      </c>
      <c r="L180" s="107">
        <v>191</v>
      </c>
      <c r="M180" s="107">
        <v>10</v>
      </c>
      <c r="N180" s="114"/>
      <c r="O180" s="140">
        <v>47.15</v>
      </c>
      <c r="P180" s="114"/>
      <c r="Q180" s="114">
        <v>602</v>
      </c>
      <c r="R180" s="114">
        <v>2188</v>
      </c>
      <c r="T180" s="114">
        <v>353</v>
      </c>
      <c r="V180" s="107">
        <v>39</v>
      </c>
      <c r="W180" s="107">
        <v>831</v>
      </c>
      <c r="X180" s="142">
        <f t="shared" si="22"/>
        <v>0.1613345521023766</v>
      </c>
      <c r="Z180" s="107">
        <f t="shared" si="7"/>
        <v>35.794871794871796</v>
      </c>
      <c r="AA180" s="107">
        <f t="shared" si="8"/>
        <v>0.55303030303030298</v>
      </c>
      <c r="AB180" s="107">
        <f t="shared" si="9"/>
        <v>31.862431444241313</v>
      </c>
      <c r="AC180" s="140">
        <f t="shared" si="10"/>
        <v>0.85815602836879434</v>
      </c>
      <c r="AD180" s="140">
        <f t="shared" si="11"/>
        <v>0.57364048338368578</v>
      </c>
      <c r="AE180" s="142">
        <f t="shared" si="12"/>
        <v>0.31294326241134751</v>
      </c>
      <c r="AF180" s="143">
        <f t="shared" si="13"/>
        <v>8.6097560975609753</v>
      </c>
      <c r="AG180" s="142">
        <f t="shared" si="14"/>
        <v>0.13330815709969787</v>
      </c>
      <c r="AH180" s="107">
        <f t="shared" ca="1" si="15"/>
        <v>27.550371155885472</v>
      </c>
      <c r="AI180" s="142">
        <f t="shared" ca="1" si="16"/>
        <v>3.629715165511932E-2</v>
      </c>
      <c r="AJ180" s="107">
        <f t="shared" si="17"/>
        <v>275.1219512195122</v>
      </c>
      <c r="AK180" s="143">
        <f t="shared" ca="1" si="18"/>
        <v>4.7215425531914894</v>
      </c>
      <c r="AL180" s="144">
        <f t="shared" si="19"/>
        <v>0.29446456152449096</v>
      </c>
      <c r="AM180" s="115"/>
      <c r="AN180" s="115"/>
    </row>
    <row r="181" spans="1:40" ht="15.75" customHeight="1" x14ac:dyDescent="0.3">
      <c r="A181" s="138">
        <v>542665</v>
      </c>
      <c r="B181" s="139" t="s">
        <v>200</v>
      </c>
      <c r="C181" s="114">
        <f ca="1">IFERROR(__xludf.DUMMYFUNCTION("GOOGLEFINANCE(""bom:""&amp;A26,""price"")"),1455.65)</f>
        <v>1455.65</v>
      </c>
      <c r="D181" s="107">
        <f ca="1">IFERROR(__xludf.DUMMYFUNCTION("GOOGLEFINANCE(""bom:""&amp;A26,""marketcap"")/10000000"),3858.3192375)</f>
        <v>3858.3192374999999</v>
      </c>
      <c r="E181" s="107">
        <v>722</v>
      </c>
      <c r="F181" s="107">
        <v>525</v>
      </c>
      <c r="G181" s="107">
        <v>1202</v>
      </c>
      <c r="H181" s="107">
        <v>705</v>
      </c>
      <c r="I181" s="107">
        <v>25</v>
      </c>
      <c r="J181" s="107">
        <v>497</v>
      </c>
      <c r="K181" s="107">
        <v>462</v>
      </c>
      <c r="L181" s="107">
        <v>227</v>
      </c>
      <c r="M181" s="107">
        <v>10</v>
      </c>
      <c r="N181" s="114"/>
      <c r="O181" s="140">
        <v>18.8</v>
      </c>
      <c r="P181" s="114"/>
      <c r="Q181" s="114">
        <v>165</v>
      </c>
      <c r="R181" s="114">
        <v>686</v>
      </c>
      <c r="T181" s="114">
        <v>50</v>
      </c>
      <c r="V181" s="107">
        <v>22</v>
      </c>
      <c r="W181" s="107">
        <v>306</v>
      </c>
      <c r="X181" s="142">
        <f t="shared" si="22"/>
        <v>7.2886297376093298E-2</v>
      </c>
      <c r="Z181" s="107">
        <f t="shared" si="7"/>
        <v>18.272727272727273</v>
      </c>
      <c r="AA181" s="107">
        <f t="shared" si="8"/>
        <v>1.3752380952380951</v>
      </c>
      <c r="AB181" s="107">
        <f t="shared" si="9"/>
        <v>120.77988338192421</v>
      </c>
      <c r="AC181" s="140">
        <f t="shared" si="10"/>
        <v>0.92957746478873238</v>
      </c>
      <c r="AD181" s="140">
        <f t="shared" si="11"/>
        <v>0.58652246256239604</v>
      </c>
      <c r="AE181" s="142">
        <f t="shared" si="12"/>
        <v>0.1006036217303823</v>
      </c>
      <c r="AF181" s="143">
        <f t="shared" si="13"/>
        <v>2</v>
      </c>
      <c r="AG181" s="142">
        <f t="shared" si="14"/>
        <v>4.1597337770382693E-2</v>
      </c>
      <c r="AH181" s="107">
        <f t="shared" ca="1" si="15"/>
        <v>77.428191489361708</v>
      </c>
      <c r="AI181" s="142">
        <f t="shared" ca="1" si="16"/>
        <v>1.2915192525675814E-2</v>
      </c>
      <c r="AJ181" s="107">
        <f t="shared" si="17"/>
        <v>198.8</v>
      </c>
      <c r="AK181" s="143">
        <f t="shared" ca="1" si="18"/>
        <v>7.322183098591549</v>
      </c>
      <c r="AL181" s="144">
        <f t="shared" si="19"/>
        <v>0.32974398439052122</v>
      </c>
      <c r="AM181" s="115"/>
      <c r="AN181" s="115"/>
    </row>
    <row r="182" spans="1:40" ht="15.75" customHeight="1" x14ac:dyDescent="0.3">
      <c r="A182" s="138">
        <v>533333</v>
      </c>
      <c r="B182" s="139" t="s">
        <v>201</v>
      </c>
      <c r="C182" s="114">
        <f ca="1">IFERROR(__xludf.DUMMYFUNCTION("GOOGLEFINANCE(""bom:""&amp;A27,""price"")"),360.55)</f>
        <v>360.55</v>
      </c>
      <c r="D182" s="107">
        <f ca="1">IFERROR(__xludf.DUMMYFUNCTION("GOOGLEFINANCE(""bom:""&amp;A27,""marketcap"")/10000000"),3984.7672775)</f>
        <v>3984.7672775000001</v>
      </c>
      <c r="E182" s="107">
        <v>273</v>
      </c>
      <c r="F182" s="107">
        <v>120</v>
      </c>
      <c r="G182" s="107">
        <v>528</v>
      </c>
      <c r="H182" s="107">
        <v>123</v>
      </c>
      <c r="I182" s="107">
        <v>22</v>
      </c>
      <c r="J182" s="107">
        <v>398</v>
      </c>
      <c r="K182" s="107">
        <v>2</v>
      </c>
      <c r="L182" s="107">
        <v>143</v>
      </c>
      <c r="M182" s="107">
        <v>2</v>
      </c>
      <c r="N182" s="114"/>
      <c r="O182" s="140">
        <v>7.1</v>
      </c>
      <c r="P182" s="114"/>
      <c r="Q182" s="114">
        <v>143</v>
      </c>
      <c r="R182" s="114">
        <v>517</v>
      </c>
      <c r="T182" s="114">
        <v>90</v>
      </c>
      <c r="V182" s="107">
        <v>1</v>
      </c>
      <c r="W182" s="107">
        <v>210</v>
      </c>
      <c r="X182" s="142">
        <f t="shared" si="22"/>
        <v>0.17408123791102514</v>
      </c>
      <c r="Z182" s="107">
        <f t="shared" si="7"/>
        <v>308</v>
      </c>
      <c r="AA182" s="107">
        <f t="shared" si="8"/>
        <v>2.2749999999999999</v>
      </c>
      <c r="AB182" s="107">
        <f t="shared" si="9"/>
        <v>100.95744680851064</v>
      </c>
      <c r="AC182" s="140">
        <f t="shared" si="10"/>
        <v>5.0251256281407036E-3</v>
      </c>
      <c r="AD182" s="140">
        <f t="shared" si="11"/>
        <v>0.23295454545454544</v>
      </c>
      <c r="AE182" s="142">
        <f t="shared" si="12"/>
        <v>0.22613065326633167</v>
      </c>
      <c r="AF182" s="143">
        <f t="shared" si="13"/>
        <v>4.0909090909090908</v>
      </c>
      <c r="AG182" s="142">
        <f t="shared" si="14"/>
        <v>0.17045454545454544</v>
      </c>
      <c r="AH182" s="107">
        <f t="shared" ca="1" si="15"/>
        <v>50.781690140845072</v>
      </c>
      <c r="AI182" s="142">
        <f t="shared" ca="1" si="16"/>
        <v>1.969213701289696E-2</v>
      </c>
      <c r="AJ182" s="107">
        <f t="shared" si="17"/>
        <v>36.18181818181818</v>
      </c>
      <c r="AK182" s="143">
        <f t="shared" ca="1" si="18"/>
        <v>9.9649497487437202</v>
      </c>
      <c r="AL182" s="144">
        <f t="shared" si="19"/>
        <v>0.29309639552761269</v>
      </c>
      <c r="AM182" s="115"/>
      <c r="AN182" s="115"/>
    </row>
    <row r="183" spans="1:40" ht="15.75" customHeight="1" x14ac:dyDescent="0.3">
      <c r="A183" s="138">
        <v>543321</v>
      </c>
      <c r="B183" s="139" t="s">
        <v>202</v>
      </c>
      <c r="C183" s="114">
        <f ca="1">IFERROR(__xludf.DUMMYFUNCTION("GOOGLEFINANCE(""bom:""&amp;A28,""price"")"),1120)</f>
        <v>1120</v>
      </c>
      <c r="D183" s="107">
        <f ca="1">IFERROR(__xludf.DUMMYFUNCTION("GOOGLEFINANCE(""bom:""&amp;A28,""marketcap"")/10000000"),2622.248805)</f>
        <v>2622.2488050000002</v>
      </c>
      <c r="E183" s="107">
        <v>370</v>
      </c>
      <c r="F183" s="107">
        <v>110</v>
      </c>
      <c r="G183" s="107">
        <v>840</v>
      </c>
      <c r="H183" s="107">
        <v>113</v>
      </c>
      <c r="I183" s="107">
        <v>23</v>
      </c>
      <c r="J183" s="107">
        <v>727</v>
      </c>
      <c r="K183" s="107">
        <v>61</v>
      </c>
      <c r="L183" s="107">
        <v>59</v>
      </c>
      <c r="M183" s="107">
        <v>10</v>
      </c>
      <c r="N183" s="114"/>
      <c r="O183" s="140">
        <v>15.93</v>
      </c>
      <c r="P183" s="114"/>
      <c r="Q183" s="114">
        <v>206</v>
      </c>
      <c r="R183" s="114">
        <v>424</v>
      </c>
      <c r="T183" s="114">
        <v>45</v>
      </c>
      <c r="V183" s="107">
        <v>5</v>
      </c>
      <c r="W183" s="107">
        <v>188</v>
      </c>
      <c r="X183" s="142">
        <f t="shared" si="22"/>
        <v>0.10613207547169812</v>
      </c>
      <c r="Z183" s="107">
        <f t="shared" si="7"/>
        <v>48.2</v>
      </c>
      <c r="AA183" s="107">
        <f t="shared" si="8"/>
        <v>3.3636363636363638</v>
      </c>
      <c r="AB183" s="107">
        <f t="shared" si="9"/>
        <v>50.790094339622641</v>
      </c>
      <c r="AC183" s="140">
        <f t="shared" si="10"/>
        <v>8.3906464924346627E-2</v>
      </c>
      <c r="AD183" s="140">
        <f t="shared" si="11"/>
        <v>0.13452380952380952</v>
      </c>
      <c r="AE183" s="142">
        <f t="shared" si="12"/>
        <v>6.1898211829436035E-2</v>
      </c>
      <c r="AF183" s="143">
        <f t="shared" si="13"/>
        <v>1.9565217391304348</v>
      </c>
      <c r="AG183" s="142">
        <f t="shared" si="14"/>
        <v>5.3571428571428568E-2</v>
      </c>
      <c r="AH183" s="107">
        <f t="shared" ca="1" si="15"/>
        <v>70.30759573132454</v>
      </c>
      <c r="AI183" s="142">
        <f t="shared" ca="1" si="16"/>
        <v>1.4223214285714285E-2</v>
      </c>
      <c r="AJ183" s="107">
        <f t="shared" si="17"/>
        <v>316.08695652173918</v>
      </c>
      <c r="AK183" s="143">
        <f t="shared" ca="1" si="18"/>
        <v>3.5433287482806048</v>
      </c>
      <c r="AL183" s="144">
        <f t="shared" si="19"/>
        <v>0.15531317832998903</v>
      </c>
      <c r="AM183" s="115"/>
      <c r="AN183" s="115"/>
    </row>
    <row r="184" spans="1:40" ht="15.75" customHeight="1" x14ac:dyDescent="0.3">
      <c r="A184" s="138">
        <v>506222</v>
      </c>
      <c r="B184" s="139" t="s">
        <v>203</v>
      </c>
      <c r="C184" s="114">
        <f ca="1">IFERROR(__xludf.DUMMYFUNCTION("GOOGLEFINANCE(""bom:""&amp;A29,""price"")"),1803.15)</f>
        <v>1803.15</v>
      </c>
      <c r="D184" s="107">
        <f ca="1">IFERROR(__xludf.DUMMYFUNCTION("GOOGLEFINANCE(""bom:""&amp;A29,""marketcap"")/10000000"),3191.879)</f>
        <v>3191.8789999999999</v>
      </c>
      <c r="E184" s="107">
        <v>752</v>
      </c>
      <c r="F184" s="107">
        <v>262</v>
      </c>
      <c r="G184" s="107">
        <v>1087</v>
      </c>
      <c r="H184" s="107">
        <v>326</v>
      </c>
      <c r="I184" s="107">
        <v>18</v>
      </c>
      <c r="J184" s="107">
        <v>761</v>
      </c>
      <c r="K184" s="107">
        <v>0</v>
      </c>
      <c r="L184" s="107">
        <v>296</v>
      </c>
      <c r="M184" s="107">
        <v>10</v>
      </c>
      <c r="N184" s="114"/>
      <c r="O184" s="140">
        <v>91.82</v>
      </c>
      <c r="P184" s="114"/>
      <c r="Q184" s="114">
        <v>1951</v>
      </c>
      <c r="R184" s="114">
        <v>2372</v>
      </c>
      <c r="T184" s="114">
        <v>183</v>
      </c>
      <c r="V184" s="107">
        <v>3</v>
      </c>
      <c r="W184" s="107">
        <v>1040</v>
      </c>
      <c r="X184" s="142">
        <f t="shared" si="22"/>
        <v>7.7150084317032047E-2</v>
      </c>
      <c r="Z184" s="107">
        <f t="shared" si="7"/>
        <v>445</v>
      </c>
      <c r="AA184" s="107">
        <f t="shared" si="8"/>
        <v>2.8702290076335877</v>
      </c>
      <c r="AB184" s="107">
        <f t="shared" si="9"/>
        <v>45.548060708263073</v>
      </c>
      <c r="AC184" s="140">
        <f t="shared" si="10"/>
        <v>0</v>
      </c>
      <c r="AD184" s="140">
        <f t="shared" si="11"/>
        <v>0.29990800367985282</v>
      </c>
      <c r="AE184" s="142">
        <f t="shared" si="12"/>
        <v>0.24047306176084099</v>
      </c>
      <c r="AF184" s="143">
        <f t="shared" si="13"/>
        <v>10.166666666666666</v>
      </c>
      <c r="AG184" s="142">
        <f t="shared" si="14"/>
        <v>0.16835326586936522</v>
      </c>
      <c r="AH184" s="107">
        <f t="shared" ca="1" si="15"/>
        <v>19.637878457852324</v>
      </c>
      <c r="AI184" s="142">
        <f t="shared" ca="1" si="16"/>
        <v>5.0921997615284355E-2</v>
      </c>
      <c r="AJ184" s="107">
        <f t="shared" si="17"/>
        <v>422.77777777777777</v>
      </c>
      <c r="AK184" s="143">
        <f t="shared" ca="1" si="18"/>
        <v>4.2650065703022344</v>
      </c>
      <c r="AL184" s="144">
        <f t="shared" si="19"/>
        <v>3.9851884123711656E-2</v>
      </c>
      <c r="AM184" s="115"/>
      <c r="AN184" s="115"/>
    </row>
    <row r="185" spans="1:40" ht="15.75" customHeight="1" x14ac:dyDescent="0.3">
      <c r="A185" s="138">
        <v>500052</v>
      </c>
      <c r="B185" s="139" t="s">
        <v>204</v>
      </c>
      <c r="C185" s="114">
        <f ca="1">IFERROR(__xludf.DUMMYFUNCTION("GOOGLEFINANCE(""bom:""&amp;A30,""price"")"),99.15)</f>
        <v>99.15</v>
      </c>
      <c r="D185" s="107">
        <f ca="1">IFERROR(__xludf.DUMMYFUNCTION("GOOGLEFINANCE(""bom:""&amp;A30,""marketcap"")/10000000"),2481.118172)</f>
        <v>2481.118172</v>
      </c>
      <c r="E185" s="107">
        <v>769</v>
      </c>
      <c r="F185" s="107">
        <v>162</v>
      </c>
      <c r="G185" s="107">
        <v>1075</v>
      </c>
      <c r="H185" s="107">
        <v>182</v>
      </c>
      <c r="I185" s="107">
        <v>25</v>
      </c>
      <c r="J185" s="107">
        <v>892</v>
      </c>
      <c r="K185" s="107">
        <v>0</v>
      </c>
      <c r="L185" s="107">
        <v>220</v>
      </c>
      <c r="M185" s="107">
        <v>1</v>
      </c>
      <c r="N185" s="114"/>
      <c r="O185" s="140">
        <v>5.86</v>
      </c>
      <c r="P185" s="114"/>
      <c r="Q185" s="114">
        <v>1059</v>
      </c>
      <c r="R185" s="114">
        <v>1363</v>
      </c>
      <c r="T185" s="114">
        <v>137</v>
      </c>
      <c r="V185" s="107">
        <v>1</v>
      </c>
      <c r="W185" s="107">
        <v>499</v>
      </c>
      <c r="X185" s="142">
        <f t="shared" si="22"/>
        <v>0.10051357300073367</v>
      </c>
      <c r="Z185" s="107">
        <f t="shared" si="7"/>
        <v>865</v>
      </c>
      <c r="AA185" s="107">
        <f t="shared" si="8"/>
        <v>4.7469135802469138</v>
      </c>
      <c r="AB185" s="107">
        <f t="shared" si="9"/>
        <v>58.91415994130594</v>
      </c>
      <c r="AC185" s="140">
        <f t="shared" si="10"/>
        <v>0</v>
      </c>
      <c r="AD185" s="140">
        <f t="shared" si="11"/>
        <v>0.16930232558139535</v>
      </c>
      <c r="AE185" s="142">
        <f t="shared" si="12"/>
        <v>0.15358744394618834</v>
      </c>
      <c r="AF185" s="143">
        <f t="shared" si="13"/>
        <v>5.48</v>
      </c>
      <c r="AG185" s="142">
        <f t="shared" si="14"/>
        <v>0.12744186046511627</v>
      </c>
      <c r="AH185" s="107">
        <f t="shared" ca="1" si="15"/>
        <v>16.919795221843003</v>
      </c>
      <c r="AI185" s="142">
        <f t="shared" ca="1" si="16"/>
        <v>5.9102370146243068E-2</v>
      </c>
      <c r="AJ185" s="107">
        <f t="shared" si="17"/>
        <v>35.68</v>
      </c>
      <c r="AK185" s="143">
        <f t="shared" ca="1" si="18"/>
        <v>2.7788677130044843</v>
      </c>
      <c r="AL185" s="144">
        <f t="shared" si="19"/>
        <v>5.1768062626188049E-2</v>
      </c>
      <c r="AM185" s="115"/>
      <c r="AN185" s="115"/>
    </row>
    <row r="186" spans="1:40" ht="15.75" customHeight="1" x14ac:dyDescent="0.3">
      <c r="A186" s="138">
        <v>500150</v>
      </c>
      <c r="B186" s="139" t="s">
        <v>205</v>
      </c>
      <c r="C186" s="114">
        <f ca="1">IFERROR(__xludf.DUMMYFUNCTION("GOOGLEFINANCE(""bom:""&amp;A31,""price"")"),3480)</f>
        <v>3480</v>
      </c>
      <c r="D186" s="107">
        <f ca="1">IFERROR(__xludf.DUMMYFUNCTION("GOOGLEFINANCE(""bom:""&amp;A31,""marketcap"")/10000000"),2235.2603)</f>
        <v>2235.2602999999999</v>
      </c>
      <c r="E186" s="107">
        <v>346</v>
      </c>
      <c r="F186" s="107">
        <v>132</v>
      </c>
      <c r="G186" s="107">
        <v>387</v>
      </c>
      <c r="H186" s="107">
        <v>134</v>
      </c>
      <c r="I186" s="107">
        <v>6</v>
      </c>
      <c r="J186" s="107">
        <v>255</v>
      </c>
      <c r="K186" s="107">
        <v>0</v>
      </c>
      <c r="L186" s="107">
        <v>100</v>
      </c>
      <c r="M186" s="107">
        <v>10</v>
      </c>
      <c r="N186" s="114"/>
      <c r="O186" s="140">
        <v>107.93</v>
      </c>
      <c r="P186" s="114"/>
      <c r="Q186" s="114">
        <v>362</v>
      </c>
      <c r="R186" s="114">
        <v>407</v>
      </c>
      <c r="T186" s="114">
        <v>46</v>
      </c>
      <c r="V186" s="107">
        <v>1</v>
      </c>
      <c r="W186" s="107">
        <v>201</v>
      </c>
      <c r="X186" s="142">
        <f t="shared" si="22"/>
        <v>0.11302211302211303</v>
      </c>
      <c r="Z186" s="107">
        <f t="shared" si="7"/>
        <v>207</v>
      </c>
      <c r="AA186" s="107">
        <f t="shared" si="8"/>
        <v>2.6212121212121211</v>
      </c>
      <c r="AB186" s="107">
        <f t="shared" si="9"/>
        <v>89.680589680589677</v>
      </c>
      <c r="AC186" s="140">
        <f t="shared" si="10"/>
        <v>0</v>
      </c>
      <c r="AD186" s="140">
        <f t="shared" si="11"/>
        <v>0.34625322997416019</v>
      </c>
      <c r="AE186" s="142">
        <f t="shared" si="12"/>
        <v>0.1803921568627451</v>
      </c>
      <c r="AF186" s="143">
        <f t="shared" si="13"/>
        <v>7.666666666666667</v>
      </c>
      <c r="AG186" s="142">
        <f t="shared" si="14"/>
        <v>0.11886304909560723</v>
      </c>
      <c r="AH186" s="107">
        <f t="shared" ca="1" si="15"/>
        <v>32.243120541091443</v>
      </c>
      <c r="AI186" s="142">
        <f t="shared" ca="1" si="16"/>
        <v>3.1014367816091955E-2</v>
      </c>
      <c r="AJ186" s="107">
        <f t="shared" si="17"/>
        <v>425</v>
      </c>
      <c r="AK186" s="143">
        <f t="shared" ca="1" si="18"/>
        <v>8.1882352941176464</v>
      </c>
      <c r="AL186" s="144">
        <f t="shared" si="19"/>
        <v>2.371052346464686E-2</v>
      </c>
      <c r="AM186" s="115"/>
      <c r="AN186" s="115"/>
    </row>
    <row r="187" spans="1:40" ht="15.75" customHeight="1" x14ac:dyDescent="0.3">
      <c r="A187" s="138">
        <v>543547</v>
      </c>
      <c r="B187" s="139" t="s">
        <v>206</v>
      </c>
      <c r="C187" s="114">
        <f ca="1">IFERROR(__xludf.DUMMYFUNCTION("GOOGLEFINANCE(""bom:""&amp;A32,""price"")"),231.3)</f>
        <v>231.3</v>
      </c>
      <c r="D187" s="107">
        <f ca="1">IFERROR(__xludf.DUMMYFUNCTION("GOOGLEFINANCE(""bom:""&amp;A32,""marketcap"")/10000000"),2393.4137895)</f>
        <v>2393.4137894999999</v>
      </c>
      <c r="E187" s="107">
        <v>680</v>
      </c>
      <c r="F187" s="107">
        <v>330</v>
      </c>
      <c r="G187" s="107">
        <v>922</v>
      </c>
      <c r="H187" s="107">
        <v>358</v>
      </c>
      <c r="I187" s="107">
        <v>10</v>
      </c>
      <c r="J187" s="107">
        <v>563</v>
      </c>
      <c r="K187" s="107">
        <v>44</v>
      </c>
      <c r="L187" s="107">
        <v>374</v>
      </c>
      <c r="M187" s="107">
        <v>1</v>
      </c>
      <c r="N187" s="114"/>
      <c r="O187" s="140">
        <v>14.61</v>
      </c>
      <c r="P187" s="114"/>
      <c r="Q187" s="114"/>
      <c r="R187" s="114">
        <v>2504</v>
      </c>
      <c r="T187" s="114">
        <v>104</v>
      </c>
      <c r="V187" s="107">
        <v>13</v>
      </c>
      <c r="W187" s="107">
        <v>1185</v>
      </c>
      <c r="X187" s="142">
        <f t="shared" si="22"/>
        <v>4.1533546325878593E-2</v>
      </c>
      <c r="Z187" s="107">
        <f t="shared" si="7"/>
        <v>102.46153846153847</v>
      </c>
      <c r="AA187" s="107">
        <f t="shared" si="8"/>
        <v>2.0606060606060606</v>
      </c>
      <c r="AB187" s="107">
        <f t="shared" si="9"/>
        <v>54.516773162939295</v>
      </c>
      <c r="AC187" s="140">
        <f t="shared" si="10"/>
        <v>7.8152753108348141E-2</v>
      </c>
      <c r="AD187" s="140">
        <f t="shared" si="11"/>
        <v>0.38828633405639912</v>
      </c>
      <c r="AE187" s="142">
        <f t="shared" si="12"/>
        <v>0.1847246891651865</v>
      </c>
      <c r="AF187" s="143">
        <f t="shared" si="13"/>
        <v>10.4</v>
      </c>
      <c r="AG187" s="142">
        <f t="shared" si="14"/>
        <v>0.11279826464208242</v>
      </c>
      <c r="AH187" s="107">
        <f t="shared" ca="1" si="15"/>
        <v>15.831622176591377</v>
      </c>
      <c r="AI187" s="142">
        <f t="shared" ca="1" si="16"/>
        <v>6.3164721141374836E-2</v>
      </c>
      <c r="AJ187" s="107">
        <f t="shared" si="17"/>
        <v>56.3</v>
      </c>
      <c r="AK187" s="143">
        <f t="shared" ca="1" si="18"/>
        <v>4.1083481349911191</v>
      </c>
      <c r="AL187" s="144" t="e">
        <f t="shared" si="19"/>
        <v>#DIV/0!</v>
      </c>
      <c r="AM187" s="115"/>
      <c r="AN187" s="115"/>
    </row>
    <row r="188" spans="1:40" ht="15.75" customHeight="1" x14ac:dyDescent="0.3">
      <c r="A188" s="138">
        <v>532834</v>
      </c>
      <c r="B188" s="139" t="s">
        <v>207</v>
      </c>
      <c r="C188" s="114">
        <f ca="1">IFERROR(__xludf.DUMMYFUNCTION("GOOGLEFINANCE(""bom:""&amp;A33,""price"")"),100)</f>
        <v>100</v>
      </c>
      <c r="D188" s="107">
        <f ca="1">IFERROR(__xludf.DUMMYFUNCTION("GOOGLEFINANCE(""bom:""&amp;A33,""marketcap"")/10000000"),1672.9773735)</f>
        <v>1672.9773735000001</v>
      </c>
      <c r="E188" s="107">
        <v>1006</v>
      </c>
      <c r="F188" s="107">
        <v>681</v>
      </c>
      <c r="G188" s="107">
        <v>2013</v>
      </c>
      <c r="H188" s="107">
        <v>1071</v>
      </c>
      <c r="I188" s="107">
        <v>16</v>
      </c>
      <c r="J188" s="107">
        <v>942</v>
      </c>
      <c r="K188" s="107">
        <v>665</v>
      </c>
      <c r="L188" s="107">
        <v>240</v>
      </c>
      <c r="M188" s="107">
        <v>1</v>
      </c>
      <c r="N188" s="114"/>
      <c r="O188" s="140">
        <v>1.67</v>
      </c>
      <c r="P188" s="114"/>
      <c r="Q188" s="114">
        <v>652</v>
      </c>
      <c r="R188" s="114">
        <v>1391</v>
      </c>
      <c r="T188" s="114">
        <v>137</v>
      </c>
      <c r="V188" s="107">
        <v>29</v>
      </c>
      <c r="W188" s="107">
        <v>829</v>
      </c>
      <c r="X188" s="142">
        <f t="shared" si="22"/>
        <v>9.8490294751977001E-2</v>
      </c>
      <c r="Z188" s="107">
        <f t="shared" si="7"/>
        <v>20.379310344827587</v>
      </c>
      <c r="AA188" s="107">
        <f t="shared" si="8"/>
        <v>1.4772393538913362</v>
      </c>
      <c r="AB188" s="107">
        <f t="shared" si="9"/>
        <v>62.976276060388216</v>
      </c>
      <c r="AC188" s="140">
        <f t="shared" si="10"/>
        <v>0.70594479830148615</v>
      </c>
      <c r="AD188" s="140">
        <f t="shared" si="11"/>
        <v>0.53204172876304023</v>
      </c>
      <c r="AE188" s="142">
        <f t="shared" si="12"/>
        <v>0.14543524416135881</v>
      </c>
      <c r="AF188" s="143">
        <f t="shared" si="13"/>
        <v>8.5625</v>
      </c>
      <c r="AG188" s="142">
        <f t="shared" si="14"/>
        <v>6.8057625434674612E-2</v>
      </c>
      <c r="AH188" s="107">
        <f t="shared" ca="1" si="15"/>
        <v>59.880239520958085</v>
      </c>
      <c r="AI188" s="142">
        <f t="shared" ca="1" si="16"/>
        <v>1.67E-2</v>
      </c>
      <c r="AJ188" s="107">
        <f t="shared" si="17"/>
        <v>58.875</v>
      </c>
      <c r="AK188" s="143">
        <f t="shared" ca="1" si="18"/>
        <v>1.6985138004246285</v>
      </c>
      <c r="AL188" s="144">
        <f t="shared" si="19"/>
        <v>0.16363267243890989</v>
      </c>
      <c r="AM188" s="115"/>
      <c r="AN188" s="115"/>
    </row>
    <row r="189" spans="1:40" ht="15.75" customHeight="1" x14ac:dyDescent="0.3">
      <c r="A189" s="138">
        <v>516072</v>
      </c>
      <c r="B189" s="139" t="s">
        <v>208</v>
      </c>
      <c r="C189" s="114">
        <f ca="1">IFERROR(__xludf.DUMMYFUNCTION("GOOGLEFINANCE(""bom:""&amp;A34,""price"")"),312.35)</f>
        <v>312.35000000000002</v>
      </c>
      <c r="D189" s="107">
        <f ca="1">IFERROR(__xludf.DUMMYFUNCTION("GOOGLEFINANCE(""bom:""&amp;A34,""marketcap"")/10000000"),2033.964248)</f>
        <v>2033.964248</v>
      </c>
      <c r="E189" s="107">
        <v>579</v>
      </c>
      <c r="F189" s="107">
        <v>354</v>
      </c>
      <c r="G189" s="107">
        <v>1226</v>
      </c>
      <c r="H189" s="107">
        <v>570</v>
      </c>
      <c r="I189" s="107">
        <v>13</v>
      </c>
      <c r="J189" s="107">
        <v>654</v>
      </c>
      <c r="K189" s="107">
        <v>314</v>
      </c>
      <c r="L189" s="107">
        <v>173</v>
      </c>
      <c r="M189" s="107">
        <v>2</v>
      </c>
      <c r="N189" s="114"/>
      <c r="O189" s="140">
        <v>17.82</v>
      </c>
      <c r="P189" s="114"/>
      <c r="Q189" s="114">
        <v>723</v>
      </c>
      <c r="R189" s="114">
        <v>1682</v>
      </c>
      <c r="T189" s="114">
        <v>40</v>
      </c>
      <c r="V189" s="107">
        <v>18</v>
      </c>
      <c r="W189" s="107">
        <v>545</v>
      </c>
      <c r="X189" s="142">
        <f t="shared" si="22"/>
        <v>2.3781212841854936E-2</v>
      </c>
      <c r="Z189" s="107">
        <f t="shared" si="7"/>
        <v>64.166666666666671</v>
      </c>
      <c r="AA189" s="107">
        <f t="shared" si="8"/>
        <v>1.6355932203389831</v>
      </c>
      <c r="AB189" s="107">
        <f t="shared" si="9"/>
        <v>37.541617122473248</v>
      </c>
      <c r="AC189" s="140">
        <f t="shared" si="10"/>
        <v>0.4801223241590214</v>
      </c>
      <c r="AD189" s="140">
        <f t="shared" si="11"/>
        <v>0.46492659053833607</v>
      </c>
      <c r="AE189" s="142">
        <f t="shared" si="12"/>
        <v>6.1162079510703363E-2</v>
      </c>
      <c r="AF189" s="143">
        <f t="shared" si="13"/>
        <v>3.0769230769230771</v>
      </c>
      <c r="AG189" s="142">
        <f t="shared" si="14"/>
        <v>3.2626427406199018E-2</v>
      </c>
      <c r="AH189" s="107">
        <f t="shared" ca="1" si="15"/>
        <v>17.528058361391697</v>
      </c>
      <c r="AI189" s="142">
        <f t="shared" ca="1" si="16"/>
        <v>5.7051384664639021E-2</v>
      </c>
      <c r="AJ189" s="107">
        <f t="shared" si="17"/>
        <v>100.61538461538461</v>
      </c>
      <c r="AK189" s="143">
        <f t="shared" ca="1" si="18"/>
        <v>3.1043960244648323</v>
      </c>
      <c r="AL189" s="144">
        <f t="shared" si="19"/>
        <v>0.18396138708984666</v>
      </c>
      <c r="AM189" s="115"/>
      <c r="AN189" s="115"/>
    </row>
    <row r="190" spans="1:40" ht="15.75" customHeight="1" x14ac:dyDescent="0.3">
      <c r="A190" s="138">
        <v>531717</v>
      </c>
      <c r="B190" s="139" t="s">
        <v>209</v>
      </c>
      <c r="C190" s="114">
        <f ca="1">IFERROR(__xludf.DUMMYFUNCTION("GOOGLEFINANCE(""bom:""&amp;A35,""price"")"),474.65)</f>
        <v>474.65</v>
      </c>
      <c r="D190" s="107">
        <f ca="1">IFERROR(__xludf.DUMMYFUNCTION("GOOGLEFINANCE(""bom:""&amp;A35,""marketcap"")/10000000"),2364.3957961)</f>
        <v>2364.3957961000001</v>
      </c>
      <c r="E190" s="107">
        <v>206</v>
      </c>
      <c r="F190" s="107">
        <v>68</v>
      </c>
      <c r="G190" s="107">
        <v>341</v>
      </c>
      <c r="H190" s="107">
        <v>74</v>
      </c>
      <c r="I190" s="107">
        <v>5</v>
      </c>
      <c r="J190" s="107">
        <v>266</v>
      </c>
      <c r="K190" s="107">
        <v>39</v>
      </c>
      <c r="L190" s="107">
        <v>95</v>
      </c>
      <c r="M190" s="107">
        <v>1</v>
      </c>
      <c r="N190" s="114"/>
      <c r="O190" s="140">
        <v>6.81</v>
      </c>
      <c r="P190" s="114"/>
      <c r="Q190" s="114">
        <v>217</v>
      </c>
      <c r="R190" s="114">
        <v>404</v>
      </c>
      <c r="T190" s="114">
        <v>37</v>
      </c>
      <c r="V190" s="107">
        <v>2</v>
      </c>
      <c r="W190" s="107">
        <v>137</v>
      </c>
      <c r="X190" s="142">
        <f t="shared" si="22"/>
        <v>9.1584158415841582E-2</v>
      </c>
      <c r="Z190" s="107">
        <f t="shared" si="7"/>
        <v>134.5</v>
      </c>
      <c r="AA190" s="107">
        <f t="shared" si="8"/>
        <v>3.0294117647058822</v>
      </c>
      <c r="AB190" s="107">
        <f t="shared" si="9"/>
        <v>85.829207920792072</v>
      </c>
      <c r="AC190" s="140">
        <f t="shared" si="10"/>
        <v>0.14661654135338345</v>
      </c>
      <c r="AD190" s="140">
        <f t="shared" si="11"/>
        <v>0.21700879765395895</v>
      </c>
      <c r="AE190" s="142">
        <f t="shared" si="12"/>
        <v>0.13909774436090225</v>
      </c>
      <c r="AF190" s="143">
        <f t="shared" si="13"/>
        <v>7.4</v>
      </c>
      <c r="AG190" s="142">
        <f t="shared" si="14"/>
        <v>0.10850439882697947</v>
      </c>
      <c r="AH190" s="107">
        <f t="shared" ca="1" si="15"/>
        <v>69.698972099853151</v>
      </c>
      <c r="AI190" s="142">
        <f t="shared" ca="1" si="16"/>
        <v>1.4347413883914462E-2</v>
      </c>
      <c r="AJ190" s="107">
        <f t="shared" si="17"/>
        <v>53.2</v>
      </c>
      <c r="AK190" s="143">
        <f t="shared" ca="1" si="18"/>
        <v>8.9219924812030058</v>
      </c>
      <c r="AL190" s="144">
        <f t="shared" si="19"/>
        <v>0.13235949548816284</v>
      </c>
      <c r="AM190" s="115"/>
      <c r="AN190" s="115"/>
    </row>
    <row r="191" spans="1:40" ht="15.75" customHeight="1" x14ac:dyDescent="0.3">
      <c r="A191" s="138">
        <v>541167</v>
      </c>
      <c r="B191" s="139" t="s">
        <v>210</v>
      </c>
      <c r="C191" s="114">
        <f ca="1">IFERROR(__xludf.DUMMYFUNCTION("GOOGLEFINANCE(""bom:""&amp;A36,""price"")"),1890)</f>
        <v>1890</v>
      </c>
      <c r="D191" s="107">
        <f ca="1">IFERROR(__xludf.DUMMYFUNCTION("GOOGLEFINANCE(""bom:""&amp;A36,""marketcap"")/10000000"),2168.9257283)</f>
        <v>2168.9257283000002</v>
      </c>
      <c r="E191" s="107">
        <v>304</v>
      </c>
      <c r="F191" s="107">
        <v>345</v>
      </c>
      <c r="G191" s="107">
        <v>895</v>
      </c>
      <c r="H191" s="107">
        <v>631</v>
      </c>
      <c r="I191" s="107">
        <v>11</v>
      </c>
      <c r="J191" s="107">
        <v>263</v>
      </c>
      <c r="K191" s="107">
        <v>474</v>
      </c>
      <c r="L191" s="107">
        <v>98</v>
      </c>
      <c r="M191" s="107">
        <v>10</v>
      </c>
      <c r="N191" s="114"/>
      <c r="O191" s="140">
        <v>42.78</v>
      </c>
      <c r="P191" s="114"/>
      <c r="Q191" s="114">
        <v>250</v>
      </c>
      <c r="R191" s="114">
        <v>672</v>
      </c>
      <c r="T191" s="114">
        <v>68</v>
      </c>
      <c r="V191" s="107">
        <v>6</v>
      </c>
      <c r="W191" s="107">
        <v>259</v>
      </c>
      <c r="X191" s="142">
        <f t="shared" si="22"/>
        <v>0.10119047619047619</v>
      </c>
      <c r="Z191" s="107">
        <f t="shared" si="7"/>
        <v>69.833333333333329</v>
      </c>
      <c r="AA191" s="107">
        <f t="shared" si="8"/>
        <v>0.88115942028985506</v>
      </c>
      <c r="AB191" s="107">
        <f t="shared" si="9"/>
        <v>53.229166666666671</v>
      </c>
      <c r="AC191" s="140">
        <f t="shared" si="10"/>
        <v>1.8022813688212929</v>
      </c>
      <c r="AD191" s="140">
        <f t="shared" si="11"/>
        <v>0.70502793296089383</v>
      </c>
      <c r="AE191" s="142">
        <f t="shared" si="12"/>
        <v>0.2585551330798479</v>
      </c>
      <c r="AF191" s="143">
        <f t="shared" si="13"/>
        <v>6.1818181818181817</v>
      </c>
      <c r="AG191" s="142">
        <f t="shared" si="14"/>
        <v>7.5977653631284919E-2</v>
      </c>
      <c r="AH191" s="107">
        <f t="shared" ca="1" si="15"/>
        <v>44.179523141654975</v>
      </c>
      <c r="AI191" s="142">
        <f t="shared" ca="1" si="16"/>
        <v>2.2634920634920636E-2</v>
      </c>
      <c r="AJ191" s="107">
        <f t="shared" si="17"/>
        <v>239.09090909090907</v>
      </c>
      <c r="AK191" s="143">
        <f t="shared" ca="1" si="18"/>
        <v>7.904942965779469</v>
      </c>
      <c r="AL191" s="144">
        <f t="shared" si="19"/>
        <v>0.21866924976549162</v>
      </c>
      <c r="AM191" s="115"/>
      <c r="AN191" s="115"/>
    </row>
    <row r="192" spans="1:40" ht="15.75" customHeight="1" x14ac:dyDescent="0.3">
      <c r="A192" s="138">
        <v>514448</v>
      </c>
      <c r="B192" s="139" t="s">
        <v>211</v>
      </c>
      <c r="C192" s="114">
        <f ca="1">IFERROR(__xludf.DUMMYFUNCTION("GOOGLEFINANCE(""bom:""&amp;A37,""price"")"),1310)</f>
        <v>1310</v>
      </c>
      <c r="D192" s="107">
        <f ca="1">IFERROR(__xludf.DUMMYFUNCTION("GOOGLEFINANCE(""bom:""&amp;A37,""marketcap"")/10000000"),1572)</f>
        <v>1572</v>
      </c>
      <c r="E192" s="107">
        <v>169</v>
      </c>
      <c r="F192" s="107">
        <v>58</v>
      </c>
      <c r="G192" s="107">
        <v>239</v>
      </c>
      <c r="H192" s="107">
        <v>107</v>
      </c>
      <c r="I192" s="107">
        <v>12</v>
      </c>
      <c r="J192" s="107">
        <v>130</v>
      </c>
      <c r="K192" s="107">
        <v>64</v>
      </c>
      <c r="L192" s="107">
        <v>86</v>
      </c>
      <c r="M192" s="107">
        <v>10</v>
      </c>
      <c r="N192" s="114"/>
      <c r="O192" s="140">
        <v>50.4</v>
      </c>
      <c r="P192" s="114"/>
      <c r="Q192" s="114">
        <v>55</v>
      </c>
      <c r="R192" s="114">
        <v>261</v>
      </c>
      <c r="T192" s="114">
        <v>46</v>
      </c>
      <c r="V192" s="107">
        <v>1</v>
      </c>
      <c r="W192" s="107">
        <v>82</v>
      </c>
      <c r="X192" s="142">
        <f t="shared" si="22"/>
        <v>0.17624521072796934</v>
      </c>
      <c r="Z192" s="107">
        <f t="shared" si="7"/>
        <v>180</v>
      </c>
      <c r="AA192" s="107">
        <f t="shared" si="8"/>
        <v>2.9137931034482758</v>
      </c>
      <c r="AB192" s="107">
        <f t="shared" si="9"/>
        <v>120.26819923371647</v>
      </c>
      <c r="AC192" s="140">
        <f t="shared" si="10"/>
        <v>0.49230769230769234</v>
      </c>
      <c r="AD192" s="140">
        <f t="shared" si="11"/>
        <v>0.44769874476987448</v>
      </c>
      <c r="AE192" s="142">
        <f t="shared" si="12"/>
        <v>0.35384615384615387</v>
      </c>
      <c r="AF192" s="143">
        <f t="shared" si="13"/>
        <v>3.8333333333333335</v>
      </c>
      <c r="AG192" s="142">
        <f t="shared" si="14"/>
        <v>0.19246861924686193</v>
      </c>
      <c r="AH192" s="107">
        <f t="shared" ca="1" si="15"/>
        <v>25.992063492063494</v>
      </c>
      <c r="AI192" s="142">
        <f t="shared" ca="1" si="16"/>
        <v>3.8473282442748093E-2</v>
      </c>
      <c r="AJ192" s="107">
        <f t="shared" si="17"/>
        <v>108.33333333333334</v>
      </c>
      <c r="AK192" s="143">
        <f t="shared" ca="1" si="18"/>
        <v>12.092307692307692</v>
      </c>
      <c r="AL192" s="144">
        <f t="shared" si="19"/>
        <v>0.36538637121322726</v>
      </c>
      <c r="AM192" s="115"/>
      <c r="AN192" s="115"/>
    </row>
    <row r="193" spans="1:40" ht="15.75" customHeight="1" x14ac:dyDescent="0.3">
      <c r="A193" s="138">
        <v>532742</v>
      </c>
      <c r="B193" s="139" t="s">
        <v>212</v>
      </c>
      <c r="C193" s="114">
        <f ca="1">IFERROR(__xludf.DUMMYFUNCTION("GOOGLEFINANCE(""bom:""&amp;A38,""price"")"),5236.45)</f>
        <v>5236.45</v>
      </c>
      <c r="D193" s="107">
        <f ca="1">IFERROR(__xludf.DUMMYFUNCTION("GOOGLEFINANCE(""bom:""&amp;A38,""marketcap"")/10000000"),1613.9336457)</f>
        <v>1613.9336456999999</v>
      </c>
      <c r="E193" s="107">
        <v>152</v>
      </c>
      <c r="F193" s="107">
        <v>22</v>
      </c>
      <c r="G193" s="107">
        <v>433</v>
      </c>
      <c r="H193" s="107">
        <v>62</v>
      </c>
      <c r="I193" s="107">
        <v>3</v>
      </c>
      <c r="J193" s="107">
        <v>370</v>
      </c>
      <c r="K193" s="107">
        <v>0</v>
      </c>
      <c r="L193" s="107">
        <v>46</v>
      </c>
      <c r="M193" s="107">
        <v>10</v>
      </c>
      <c r="N193" s="114"/>
      <c r="O193" s="140">
        <v>168.2</v>
      </c>
      <c r="P193" s="114"/>
      <c r="Q193" s="114">
        <v>105</v>
      </c>
      <c r="R193" s="114">
        <v>212</v>
      </c>
      <c r="T193" s="114">
        <v>54</v>
      </c>
      <c r="V193" s="107">
        <v>1</v>
      </c>
      <c r="W193" s="107">
        <v>80</v>
      </c>
      <c r="X193" s="142">
        <f t="shared" si="22"/>
        <v>0.25471698113207547</v>
      </c>
      <c r="Z193" s="107">
        <f t="shared" si="7"/>
        <v>133</v>
      </c>
      <c r="AA193" s="107">
        <f t="shared" si="8"/>
        <v>6.9090909090909092</v>
      </c>
      <c r="AB193" s="107">
        <f t="shared" si="9"/>
        <v>79.198113207547166</v>
      </c>
      <c r="AC193" s="140">
        <f t="shared" si="10"/>
        <v>0</v>
      </c>
      <c r="AD193" s="140">
        <f t="shared" si="11"/>
        <v>0.14318706697459585</v>
      </c>
      <c r="AE193" s="142">
        <f t="shared" si="12"/>
        <v>0.14594594594594595</v>
      </c>
      <c r="AF193" s="143">
        <f t="shared" si="13"/>
        <v>18</v>
      </c>
      <c r="AG193" s="142">
        <f t="shared" si="14"/>
        <v>0.12471131639722864</v>
      </c>
      <c r="AH193" s="107">
        <f t="shared" ca="1" si="15"/>
        <v>31.132282996432821</v>
      </c>
      <c r="AI193" s="142">
        <f t="shared" ca="1" si="16"/>
        <v>3.2120998004373194E-2</v>
      </c>
      <c r="AJ193" s="107">
        <f t="shared" si="17"/>
        <v>1233.3333333333335</v>
      </c>
      <c r="AK193" s="143">
        <f t="shared" ca="1" si="18"/>
        <v>4.2457702702702695</v>
      </c>
      <c r="AL193" s="144">
        <f t="shared" si="19"/>
        <v>0.15087806395214964</v>
      </c>
      <c r="AM193" s="115"/>
      <c r="AN193" s="115"/>
    </row>
    <row r="194" spans="1:40" ht="15.75" customHeight="1" x14ac:dyDescent="0.3">
      <c r="A194" s="138">
        <v>543252</v>
      </c>
      <c r="B194" s="139" t="s">
        <v>213</v>
      </c>
      <c r="C194" s="114">
        <f ca="1">IFERROR(__xludf.DUMMYFUNCTION("GOOGLEFINANCE(""bom:""&amp;A39,""price"")"),1385)</f>
        <v>1385</v>
      </c>
      <c r="D194" s="107">
        <f ca="1">IFERROR(__xludf.DUMMYFUNCTION("GOOGLEFINANCE(""bom:""&amp;A39,""marketcap"")/10000000"),1803.39465)</f>
        <v>1803.39465</v>
      </c>
      <c r="E194" s="107">
        <v>130</v>
      </c>
      <c r="F194" s="107">
        <v>47</v>
      </c>
      <c r="G194" s="107">
        <v>330</v>
      </c>
      <c r="H194" s="107">
        <v>64</v>
      </c>
      <c r="I194" s="107">
        <v>13</v>
      </c>
      <c r="J194" s="107">
        <v>265</v>
      </c>
      <c r="K194" s="107">
        <v>34</v>
      </c>
      <c r="L194" s="107">
        <v>55</v>
      </c>
      <c r="M194" s="107">
        <v>10</v>
      </c>
      <c r="N194" s="114"/>
      <c r="O194" s="140">
        <v>22.18</v>
      </c>
      <c r="P194" s="114"/>
      <c r="Q194" s="114">
        <v>397</v>
      </c>
      <c r="R194" s="114">
        <v>648</v>
      </c>
      <c r="T194" s="114">
        <v>44</v>
      </c>
      <c r="V194" s="107">
        <v>2</v>
      </c>
      <c r="W194" s="107">
        <v>291</v>
      </c>
      <c r="X194" s="142">
        <f t="shared" si="22"/>
        <v>6.7901234567901231E-2</v>
      </c>
      <c r="Z194" s="107">
        <f t="shared" si="7"/>
        <v>179.5</v>
      </c>
      <c r="AA194" s="107">
        <f t="shared" si="8"/>
        <v>2.7659574468085109</v>
      </c>
      <c r="AB194" s="107">
        <f t="shared" si="9"/>
        <v>30.97993827160494</v>
      </c>
      <c r="AC194" s="140">
        <f t="shared" si="10"/>
        <v>0.12830188679245283</v>
      </c>
      <c r="AD194" s="140">
        <f t="shared" si="11"/>
        <v>0.19393939393939394</v>
      </c>
      <c r="AE194" s="142">
        <f t="shared" si="12"/>
        <v>0.16603773584905659</v>
      </c>
      <c r="AF194" s="143">
        <f t="shared" si="13"/>
        <v>3.3846153846153846</v>
      </c>
      <c r="AG194" s="142">
        <f t="shared" si="14"/>
        <v>0.13333333333333333</v>
      </c>
      <c r="AH194" s="107">
        <f t="shared" ca="1" si="15"/>
        <v>62.443642921550946</v>
      </c>
      <c r="AI194" s="142">
        <f t="shared" ca="1" si="16"/>
        <v>1.6014440433212995E-2</v>
      </c>
      <c r="AJ194" s="107">
        <f t="shared" si="17"/>
        <v>203.84615384615384</v>
      </c>
      <c r="AK194" s="143">
        <f t="shared" ca="1" si="18"/>
        <v>6.7943396226415098</v>
      </c>
      <c r="AL194" s="144">
        <f t="shared" si="19"/>
        <v>0.10295272958934598</v>
      </c>
      <c r="AM194" s="115"/>
      <c r="AN194" s="115"/>
    </row>
    <row r="195" spans="1:40" ht="15.75" customHeight="1" x14ac:dyDescent="0.3">
      <c r="A195" s="138">
        <v>540145</v>
      </c>
      <c r="B195" s="139" t="s">
        <v>214</v>
      </c>
      <c r="C195" s="114">
        <f ca="1">IFERROR(__xludf.DUMMYFUNCTION("GOOGLEFINANCE(""bom:""&amp;A40,""price"")"),409.5)</f>
        <v>409.5</v>
      </c>
      <c r="D195" s="107">
        <f ca="1">IFERROR(__xludf.DUMMYFUNCTION("GOOGLEFINANCE(""bom:""&amp;A40,""marketcap"")/10000000"),1133.334555)</f>
        <v>1133.3345549999999</v>
      </c>
      <c r="E195" s="107">
        <v>439</v>
      </c>
      <c r="F195" s="107">
        <v>400</v>
      </c>
      <c r="G195" s="107">
        <v>1252</v>
      </c>
      <c r="H195" s="107">
        <v>491</v>
      </c>
      <c r="I195" s="107">
        <v>27</v>
      </c>
      <c r="J195" s="107">
        <v>759</v>
      </c>
      <c r="K195" s="107">
        <v>194</v>
      </c>
      <c r="L195" s="107">
        <v>222</v>
      </c>
      <c r="M195" s="107">
        <v>10</v>
      </c>
      <c r="N195" s="114"/>
      <c r="O195" s="140">
        <v>21.39</v>
      </c>
      <c r="P195" s="114"/>
      <c r="Q195" s="114">
        <v>606</v>
      </c>
      <c r="R195" s="114">
        <v>1052</v>
      </c>
      <c r="T195" s="114">
        <v>103</v>
      </c>
      <c r="V195" s="107">
        <v>8</v>
      </c>
      <c r="W195" s="107">
        <v>391</v>
      </c>
      <c r="X195" s="142">
        <f t="shared" si="22"/>
        <v>9.7908745247148293E-2</v>
      </c>
      <c r="Z195" s="107">
        <f t="shared" si="7"/>
        <v>83.625</v>
      </c>
      <c r="AA195" s="107">
        <f t="shared" si="8"/>
        <v>1.0974999999999999</v>
      </c>
      <c r="AB195" s="107">
        <f t="shared" si="9"/>
        <v>77.024714828897345</v>
      </c>
      <c r="AC195" s="140">
        <f t="shared" si="10"/>
        <v>0.25559947299077734</v>
      </c>
      <c r="AD195" s="140">
        <f t="shared" si="11"/>
        <v>0.39217252396166136</v>
      </c>
      <c r="AE195" s="142">
        <f t="shared" si="12"/>
        <v>0.13570487483530963</v>
      </c>
      <c r="AF195" s="143">
        <f t="shared" si="13"/>
        <v>3.8148148148148149</v>
      </c>
      <c r="AG195" s="142">
        <f t="shared" si="14"/>
        <v>8.2268370607028754E-2</v>
      </c>
      <c r="AH195" s="107">
        <f t="shared" ca="1" si="15"/>
        <v>19.144460028050489</v>
      </c>
      <c r="AI195" s="142">
        <f t="shared" ca="1" si="16"/>
        <v>5.2234432234432235E-2</v>
      </c>
      <c r="AJ195" s="107">
        <f t="shared" si="17"/>
        <v>281.11111111111109</v>
      </c>
      <c r="AK195" s="143">
        <f t="shared" ca="1" si="18"/>
        <v>1.4567193675889329</v>
      </c>
      <c r="AL195" s="144">
        <f t="shared" si="19"/>
        <v>0.11662828110219925</v>
      </c>
      <c r="AM195" s="115"/>
      <c r="AN195" s="115"/>
    </row>
    <row r="196" spans="1:40" ht="15.75" customHeight="1" x14ac:dyDescent="0.3">
      <c r="A196" s="138">
        <v>500078</v>
      </c>
      <c r="B196" s="139" t="s">
        <v>215</v>
      </c>
      <c r="C196" s="114">
        <f ca="1">IFERROR(__xludf.DUMMYFUNCTION("GOOGLEFINANCE(""bom:""&amp;A41,""price"")"),356)</f>
        <v>356</v>
      </c>
      <c r="D196" s="107">
        <f ca="1">IFERROR(__xludf.DUMMYFUNCTION("GOOGLEFINANCE(""bom:""&amp;A41,""marketcap"")/10000000"),1184.605312)</f>
        <v>1184.6053119999999</v>
      </c>
      <c r="E196" s="107">
        <v>570</v>
      </c>
      <c r="F196" s="107">
        <v>264</v>
      </c>
      <c r="G196" s="107">
        <v>939</v>
      </c>
      <c r="H196" s="107">
        <v>320</v>
      </c>
      <c r="I196" s="107">
        <v>16</v>
      </c>
      <c r="J196" s="107">
        <v>619</v>
      </c>
      <c r="K196" s="107">
        <v>216</v>
      </c>
      <c r="L196" s="107">
        <v>190</v>
      </c>
      <c r="M196" s="107">
        <v>5</v>
      </c>
      <c r="N196" s="114"/>
      <c r="O196" s="140">
        <v>0.61</v>
      </c>
      <c r="P196" s="114"/>
      <c r="Q196" s="114">
        <v>506</v>
      </c>
      <c r="R196" s="114">
        <v>849</v>
      </c>
      <c r="T196" s="114">
        <v>20</v>
      </c>
      <c r="V196" s="107">
        <v>10</v>
      </c>
      <c r="W196" s="107">
        <v>430</v>
      </c>
      <c r="X196" s="142">
        <f t="shared" si="22"/>
        <v>2.3557126030624265E-2</v>
      </c>
      <c r="Z196" s="107">
        <f t="shared" si="7"/>
        <v>42.9</v>
      </c>
      <c r="AA196" s="107">
        <f t="shared" si="8"/>
        <v>2.1590909090909092</v>
      </c>
      <c r="AB196" s="107">
        <f t="shared" si="9"/>
        <v>81.684334511189633</v>
      </c>
      <c r="AC196" s="140">
        <f t="shared" si="10"/>
        <v>0.34894991922455576</v>
      </c>
      <c r="AD196" s="140">
        <f t="shared" si="11"/>
        <v>0.34078807241746539</v>
      </c>
      <c r="AE196" s="142">
        <f t="shared" si="12"/>
        <v>3.2310177705977383E-2</v>
      </c>
      <c r="AF196" s="143">
        <f t="shared" si="13"/>
        <v>1.25</v>
      </c>
      <c r="AG196" s="142">
        <f t="shared" si="14"/>
        <v>2.1299254526091587E-2</v>
      </c>
      <c r="AH196" s="107">
        <f t="shared" ca="1" si="15"/>
        <v>583.60655737704917</v>
      </c>
      <c r="AI196" s="142">
        <f t="shared" ca="1" si="16"/>
        <v>1.7134831460674158E-3</v>
      </c>
      <c r="AJ196" s="107">
        <f t="shared" si="17"/>
        <v>193.4375</v>
      </c>
      <c r="AK196" s="143">
        <f t="shared" ca="1" si="18"/>
        <v>1.8403877221324718</v>
      </c>
      <c r="AL196" s="144">
        <f t="shared" si="19"/>
        <v>0.10905078785843703</v>
      </c>
      <c r="AM196" s="115"/>
      <c r="AN196" s="115"/>
    </row>
    <row r="197" spans="1:40" ht="15.75" customHeight="1" x14ac:dyDescent="0.3">
      <c r="A197" s="138">
        <v>524648</v>
      </c>
      <c r="B197" s="139" t="s">
        <v>216</v>
      </c>
      <c r="C197" s="114">
        <f ca="1">IFERROR(__xludf.DUMMYFUNCTION("GOOGLEFINANCE(""bom:""&amp;A42,""price"")"),132.65)</f>
        <v>132.65</v>
      </c>
      <c r="D197" s="107">
        <f ca="1">IFERROR(__xludf.DUMMYFUNCTION("GOOGLEFINANCE(""bom:""&amp;A42,""marketcap"")/10000000"),938.8457192)</f>
        <v>938.84571919999996</v>
      </c>
      <c r="E197" s="107">
        <v>407</v>
      </c>
      <c r="F197" s="107">
        <v>325</v>
      </c>
      <c r="G197" s="107">
        <v>640</v>
      </c>
      <c r="H197" s="107">
        <v>389</v>
      </c>
      <c r="I197" s="107">
        <v>35</v>
      </c>
      <c r="J197" s="107">
        <v>246</v>
      </c>
      <c r="K197" s="107">
        <v>254</v>
      </c>
      <c r="L197" s="107">
        <v>199</v>
      </c>
      <c r="M197" s="107">
        <v>5</v>
      </c>
      <c r="N197" s="114"/>
      <c r="O197" s="140">
        <v>6.69</v>
      </c>
      <c r="P197" s="114"/>
      <c r="Q197" s="114">
        <v>359</v>
      </c>
      <c r="R197" s="114">
        <v>945</v>
      </c>
      <c r="T197" s="114">
        <v>41</v>
      </c>
      <c r="V197" s="107">
        <v>11</v>
      </c>
      <c r="W197" s="107">
        <v>473</v>
      </c>
      <c r="X197" s="142">
        <f t="shared" si="22"/>
        <v>4.3386243386243389E-2</v>
      </c>
      <c r="Z197" s="107">
        <f t="shared" si="7"/>
        <v>43.909090909090907</v>
      </c>
      <c r="AA197" s="107">
        <f t="shared" si="8"/>
        <v>1.2523076923076923</v>
      </c>
      <c r="AB197" s="107">
        <f t="shared" si="9"/>
        <v>76.862433862433861</v>
      </c>
      <c r="AC197" s="140">
        <f t="shared" si="10"/>
        <v>1.032520325203252</v>
      </c>
      <c r="AD197" s="140">
        <f t="shared" si="11"/>
        <v>0.60781249999999998</v>
      </c>
      <c r="AE197" s="142">
        <f t="shared" si="12"/>
        <v>0.16666666666666666</v>
      </c>
      <c r="AF197" s="143">
        <f t="shared" si="13"/>
        <v>1.1714285714285715</v>
      </c>
      <c r="AG197" s="142">
        <f t="shared" si="14"/>
        <v>6.4062499999999994E-2</v>
      </c>
      <c r="AH197" s="107">
        <f t="shared" ca="1" si="15"/>
        <v>19.828101644245141</v>
      </c>
      <c r="AI197" s="142">
        <f t="shared" ca="1" si="16"/>
        <v>5.0433471541650961E-2</v>
      </c>
      <c r="AJ197" s="107">
        <f t="shared" si="17"/>
        <v>35.142857142857146</v>
      </c>
      <c r="AK197" s="143">
        <f t="shared" ca="1" si="18"/>
        <v>3.7745934959349592</v>
      </c>
      <c r="AL197" s="144">
        <f t="shared" si="19"/>
        <v>0.21357737718853342</v>
      </c>
      <c r="AM197" s="115"/>
      <c r="AN197" s="115"/>
    </row>
    <row r="198" spans="1:40" ht="15.75" customHeight="1" x14ac:dyDescent="0.3">
      <c r="A198" s="138">
        <v>530475</v>
      </c>
      <c r="B198" s="139" t="s">
        <v>217</v>
      </c>
      <c r="C198" s="114">
        <f ca="1">IFERROR(__xludf.DUMMYFUNCTION("GOOGLEFINANCE(""bom:""&amp;A43,""price"")"),995)</f>
        <v>995</v>
      </c>
      <c r="D198" s="107">
        <f ca="1">IFERROR(__xludf.DUMMYFUNCTION("GOOGLEFINANCE(""bom:""&amp;A43,""marketcap"")/10000000"),1704.384255)</f>
        <v>1704.3842549999999</v>
      </c>
      <c r="E198" s="107">
        <v>75</v>
      </c>
      <c r="F198" s="107">
        <v>68</v>
      </c>
      <c r="G198" s="107">
        <v>209</v>
      </c>
      <c r="H198" s="107">
        <v>103</v>
      </c>
      <c r="I198" s="107">
        <v>17</v>
      </c>
      <c r="J198" s="107">
        <v>107</v>
      </c>
      <c r="K198" s="107">
        <v>60</v>
      </c>
      <c r="L198" s="107">
        <v>25</v>
      </c>
      <c r="M198" s="107">
        <v>10</v>
      </c>
      <c r="N198" s="114"/>
      <c r="O198" s="140">
        <v>14.74</v>
      </c>
      <c r="P198" s="114"/>
      <c r="Q198" s="114">
        <v>100</v>
      </c>
      <c r="R198" s="114">
        <v>295</v>
      </c>
      <c r="T198" s="114">
        <v>22</v>
      </c>
      <c r="V198" s="107">
        <v>4</v>
      </c>
      <c r="W198" s="107">
        <v>141</v>
      </c>
      <c r="X198" s="142">
        <f t="shared" si="22"/>
        <v>7.4576271186440682E-2</v>
      </c>
      <c r="Z198" s="107">
        <f t="shared" si="7"/>
        <v>39.5</v>
      </c>
      <c r="AA198" s="107">
        <f t="shared" si="8"/>
        <v>1.1029411764705883</v>
      </c>
      <c r="AB198" s="107">
        <f t="shared" si="9"/>
        <v>30.932203389830509</v>
      </c>
      <c r="AC198" s="140">
        <f t="shared" si="10"/>
        <v>0.56074766355140182</v>
      </c>
      <c r="AD198" s="140">
        <f t="shared" si="11"/>
        <v>0.49282296650717705</v>
      </c>
      <c r="AE198" s="142">
        <f t="shared" si="12"/>
        <v>0.20560747663551401</v>
      </c>
      <c r="AF198" s="143">
        <f t="shared" si="13"/>
        <v>1.2941176470588236</v>
      </c>
      <c r="AG198" s="142">
        <f t="shared" si="14"/>
        <v>0.10526315789473684</v>
      </c>
      <c r="AH198" s="107">
        <f t="shared" ca="1" si="15"/>
        <v>67.503392130257808</v>
      </c>
      <c r="AI198" s="142">
        <f t="shared" ca="1" si="16"/>
        <v>1.4814070351758794E-2</v>
      </c>
      <c r="AJ198" s="107">
        <f t="shared" si="17"/>
        <v>62.941176470588239</v>
      </c>
      <c r="AK198" s="143">
        <f t="shared" ca="1" si="18"/>
        <v>15.808411214953271</v>
      </c>
      <c r="AL198" s="144">
        <f t="shared" si="19"/>
        <v>0.24155054014013033</v>
      </c>
      <c r="AM198" s="115"/>
      <c r="AN198" s="115"/>
    </row>
    <row r="199" spans="1:40" ht="15.75" customHeight="1" x14ac:dyDescent="0.3">
      <c r="A199" s="138">
        <v>543433</v>
      </c>
      <c r="B199" s="139" t="s">
        <v>218</v>
      </c>
      <c r="C199" s="114">
        <f ca="1">IFERROR(__xludf.DUMMYFUNCTION("GOOGLEFINANCE(""bom:""&amp;A44,""price"")"),103)</f>
        <v>103</v>
      </c>
      <c r="D199" s="107">
        <f ca="1">IFERROR(__xludf.DUMMYFUNCTION("GOOGLEFINANCE(""bom:""&amp;A44,""marketcap"")/10000000"),941.2564783)</f>
        <v>941.25647830000003</v>
      </c>
      <c r="E199" s="107">
        <v>128</v>
      </c>
      <c r="F199" s="107">
        <v>28</v>
      </c>
      <c r="G199" s="107">
        <v>192</v>
      </c>
      <c r="H199" s="107">
        <v>33</v>
      </c>
      <c r="I199" s="107">
        <v>18</v>
      </c>
      <c r="J199" s="107">
        <v>158</v>
      </c>
      <c r="K199" s="107">
        <v>3</v>
      </c>
      <c r="L199" s="107">
        <v>39</v>
      </c>
      <c r="M199" s="107">
        <v>2</v>
      </c>
      <c r="N199" s="114"/>
      <c r="O199" s="140">
        <v>1.82</v>
      </c>
      <c r="P199" s="114"/>
      <c r="Q199" s="114"/>
      <c r="R199" s="114">
        <v>233</v>
      </c>
      <c r="T199" s="114">
        <v>11</v>
      </c>
      <c r="V199" s="107">
        <v>1</v>
      </c>
      <c r="W199" s="107">
        <v>110</v>
      </c>
      <c r="X199" s="142">
        <f t="shared" si="22"/>
        <v>4.7210300429184553E-2</v>
      </c>
      <c r="Z199" s="107">
        <f t="shared" si="7"/>
        <v>124</v>
      </c>
      <c r="AA199" s="107">
        <f t="shared" si="8"/>
        <v>4.5714285714285712</v>
      </c>
      <c r="AB199" s="107">
        <f t="shared" si="9"/>
        <v>61.094420600858371</v>
      </c>
      <c r="AC199" s="140">
        <f t="shared" si="10"/>
        <v>1.8987341772151899E-2</v>
      </c>
      <c r="AD199" s="140">
        <f t="shared" si="11"/>
        <v>0.171875</v>
      </c>
      <c r="AE199" s="142">
        <f t="shared" si="12"/>
        <v>6.9620253164556958E-2</v>
      </c>
      <c r="AF199" s="143">
        <f t="shared" si="13"/>
        <v>0.61111111111111116</v>
      </c>
      <c r="AG199" s="142">
        <f t="shared" si="14"/>
        <v>5.7291666666666664E-2</v>
      </c>
      <c r="AH199" s="107">
        <f t="shared" ca="1" si="15"/>
        <v>56.593406593406591</v>
      </c>
      <c r="AI199" s="142">
        <f t="shared" ca="1" si="16"/>
        <v>1.7669902912621358E-2</v>
      </c>
      <c r="AJ199" s="107">
        <f t="shared" si="17"/>
        <v>17.555555555555557</v>
      </c>
      <c r="AK199" s="143">
        <f t="shared" ca="1" si="18"/>
        <v>5.867088607594936</v>
      </c>
      <c r="AL199" s="144" t="e">
        <f t="shared" si="19"/>
        <v>#DIV/0!</v>
      </c>
      <c r="AM199" s="115"/>
      <c r="AN199" s="115"/>
    </row>
    <row r="200" spans="1:40" ht="15.75" customHeight="1" x14ac:dyDescent="0.3">
      <c r="A200" s="138">
        <v>500650</v>
      </c>
      <c r="B200" s="139" t="s">
        <v>219</v>
      </c>
      <c r="C200" s="114">
        <f ca="1">IFERROR(__xludf.DUMMYFUNCTION("GOOGLEFINANCE(""bom:""&amp;A45,""price"")"),1021.9)</f>
        <v>1021.9</v>
      </c>
      <c r="D200" s="107">
        <f ca="1">IFERROR(__xludf.DUMMYFUNCTION("GOOGLEFINANCE(""bom:""&amp;A45,""marketcap"")/10000000"),1293.1468189)</f>
        <v>1293.1468189</v>
      </c>
      <c r="E200" s="107">
        <v>454</v>
      </c>
      <c r="F200" s="107">
        <v>138</v>
      </c>
      <c r="G200" s="107">
        <v>1680</v>
      </c>
      <c r="H200" s="107">
        <v>290</v>
      </c>
      <c r="I200" s="107">
        <v>6</v>
      </c>
      <c r="J200" s="107">
        <v>1389</v>
      </c>
      <c r="K200" s="107">
        <v>0</v>
      </c>
      <c r="L200" s="107">
        <v>166</v>
      </c>
      <c r="M200" s="107">
        <v>5</v>
      </c>
      <c r="N200" s="114"/>
      <c r="O200" s="140">
        <v>20.73</v>
      </c>
      <c r="P200" s="114"/>
      <c r="Q200" s="114">
        <v>611</v>
      </c>
      <c r="R200" s="114">
        <v>1090</v>
      </c>
      <c r="T200" s="114">
        <v>80</v>
      </c>
      <c r="V200" s="107">
        <v>1</v>
      </c>
      <c r="W200" s="107">
        <v>419</v>
      </c>
      <c r="X200" s="142">
        <f t="shared" si="22"/>
        <v>7.3394495412844041E-2</v>
      </c>
      <c r="Z200" s="107">
        <f t="shared" si="7"/>
        <v>672</v>
      </c>
      <c r="AA200" s="107">
        <f t="shared" si="8"/>
        <v>3.2898550724637681</v>
      </c>
      <c r="AB200" s="107">
        <f t="shared" si="9"/>
        <v>55.587155963302756</v>
      </c>
      <c r="AC200" s="140">
        <f t="shared" si="10"/>
        <v>0</v>
      </c>
      <c r="AD200" s="140">
        <f t="shared" si="11"/>
        <v>0.17261904761904762</v>
      </c>
      <c r="AE200" s="142">
        <f t="shared" si="12"/>
        <v>5.7595392368610512E-2</v>
      </c>
      <c r="AF200" s="143">
        <f t="shared" si="13"/>
        <v>13.333333333333334</v>
      </c>
      <c r="AG200" s="142">
        <f t="shared" si="14"/>
        <v>4.7619047619047616E-2</v>
      </c>
      <c r="AH200" s="107">
        <f t="shared" ca="1" si="15"/>
        <v>49.295706705258077</v>
      </c>
      <c r="AI200" s="142">
        <f t="shared" ca="1" si="16"/>
        <v>2.0285742244838048E-2</v>
      </c>
      <c r="AJ200" s="107">
        <f t="shared" si="17"/>
        <v>1157.5</v>
      </c>
      <c r="AK200" s="143">
        <f t="shared" ca="1" si="18"/>
        <v>0.88285097192224615</v>
      </c>
      <c r="AL200" s="144">
        <f t="shared" si="19"/>
        <v>0.12273447272704874</v>
      </c>
      <c r="AM200" s="115"/>
      <c r="AN200" s="115"/>
    </row>
    <row r="201" spans="1:40" ht="15.75" customHeight="1" x14ac:dyDescent="0.3">
      <c r="A201" s="138">
        <v>543233</v>
      </c>
      <c r="B201" s="139" t="s">
        <v>220</v>
      </c>
      <c r="C201" s="114">
        <f ca="1">IFERROR(__xludf.DUMMYFUNCTION("GOOGLEFINANCE(""bom:""&amp;A46,""price"")"),260.15)</f>
        <v>260.14999999999998</v>
      </c>
      <c r="D201" s="107">
        <f ca="1">IFERROR(__xludf.DUMMYFUNCTION("GOOGLEFINANCE(""bom:""&amp;A46,""marketcap"")/10000000"),951.4824325)</f>
        <v>951.48243249999996</v>
      </c>
      <c r="E201" s="107">
        <v>337</v>
      </c>
      <c r="F201" s="107">
        <v>67</v>
      </c>
      <c r="G201" s="107">
        <v>541</v>
      </c>
      <c r="H201" s="107">
        <v>71</v>
      </c>
      <c r="I201" s="107">
        <v>36</v>
      </c>
      <c r="J201" s="107">
        <v>469</v>
      </c>
      <c r="K201" s="107">
        <v>39</v>
      </c>
      <c r="L201" s="107">
        <v>85</v>
      </c>
      <c r="M201" s="107">
        <v>10</v>
      </c>
      <c r="N201" s="114"/>
      <c r="O201" s="140">
        <v>9.19</v>
      </c>
      <c r="P201" s="114"/>
      <c r="Q201" s="114">
        <v>158</v>
      </c>
      <c r="R201" s="114">
        <v>303</v>
      </c>
      <c r="T201" s="114">
        <v>55</v>
      </c>
      <c r="V201" s="107">
        <v>1</v>
      </c>
      <c r="W201" s="107">
        <v>145</v>
      </c>
      <c r="X201" s="142">
        <f t="shared" si="22"/>
        <v>0.18151815181518152</v>
      </c>
      <c r="Z201" s="107">
        <f t="shared" si="7"/>
        <v>159</v>
      </c>
      <c r="AA201" s="107">
        <f t="shared" si="8"/>
        <v>5.0298507462686564</v>
      </c>
      <c r="AB201" s="107">
        <f t="shared" si="9"/>
        <v>102.39273927392739</v>
      </c>
      <c r="AC201" s="140">
        <f t="shared" si="10"/>
        <v>8.3155650319829424E-2</v>
      </c>
      <c r="AD201" s="140">
        <f t="shared" si="11"/>
        <v>0.13123844731977818</v>
      </c>
      <c r="AE201" s="142">
        <f t="shared" si="12"/>
        <v>0.11727078891257996</v>
      </c>
      <c r="AF201" s="143">
        <f t="shared" si="13"/>
        <v>1.5277777777777777</v>
      </c>
      <c r="AG201" s="142">
        <f t="shared" si="14"/>
        <v>0.10166358595194085</v>
      </c>
      <c r="AH201" s="107">
        <f t="shared" ca="1" si="15"/>
        <v>28.307943416757343</v>
      </c>
      <c r="AI201" s="142">
        <f t="shared" ca="1" si="16"/>
        <v>3.5325773592158369E-2</v>
      </c>
      <c r="AJ201" s="107">
        <f t="shared" si="17"/>
        <v>130.27777777777777</v>
      </c>
      <c r="AK201" s="143">
        <f t="shared" ca="1" si="18"/>
        <v>1.9968869936034115</v>
      </c>
      <c r="AL201" s="144">
        <f t="shared" si="19"/>
        <v>0.13908755833106756</v>
      </c>
      <c r="AM201" s="115"/>
      <c r="AN201" s="115"/>
    </row>
    <row r="202" spans="1:40" ht="15.75" customHeight="1" x14ac:dyDescent="0.3">
      <c r="A202" s="138">
        <v>533320</v>
      </c>
      <c r="B202" s="139" t="s">
        <v>221</v>
      </c>
      <c r="C202" s="114">
        <f ca="1">IFERROR(__xludf.DUMMYFUNCTION("GOOGLEFINANCE(""bom:""&amp;A47,""price"")"),1110.75)</f>
        <v>1110.75</v>
      </c>
      <c r="D202" s="107">
        <f ca="1">IFERROR(__xludf.DUMMYFUNCTION("GOOGLEFINANCE(""bom:""&amp;A47,""marketcap"")/10000000"),1657.6822684)</f>
        <v>1657.6822684000001</v>
      </c>
      <c r="E202" s="107">
        <v>535</v>
      </c>
      <c r="F202" s="107">
        <v>429</v>
      </c>
      <c r="G202" s="107">
        <v>720</v>
      </c>
      <c r="H202" s="107">
        <v>486</v>
      </c>
      <c r="I202" s="107">
        <v>15</v>
      </c>
      <c r="J202" s="107">
        <v>233</v>
      </c>
      <c r="K202" s="107">
        <v>162</v>
      </c>
      <c r="L202" s="107">
        <v>248</v>
      </c>
      <c r="M202" s="107">
        <v>10</v>
      </c>
      <c r="N202" s="114"/>
      <c r="O202" s="140">
        <v>5.94</v>
      </c>
      <c r="P202" s="114"/>
      <c r="Q202" s="114">
        <v>487</v>
      </c>
      <c r="R202" s="114">
        <v>1473</v>
      </c>
      <c r="T202" s="114">
        <v>53</v>
      </c>
      <c r="V202" s="107">
        <v>10</v>
      </c>
      <c r="W202" s="107">
        <v>619</v>
      </c>
      <c r="X202" s="142">
        <f t="shared" si="22"/>
        <v>3.5980991174473863E-2</v>
      </c>
      <c r="Z202" s="107">
        <f t="shared" si="7"/>
        <v>86.4</v>
      </c>
      <c r="AA202" s="107">
        <f t="shared" si="8"/>
        <v>1.2470862470862472</v>
      </c>
      <c r="AB202" s="107">
        <f t="shared" si="9"/>
        <v>61.452817379497624</v>
      </c>
      <c r="AC202" s="140">
        <f t="shared" si="10"/>
        <v>0.69527896995708149</v>
      </c>
      <c r="AD202" s="140">
        <f t="shared" si="11"/>
        <v>0.67500000000000004</v>
      </c>
      <c r="AE202" s="142">
        <f t="shared" si="12"/>
        <v>0.22746781115879827</v>
      </c>
      <c r="AF202" s="143">
        <f t="shared" si="13"/>
        <v>3.5333333333333332</v>
      </c>
      <c r="AG202" s="142">
        <f t="shared" si="14"/>
        <v>7.3611111111111113E-2</v>
      </c>
      <c r="AH202" s="107">
        <f t="shared" ca="1" si="15"/>
        <v>186.99494949494948</v>
      </c>
      <c r="AI202" s="142">
        <f t="shared" ca="1" si="16"/>
        <v>5.3477380148548278E-3</v>
      </c>
      <c r="AJ202" s="107">
        <f t="shared" si="17"/>
        <v>155.33333333333334</v>
      </c>
      <c r="AK202" s="143">
        <f t="shared" ca="1" si="18"/>
        <v>7.1507510729613726</v>
      </c>
      <c r="AL202" s="144">
        <f t="shared" si="19"/>
        <v>0.24777062461504418</v>
      </c>
      <c r="AM202" s="115"/>
      <c r="AN202" s="115"/>
    </row>
    <row r="203" spans="1:40" ht="15.75" customHeight="1" x14ac:dyDescent="0.3">
      <c r="A203" s="138">
        <v>506532</v>
      </c>
      <c r="B203" s="139" t="s">
        <v>222</v>
      </c>
      <c r="C203" s="114">
        <f ca="1">IFERROR(__xludf.DUMMYFUNCTION("GOOGLEFINANCE(""bom:""&amp;A48,""price"")"),858.55)</f>
        <v>858.55</v>
      </c>
      <c r="D203" s="107">
        <f ca="1">IFERROR(__xludf.DUMMYFUNCTION("GOOGLEFINANCE(""bom:""&amp;A48,""marketcap"")/10000000"),779.4912707)</f>
        <v>779.49127069999997</v>
      </c>
      <c r="E203" s="107">
        <v>244</v>
      </c>
      <c r="F203" s="107">
        <v>70</v>
      </c>
      <c r="G203" s="107">
        <v>395</v>
      </c>
      <c r="H203" s="107">
        <v>78</v>
      </c>
      <c r="I203" s="107">
        <v>9</v>
      </c>
      <c r="J203" s="107">
        <v>316</v>
      </c>
      <c r="K203" s="107">
        <v>20</v>
      </c>
      <c r="L203" s="107">
        <v>90</v>
      </c>
      <c r="M203" s="107">
        <v>10</v>
      </c>
      <c r="N203" s="114"/>
      <c r="O203" s="140">
        <v>92.7</v>
      </c>
      <c r="P203" s="114"/>
      <c r="Q203" s="114">
        <v>343</v>
      </c>
      <c r="R203" s="114">
        <v>565</v>
      </c>
      <c r="T203" s="114">
        <v>74</v>
      </c>
      <c r="V203" s="107">
        <v>1</v>
      </c>
      <c r="W203" s="107">
        <v>206</v>
      </c>
      <c r="X203" s="142">
        <f t="shared" si="22"/>
        <v>0.13097345132743363</v>
      </c>
      <c r="Z203" s="107">
        <f t="shared" si="7"/>
        <v>360</v>
      </c>
      <c r="AA203" s="107">
        <f t="shared" si="8"/>
        <v>3.4857142857142858</v>
      </c>
      <c r="AB203" s="107">
        <f t="shared" si="9"/>
        <v>58.141592920353979</v>
      </c>
      <c r="AC203" s="140">
        <f t="shared" si="10"/>
        <v>6.3291139240506333E-2</v>
      </c>
      <c r="AD203" s="140">
        <f t="shared" si="11"/>
        <v>0.19746835443037974</v>
      </c>
      <c r="AE203" s="142">
        <f t="shared" si="12"/>
        <v>0.23417721518987342</v>
      </c>
      <c r="AF203" s="143">
        <f t="shared" si="13"/>
        <v>8.2222222222222214</v>
      </c>
      <c r="AG203" s="142">
        <f t="shared" si="14"/>
        <v>0.18734177215189873</v>
      </c>
      <c r="AH203" s="107">
        <f t="shared" ca="1" si="15"/>
        <v>9.2615965480043148</v>
      </c>
      <c r="AI203" s="142">
        <f t="shared" ca="1" si="16"/>
        <v>0.1079727447440452</v>
      </c>
      <c r="AJ203" s="107">
        <f t="shared" si="17"/>
        <v>351.11111111111109</v>
      </c>
      <c r="AK203" s="143">
        <f t="shared" ca="1" si="18"/>
        <v>2.445237341772152</v>
      </c>
      <c r="AL203" s="144">
        <f t="shared" si="19"/>
        <v>0.10497096299967579</v>
      </c>
      <c r="AM203" s="115"/>
      <c r="AN203" s="115"/>
    </row>
    <row r="204" spans="1:40" ht="15.75" customHeight="1" x14ac:dyDescent="0.3">
      <c r="A204" s="138">
        <v>523648</v>
      </c>
      <c r="B204" s="139" t="s">
        <v>223</v>
      </c>
      <c r="C204" s="114">
        <f ca="1">IFERROR(__xludf.DUMMYFUNCTION("GOOGLEFINANCE(""bom:""&amp;A49,""price"")"),264)</f>
        <v>264</v>
      </c>
      <c r="D204" s="107">
        <f ca="1">IFERROR(__xludf.DUMMYFUNCTION("GOOGLEFINANCE(""bom:""&amp;A49,""marketcap"")/10000000"),690.922632)</f>
        <v>690.92263200000002</v>
      </c>
      <c r="E204" s="107">
        <v>294</v>
      </c>
      <c r="F204" s="107">
        <v>80</v>
      </c>
      <c r="G204" s="107">
        <v>512</v>
      </c>
      <c r="H204" s="107">
        <v>113</v>
      </c>
      <c r="I204" s="107">
        <v>13</v>
      </c>
      <c r="J204" s="107">
        <v>398</v>
      </c>
      <c r="K204" s="107">
        <v>7</v>
      </c>
      <c r="L204" s="107">
        <v>114</v>
      </c>
      <c r="M204" s="107">
        <v>5</v>
      </c>
      <c r="N204" s="114"/>
      <c r="O204" s="140">
        <v>12.5</v>
      </c>
      <c r="P204" s="114"/>
      <c r="Q204" s="114">
        <v>2557</v>
      </c>
      <c r="R204" s="114">
        <v>2773</v>
      </c>
      <c r="T204" s="114">
        <v>52</v>
      </c>
      <c r="V204" s="107">
        <v>1</v>
      </c>
      <c r="W204" s="107">
        <v>386</v>
      </c>
      <c r="X204" s="142">
        <f t="shared" si="22"/>
        <v>1.875225387666787E-2</v>
      </c>
      <c r="Z204" s="107">
        <f t="shared" si="7"/>
        <v>2388</v>
      </c>
      <c r="AA204" s="107">
        <f t="shared" si="8"/>
        <v>3.6749999999999998</v>
      </c>
      <c r="AB204" s="107">
        <f t="shared" si="9"/>
        <v>15.005409304002885</v>
      </c>
      <c r="AC204" s="140">
        <f t="shared" si="10"/>
        <v>1.7587939698492462E-2</v>
      </c>
      <c r="AD204" s="140">
        <f t="shared" si="11"/>
        <v>0.220703125</v>
      </c>
      <c r="AE204" s="142">
        <f t="shared" si="12"/>
        <v>0.1306532663316583</v>
      </c>
      <c r="AF204" s="143">
        <f t="shared" si="13"/>
        <v>4</v>
      </c>
      <c r="AG204" s="142">
        <f t="shared" si="14"/>
        <v>0.1015625</v>
      </c>
      <c r="AH204" s="107">
        <f t="shared" ca="1" si="15"/>
        <v>21.12</v>
      </c>
      <c r="AI204" s="142">
        <f t="shared" ca="1" si="16"/>
        <v>4.7348484848484848E-2</v>
      </c>
      <c r="AJ204" s="107">
        <f t="shared" si="17"/>
        <v>153.07692307692307</v>
      </c>
      <c r="AK204" s="143">
        <f t="shared" ca="1" si="18"/>
        <v>1.7246231155778895</v>
      </c>
      <c r="AL204" s="144">
        <f t="shared" si="19"/>
        <v>1.6351256252148838E-2</v>
      </c>
      <c r="AM204" s="115"/>
      <c r="AN204" s="115"/>
    </row>
    <row r="205" spans="1:40" ht="15.75" customHeight="1" x14ac:dyDescent="0.3">
      <c r="A205" s="138">
        <v>524330</v>
      </c>
      <c r="B205" s="139" t="s">
        <v>224</v>
      </c>
      <c r="C205" s="114">
        <f ca="1">IFERROR(__xludf.DUMMYFUNCTION("GOOGLEFINANCE(""bom:""&amp;A50,""price"")"),237.75)</f>
        <v>237.75</v>
      </c>
      <c r="D205" s="107">
        <f ca="1">IFERROR(__xludf.DUMMYFUNCTION("GOOGLEFINANCE(""bom:""&amp;A50,""marketcap"")/10000000"),723)</f>
        <v>723</v>
      </c>
      <c r="E205" s="107">
        <v>466</v>
      </c>
      <c r="F205" s="107">
        <v>193</v>
      </c>
      <c r="G205" s="107">
        <v>789</v>
      </c>
      <c r="H205" s="107">
        <v>238</v>
      </c>
      <c r="I205" s="107">
        <v>15</v>
      </c>
      <c r="J205" s="107">
        <v>549</v>
      </c>
      <c r="K205" s="107">
        <v>112</v>
      </c>
      <c r="L205" s="107">
        <v>190</v>
      </c>
      <c r="M205" s="107">
        <v>5</v>
      </c>
      <c r="N205" s="114"/>
      <c r="O205" s="140">
        <v>12.63</v>
      </c>
      <c r="P205" s="114"/>
      <c r="Q205" s="114">
        <v>567</v>
      </c>
      <c r="R205" s="114">
        <v>768</v>
      </c>
      <c r="T205" s="114">
        <v>27</v>
      </c>
      <c r="V205" s="107">
        <v>4</v>
      </c>
      <c r="W205" s="107">
        <v>1058</v>
      </c>
      <c r="X205" s="142">
        <f t="shared" si="22"/>
        <v>3.515625E-2</v>
      </c>
      <c r="Z205" s="107">
        <f t="shared" si="7"/>
        <v>-71.5</v>
      </c>
      <c r="AA205" s="107">
        <f t="shared" si="8"/>
        <v>2.4145077720207255</v>
      </c>
      <c r="AB205" s="107">
        <f t="shared" si="9"/>
        <v>90.299479166666671</v>
      </c>
      <c r="AC205" s="140">
        <f t="shared" si="10"/>
        <v>0.2040072859744991</v>
      </c>
      <c r="AD205" s="140">
        <f t="shared" si="11"/>
        <v>0.30164765525982257</v>
      </c>
      <c r="AE205" s="142">
        <f t="shared" si="12"/>
        <v>4.9180327868852458E-2</v>
      </c>
      <c r="AF205" s="143">
        <f t="shared" si="13"/>
        <v>1.8</v>
      </c>
      <c r="AG205" s="142">
        <f t="shared" si="14"/>
        <v>3.4220532319391636E-2</v>
      </c>
      <c r="AH205" s="107">
        <f t="shared" ca="1" si="15"/>
        <v>18.824228028503562</v>
      </c>
      <c r="AI205" s="142">
        <f t="shared" ca="1" si="16"/>
        <v>5.3123028391167199E-2</v>
      </c>
      <c r="AJ205" s="107">
        <f t="shared" si="17"/>
        <v>183</v>
      </c>
      <c r="AK205" s="143">
        <f t="shared" ca="1" si="18"/>
        <v>1.2991803278688525</v>
      </c>
      <c r="AL205" s="144">
        <f t="shared" si="19"/>
        <v>6.256530757878509E-2</v>
      </c>
      <c r="AM205" s="115"/>
      <c r="AN205" s="115"/>
    </row>
    <row r="206" spans="1:40" ht="15.75" customHeight="1" x14ac:dyDescent="0.3">
      <c r="A206" s="138">
        <v>506405</v>
      </c>
      <c r="B206" s="139" t="s">
        <v>225</v>
      </c>
      <c r="C206" s="114">
        <f ca="1">IFERROR(__xludf.DUMMYFUNCTION("GOOGLEFINANCE(""bom:""&amp;A51,""price"")"),323.2)</f>
        <v>323.2</v>
      </c>
      <c r="D206" s="107">
        <f ca="1">IFERROR(__xludf.DUMMYFUNCTION("GOOGLEFINANCE(""bom:""&amp;A51,""marketcap"")/10000000"),797.4542617)</f>
        <v>797.45426169999996</v>
      </c>
      <c r="E206" s="107">
        <v>118</v>
      </c>
      <c r="F206" s="107">
        <v>116</v>
      </c>
      <c r="G206" s="107">
        <v>383</v>
      </c>
      <c r="H206" s="107">
        <v>179</v>
      </c>
      <c r="I206" s="107">
        <v>24</v>
      </c>
      <c r="J206" s="107">
        <v>203</v>
      </c>
      <c r="K206" s="107">
        <v>70</v>
      </c>
      <c r="L206" s="107">
        <v>42</v>
      </c>
      <c r="M206" s="107">
        <v>10</v>
      </c>
      <c r="N206" s="114"/>
      <c r="O206" s="140">
        <v>3.57</v>
      </c>
      <c r="P206" s="114"/>
      <c r="Q206" s="114">
        <v>181</v>
      </c>
      <c r="R206" s="114">
        <v>385</v>
      </c>
      <c r="T206" s="114">
        <v>7</v>
      </c>
      <c r="V206" s="107">
        <v>6</v>
      </c>
      <c r="W206" s="107">
        <v>155</v>
      </c>
      <c r="X206" s="142">
        <f t="shared" si="22"/>
        <v>1.8181818181818181E-2</v>
      </c>
      <c r="Z206" s="107">
        <f t="shared" si="7"/>
        <v>39.333333333333336</v>
      </c>
      <c r="AA206" s="107">
        <f t="shared" si="8"/>
        <v>1.0172413793103448</v>
      </c>
      <c r="AB206" s="107">
        <f t="shared" si="9"/>
        <v>39.818181818181813</v>
      </c>
      <c r="AC206" s="140">
        <f t="shared" si="10"/>
        <v>0.34482758620689657</v>
      </c>
      <c r="AD206" s="140">
        <f t="shared" si="11"/>
        <v>0.46736292428198434</v>
      </c>
      <c r="AE206" s="142">
        <f t="shared" si="12"/>
        <v>3.4482758620689655E-2</v>
      </c>
      <c r="AF206" s="143">
        <f t="shared" si="13"/>
        <v>0.29166666666666669</v>
      </c>
      <c r="AG206" s="142">
        <f t="shared" si="14"/>
        <v>1.8276762402088774E-2</v>
      </c>
      <c r="AH206" s="107">
        <f t="shared" ca="1" si="15"/>
        <v>90.532212885154067</v>
      </c>
      <c r="AI206" s="142">
        <f t="shared" ca="1" si="16"/>
        <v>1.104579207920792E-2</v>
      </c>
      <c r="AJ206" s="107">
        <f t="shared" si="17"/>
        <v>84.583333333333343</v>
      </c>
      <c r="AK206" s="143">
        <f t="shared" ca="1" si="18"/>
        <v>3.8210837438423639</v>
      </c>
      <c r="AL206" s="144">
        <f t="shared" si="19"/>
        <v>0.16293764983132886</v>
      </c>
      <c r="AM206" s="115"/>
      <c r="AN206" s="115"/>
    </row>
    <row r="207" spans="1:40" ht="15.75" customHeight="1" x14ac:dyDescent="0.3">
      <c r="A207" s="138">
        <v>514183</v>
      </c>
      <c r="B207" s="139" t="s">
        <v>226</v>
      </c>
      <c r="C207" s="114">
        <f ca="1">IFERROR(__xludf.DUMMYFUNCTION("GOOGLEFINANCE(""bom:""&amp;A52,""price"")"),127.3)</f>
        <v>127.3</v>
      </c>
      <c r="D207" s="107">
        <f ca="1">IFERROR(__xludf.DUMMYFUNCTION("GOOGLEFINANCE(""bom:""&amp;A52,""marketcap"")/10000000"),649.2300155)</f>
        <v>649.23001550000004</v>
      </c>
      <c r="E207" s="107">
        <v>124</v>
      </c>
      <c r="F207" s="107">
        <v>31</v>
      </c>
      <c r="G207" s="107">
        <v>174</v>
      </c>
      <c r="H207" s="107">
        <v>37</v>
      </c>
      <c r="I207" s="107">
        <v>5</v>
      </c>
      <c r="J207" s="107">
        <v>136</v>
      </c>
      <c r="K207" s="107">
        <v>5</v>
      </c>
      <c r="L207" s="107">
        <v>41</v>
      </c>
      <c r="M207" s="107">
        <v>1</v>
      </c>
      <c r="N207" s="114"/>
      <c r="O207" s="140">
        <v>2.2999999999999998</v>
      </c>
      <c r="P207" s="114"/>
      <c r="Q207" s="114">
        <v>298</v>
      </c>
      <c r="R207" s="114">
        <v>430</v>
      </c>
      <c r="T207" s="114">
        <v>8</v>
      </c>
      <c r="V207" s="107">
        <v>1</v>
      </c>
      <c r="W207" s="107">
        <v>159</v>
      </c>
      <c r="X207" s="142">
        <f t="shared" si="22"/>
        <v>1.8604651162790697E-2</v>
      </c>
      <c r="Z207" s="107">
        <f t="shared" si="7"/>
        <v>272</v>
      </c>
      <c r="AA207" s="107">
        <f t="shared" si="8"/>
        <v>4</v>
      </c>
      <c r="AB207" s="157">
        <f t="shared" si="9"/>
        <v>34.802325581395351</v>
      </c>
      <c r="AC207" s="140">
        <f t="shared" si="10"/>
        <v>3.6764705882352942E-2</v>
      </c>
      <c r="AD207" s="140">
        <f t="shared" si="11"/>
        <v>0.21264367816091953</v>
      </c>
      <c r="AE207" s="142">
        <f t="shared" si="12"/>
        <v>5.8823529411764705E-2</v>
      </c>
      <c r="AF207" s="143">
        <f t="shared" si="13"/>
        <v>1.6</v>
      </c>
      <c r="AG207" s="142">
        <f t="shared" si="14"/>
        <v>4.5977011494252873E-2</v>
      </c>
      <c r="AH207" s="107">
        <f t="shared" ca="1" si="15"/>
        <v>55.347826086956523</v>
      </c>
      <c r="AI207" s="142">
        <f t="shared" ca="1" si="16"/>
        <v>1.8067556952081697E-2</v>
      </c>
      <c r="AJ207" s="107">
        <f t="shared" si="17"/>
        <v>27.2</v>
      </c>
      <c r="AK207" s="143">
        <f t="shared" ca="1" si="18"/>
        <v>4.680147058823529</v>
      </c>
      <c r="AL207" s="144">
        <f t="shared" si="19"/>
        <v>7.6094565937102399E-2</v>
      </c>
      <c r="AM207" s="115"/>
      <c r="AN207" s="115"/>
    </row>
    <row r="208" spans="1:40" ht="15.75" customHeight="1" x14ac:dyDescent="0.3">
      <c r="A208" s="138">
        <v>530871</v>
      </c>
      <c r="B208" s="139" t="s">
        <v>227</v>
      </c>
      <c r="C208" s="114">
        <f ca="1">IFERROR(__xludf.DUMMYFUNCTION("GOOGLEFINANCE(""bom:""&amp;A53,""price"")"),585)</f>
        <v>585</v>
      </c>
      <c r="D208" s="158">
        <f ca="1">IFERROR(__xludf.DUMMYFUNCTION("GOOGLEFINANCE(""bom:""&amp;A53,""marketcap"")/10000000"),796.138176)</f>
        <v>796.13817600000004</v>
      </c>
      <c r="E208" s="103"/>
      <c r="F208" s="103"/>
      <c r="G208" s="103"/>
      <c r="H208" s="103"/>
      <c r="I208" s="103"/>
      <c r="J208" s="103"/>
      <c r="K208" s="103"/>
      <c r="L208" s="103"/>
      <c r="M208" s="103"/>
      <c r="O208" s="104"/>
      <c r="V208" s="103"/>
      <c r="W208" s="103"/>
      <c r="AA208" s="113"/>
    </row>
    <row r="209" spans="1:27" ht="15.75" customHeight="1" x14ac:dyDescent="0.3">
      <c r="A209" s="138">
        <v>530845</v>
      </c>
      <c r="B209" s="139" t="s">
        <v>228</v>
      </c>
      <c r="C209" s="114">
        <f ca="1">IFERROR(__xludf.DUMMYFUNCTION("GOOGLEFINANCE(""bom:""&amp;A54,""price"")"),875)</f>
        <v>875</v>
      </c>
      <c r="D209" s="158">
        <f ca="1">IFERROR(__xludf.DUMMYFUNCTION("GOOGLEFINANCE(""bom:""&amp;A54,""marketcap"")/10000000"),643.39275)</f>
        <v>643.39274999999998</v>
      </c>
      <c r="E209" s="103"/>
      <c r="F209" s="103"/>
      <c r="G209" s="103"/>
      <c r="H209" s="103"/>
      <c r="I209" s="103"/>
      <c r="J209" s="103"/>
      <c r="K209" s="103"/>
      <c r="L209" s="103"/>
      <c r="M209" s="103"/>
      <c r="O209" s="104"/>
      <c r="V209" s="103"/>
      <c r="W209" s="103"/>
      <c r="AA209" s="113"/>
    </row>
    <row r="210" spans="1:27" ht="15.75" customHeight="1" x14ac:dyDescent="0.3">
      <c r="A210" s="138">
        <v>526159</v>
      </c>
      <c r="B210" s="139" t="s">
        <v>229</v>
      </c>
      <c r="C210" s="114">
        <f ca="1">IFERROR(__xludf.DUMMYFUNCTION("GOOGLEFINANCE(""bom:""&amp;A55,""price"")"),129)</f>
        <v>129</v>
      </c>
      <c r="D210" s="158">
        <f ca="1">IFERROR(__xludf.DUMMYFUNCTION("GOOGLEFINANCE(""bom:""&amp;A55,""marketcap"")/10000000"),592.6647)</f>
        <v>592.66470000000004</v>
      </c>
      <c r="E210" s="103"/>
      <c r="F210" s="103"/>
      <c r="G210" s="103"/>
      <c r="H210" s="103"/>
      <c r="I210" s="103"/>
      <c r="J210" s="103"/>
      <c r="K210" s="103"/>
      <c r="L210" s="103"/>
      <c r="M210" s="103"/>
      <c r="O210" s="104"/>
      <c r="V210" s="103"/>
      <c r="W210" s="103"/>
      <c r="AA210" s="113"/>
    </row>
    <row r="211" spans="1:27" ht="15.75" customHeight="1" x14ac:dyDescent="0.3">
      <c r="A211" s="138">
        <v>530961</v>
      </c>
      <c r="B211" s="139" t="s">
        <v>230</v>
      </c>
      <c r="C211" s="114">
        <f ca="1">IFERROR(__xludf.DUMMYFUNCTION("GOOGLEFINANCE(""bom:""&amp;A56,""price"")"),3.92)</f>
        <v>3.92</v>
      </c>
      <c r="D211" s="158">
        <f ca="1">IFERROR(__xludf.DUMMYFUNCTION("GOOGLEFINANCE(""bom:""&amp;A56,""marketcap"")/10000000"),555.342)</f>
        <v>555.34199999999998</v>
      </c>
      <c r="E211" s="103"/>
      <c r="F211" s="103"/>
      <c r="G211" s="103"/>
      <c r="H211" s="103"/>
      <c r="I211" s="103"/>
      <c r="J211" s="103"/>
      <c r="K211" s="103"/>
      <c r="L211" s="103"/>
      <c r="M211" s="103"/>
      <c r="O211" s="104"/>
      <c r="V211" s="103"/>
      <c r="W211" s="103"/>
      <c r="AA211" s="113"/>
    </row>
    <row r="212" spans="1:27" ht="15.75" customHeight="1" x14ac:dyDescent="0.3">
      <c r="A212" s="138">
        <v>543210</v>
      </c>
      <c r="B212" s="139" t="s">
        <v>231</v>
      </c>
      <c r="C212" s="114">
        <f ca="1">IFERROR(__xludf.DUMMYFUNCTION("GOOGLEFINANCE(""bom:""&amp;A57,""price"")"),691.35)</f>
        <v>691.35</v>
      </c>
      <c r="D212" s="158">
        <f ca="1">IFERROR(__xludf.DUMMYFUNCTION("GOOGLEFINANCE(""bom:""&amp;A57,""marketcap"")/10000000"),608.929968)</f>
        <v>608.92996800000003</v>
      </c>
      <c r="E212" s="103"/>
      <c r="F212" s="103"/>
      <c r="G212" s="103"/>
      <c r="H212" s="103"/>
      <c r="I212" s="103"/>
      <c r="J212" s="103"/>
      <c r="K212" s="103"/>
      <c r="L212" s="103"/>
      <c r="M212" s="103"/>
      <c r="O212" s="104"/>
      <c r="V212" s="103"/>
      <c r="W212" s="103"/>
      <c r="AA212" s="113"/>
    </row>
    <row r="213" spans="1:27" ht="15.75" customHeight="1" x14ac:dyDescent="0.3">
      <c r="A213" s="138">
        <v>506597</v>
      </c>
      <c r="B213" s="139" t="s">
        <v>232</v>
      </c>
      <c r="C213" s="114">
        <f ca="1">IFERROR(__xludf.DUMMYFUNCTION("GOOGLEFINANCE(""bom:""&amp;A58,""price"")"),389.85)</f>
        <v>389.85</v>
      </c>
      <c r="D213" s="158">
        <f ca="1">IFERROR(__xludf.DUMMYFUNCTION("GOOGLEFINANCE(""bom:""&amp;A58,""marketcap"")/10000000"),481.9583076)</f>
        <v>481.95830760000001</v>
      </c>
      <c r="E213" s="103"/>
      <c r="F213" s="103"/>
      <c r="G213" s="103"/>
      <c r="H213" s="103"/>
      <c r="I213" s="103"/>
      <c r="J213" s="103"/>
      <c r="K213" s="103"/>
      <c r="L213" s="103"/>
      <c r="M213" s="103"/>
      <c r="O213" s="104"/>
      <c r="V213" s="103"/>
      <c r="W213" s="103"/>
      <c r="AA213" s="113"/>
    </row>
    <row r="214" spans="1:27" ht="15.75" customHeight="1" x14ac:dyDescent="0.3">
      <c r="A214" s="138">
        <v>500120</v>
      </c>
      <c r="B214" s="139" t="s">
        <v>233</v>
      </c>
      <c r="C214" s="114">
        <f ca="1">IFERROR(__xludf.DUMMYFUNCTION("GOOGLEFINANCE(""bom:""&amp;A59,""price"")"),560)</f>
        <v>560</v>
      </c>
      <c r="D214" s="158">
        <f ca="1">IFERROR(__xludf.DUMMYFUNCTION("GOOGLEFINANCE(""bom:""&amp;A59,""marketcap"")/10000000"),548.881839)</f>
        <v>548.88183900000001</v>
      </c>
      <c r="E214" s="103"/>
      <c r="F214" s="103"/>
      <c r="G214" s="103"/>
      <c r="H214" s="103"/>
      <c r="I214" s="103"/>
      <c r="J214" s="103"/>
      <c r="K214" s="103"/>
      <c r="L214" s="103"/>
      <c r="M214" s="103"/>
      <c r="O214" s="104"/>
      <c r="V214" s="103"/>
      <c r="W214" s="103"/>
      <c r="AA214" s="113"/>
    </row>
    <row r="215" spans="1:27" ht="15.75" customHeight="1" x14ac:dyDescent="0.3">
      <c r="A215" s="138">
        <v>540395</v>
      </c>
      <c r="B215" s="139" t="s">
        <v>234</v>
      </c>
      <c r="C215" s="114">
        <f ca="1">IFERROR(__xludf.DUMMYFUNCTION("GOOGLEFINANCE(""bom:""&amp;A60,""price"")"),245.5)</f>
        <v>245.5</v>
      </c>
      <c r="D215" s="158">
        <f ca="1">IFERROR(__xludf.DUMMYFUNCTION("GOOGLEFINANCE(""bom:""&amp;A60,""marketcap"")/10000000"),363.557022)</f>
        <v>363.55702200000002</v>
      </c>
      <c r="E215" s="103"/>
      <c r="F215" s="103"/>
      <c r="G215" s="103"/>
      <c r="H215" s="103"/>
      <c r="I215" s="103"/>
      <c r="J215" s="103"/>
      <c r="K215" s="103"/>
      <c r="L215" s="103"/>
      <c r="M215" s="103"/>
      <c r="O215" s="104"/>
      <c r="V215" s="103"/>
      <c r="W215" s="103"/>
      <c r="AA215" s="113"/>
    </row>
    <row r="216" spans="1:27" ht="15.75" customHeight="1" x14ac:dyDescent="0.3">
      <c r="A216" s="138">
        <v>523586</v>
      </c>
      <c r="B216" s="139" t="s">
        <v>235</v>
      </c>
      <c r="C216" s="114">
        <f ca="1">IFERROR(__xludf.DUMMYFUNCTION("GOOGLEFINANCE(""bom:""&amp;A61,""price"")"),281.55)</f>
        <v>281.55</v>
      </c>
      <c r="D216" s="158">
        <f ca="1">IFERROR(__xludf.DUMMYFUNCTION("GOOGLEFINANCE(""bom:""&amp;A61,""marketcap"")/10000000"),305.4817367)</f>
        <v>305.4817367</v>
      </c>
      <c r="E216" s="103"/>
      <c r="F216" s="103"/>
      <c r="G216" s="103"/>
      <c r="H216" s="103"/>
      <c r="I216" s="103"/>
      <c r="J216" s="103"/>
      <c r="K216" s="103"/>
      <c r="L216" s="103"/>
      <c r="M216" s="103"/>
      <c r="O216" s="104"/>
      <c r="V216" s="103"/>
      <c r="W216" s="103"/>
      <c r="AA216" s="113"/>
    </row>
    <row r="217" spans="1:27" ht="15.75" customHeight="1" x14ac:dyDescent="0.3">
      <c r="A217" s="138">
        <v>524717</v>
      </c>
      <c r="B217" s="139" t="s">
        <v>236</v>
      </c>
      <c r="C217" s="114">
        <f ca="1">IFERROR(__xludf.DUMMYFUNCTION("GOOGLEFINANCE(""bom:""&amp;A62,""price"")"),499.85)</f>
        <v>499.85</v>
      </c>
      <c r="D217" s="158">
        <f ca="1">IFERROR(__xludf.DUMMYFUNCTION("GOOGLEFINANCE(""bom:""&amp;A62,""marketcap"")/10000000"),413.0610495)</f>
        <v>413.06104950000002</v>
      </c>
      <c r="E217" s="103"/>
      <c r="F217" s="103"/>
      <c r="G217" s="103"/>
      <c r="H217" s="103"/>
      <c r="I217" s="103"/>
      <c r="J217" s="103"/>
      <c r="K217" s="103"/>
      <c r="L217" s="103"/>
      <c r="M217" s="103"/>
      <c r="O217" s="104"/>
      <c r="V217" s="103"/>
      <c r="W217" s="103"/>
      <c r="AA217" s="113"/>
    </row>
    <row r="218" spans="1:27" ht="15.75" customHeight="1" x14ac:dyDescent="0.3">
      <c r="A218" s="138">
        <v>532707</v>
      </c>
      <c r="B218" s="139" t="s">
        <v>237</v>
      </c>
      <c r="C218" s="114">
        <f ca="1">IFERROR(__xludf.DUMMYFUNCTION("GOOGLEFINANCE(""bom:""&amp;A63,""price"")"),264.85)</f>
        <v>264.85000000000002</v>
      </c>
      <c r="D218" s="158">
        <f ca="1">IFERROR(__xludf.DUMMYFUNCTION("GOOGLEFINANCE(""bom:""&amp;A63,""marketcap"")/10000000"),318.3915536)</f>
        <v>318.39155360000001</v>
      </c>
      <c r="E218" s="103"/>
      <c r="F218" s="103"/>
      <c r="G218" s="103"/>
      <c r="H218" s="103"/>
      <c r="I218" s="103"/>
      <c r="J218" s="103"/>
      <c r="K218" s="103"/>
      <c r="L218" s="103"/>
      <c r="M218" s="103"/>
      <c r="O218" s="104"/>
      <c r="V218" s="103"/>
      <c r="W218" s="103"/>
      <c r="AA218" s="113"/>
    </row>
    <row r="219" spans="1:27" ht="15.75" customHeight="1" x14ac:dyDescent="0.3">
      <c r="A219" s="138">
        <v>526821</v>
      </c>
      <c r="B219" s="139" t="s">
        <v>238</v>
      </c>
      <c r="C219" s="114">
        <f ca="1">IFERROR(__xludf.DUMMYFUNCTION("GOOGLEFINANCE(""bom:""&amp;A64,""price"")"),591.45)</f>
        <v>591.45000000000005</v>
      </c>
      <c r="D219" s="158">
        <f ca="1">IFERROR(__xludf.DUMMYFUNCTION("GOOGLEFINANCE(""bom:""&amp;A64,""marketcap"")/10000000"),440.7029483)</f>
        <v>440.7029483</v>
      </c>
      <c r="E219" s="103"/>
      <c r="F219" s="103"/>
      <c r="G219" s="103"/>
      <c r="H219" s="103"/>
      <c r="I219" s="103"/>
      <c r="J219" s="103"/>
      <c r="K219" s="103"/>
      <c r="L219" s="103"/>
      <c r="M219" s="103"/>
      <c r="O219" s="104"/>
      <c r="V219" s="103"/>
      <c r="W219" s="103"/>
      <c r="AA219" s="113"/>
    </row>
    <row r="220" spans="1:27" ht="15.75" customHeight="1" x14ac:dyDescent="0.3">
      <c r="A220" s="138">
        <v>526169</v>
      </c>
      <c r="B220" s="139" t="s">
        <v>239</v>
      </c>
      <c r="C220" s="114">
        <f ca="1">IFERROR(__xludf.DUMMYFUNCTION("GOOGLEFINANCE(""bom:""&amp;A65,""price"")"),290)</f>
        <v>290</v>
      </c>
      <c r="D220" s="158">
        <f ca="1">IFERROR(__xludf.DUMMYFUNCTION("GOOGLEFINANCE(""bom:""&amp;A65,""marketcap"")/10000000"),365.98)</f>
        <v>365.98</v>
      </c>
      <c r="E220" s="103"/>
      <c r="F220" s="103"/>
      <c r="G220" s="103"/>
      <c r="H220" s="103"/>
      <c r="I220" s="103"/>
      <c r="J220" s="103"/>
      <c r="K220" s="103"/>
      <c r="L220" s="103"/>
      <c r="M220" s="103"/>
      <c r="O220" s="104"/>
      <c r="V220" s="103"/>
      <c r="W220" s="103"/>
      <c r="AA220" s="113"/>
    </row>
    <row r="221" spans="1:27" ht="15.75" customHeight="1" x14ac:dyDescent="0.3">
      <c r="A221" s="138">
        <v>531253</v>
      </c>
      <c r="B221" s="139" t="s">
        <v>240</v>
      </c>
      <c r="C221" s="114">
        <f ca="1">IFERROR(__xludf.DUMMYFUNCTION("GOOGLEFINANCE(""bom:""&amp;A66,""price"")"),392)</f>
        <v>392</v>
      </c>
      <c r="D221" s="158">
        <f ca="1">IFERROR(__xludf.DUMMYFUNCTION("GOOGLEFINANCE(""bom:""&amp;A66,""marketcap"")/10000000"),278.01816)</f>
        <v>278.01816000000002</v>
      </c>
      <c r="E221" s="103"/>
      <c r="F221" s="103"/>
      <c r="G221" s="103"/>
      <c r="H221" s="103"/>
      <c r="I221" s="103"/>
      <c r="J221" s="103"/>
      <c r="K221" s="103"/>
      <c r="L221" s="103"/>
      <c r="M221" s="103"/>
      <c r="O221" s="104"/>
      <c r="V221" s="103"/>
      <c r="W221" s="103"/>
      <c r="AA221" s="113"/>
    </row>
    <row r="222" spans="1:27" ht="15.75" customHeight="1" x14ac:dyDescent="0.3">
      <c r="A222" s="138">
        <v>530627</v>
      </c>
      <c r="B222" s="139" t="s">
        <v>241</v>
      </c>
      <c r="C222" s="114">
        <f ca="1">IFERROR(__xludf.DUMMYFUNCTION("GOOGLEFINANCE(""bom:""&amp;A67,""price"")"),174.7)</f>
        <v>174.7</v>
      </c>
      <c r="D222" s="107">
        <f ca="1">IFERROR(__xludf.DUMMYFUNCTION("GOOGLEFINANCE(""bom:""&amp;A67,""marketcap"")/10000000"),227.3173649)</f>
        <v>227.3173649</v>
      </c>
      <c r="E222" s="103"/>
      <c r="F222" s="103"/>
      <c r="G222" s="103"/>
      <c r="H222" s="103"/>
      <c r="I222" s="103"/>
      <c r="J222" s="103"/>
      <c r="K222" s="103"/>
      <c r="L222" s="103"/>
      <c r="M222" s="103"/>
      <c r="O222" s="104"/>
      <c r="V222" s="103"/>
      <c r="W222" s="103"/>
      <c r="AA222" s="113"/>
    </row>
    <row r="223" spans="1:27" ht="15.75" customHeight="1" x14ac:dyDescent="0.3">
      <c r="A223" s="138">
        <v>526739</v>
      </c>
      <c r="B223" s="139" t="s">
        <v>242</v>
      </c>
      <c r="C223" s="114">
        <f ca="1">IFERROR(__xludf.DUMMYFUNCTION("GOOGLEFINANCE(""bom:""&amp;A68,""price"")"),374.6)</f>
        <v>374.6</v>
      </c>
      <c r="D223" s="107">
        <f ca="1">IFERROR(__xludf.DUMMYFUNCTION("GOOGLEFINANCE(""bom:""&amp;A68,""marketcap"")/10000000"),226.6174952)</f>
        <v>226.61749520000001</v>
      </c>
      <c r="E223" s="103"/>
      <c r="F223" s="103"/>
      <c r="G223" s="103"/>
      <c r="H223" s="103"/>
      <c r="I223" s="103"/>
      <c r="J223" s="103"/>
      <c r="K223" s="103"/>
      <c r="L223" s="103"/>
      <c r="M223" s="103"/>
      <c r="O223" s="104"/>
      <c r="V223" s="103"/>
      <c r="W223" s="103"/>
      <c r="AA223" s="113"/>
    </row>
    <row r="224" spans="1:27" ht="15.75" customHeight="1" x14ac:dyDescent="0.3">
      <c r="A224" s="138">
        <v>541778</v>
      </c>
      <c r="B224" s="139" t="s">
        <v>243</v>
      </c>
      <c r="C224" s="114">
        <f ca="1">IFERROR(__xludf.DUMMYFUNCTION("GOOGLEFINANCE(""bom:""&amp;A69,""price"")"),91.76)</f>
        <v>91.76</v>
      </c>
      <c r="D224" s="107">
        <f ca="1">IFERROR(__xludf.DUMMYFUNCTION("GOOGLEFINANCE(""bom:""&amp;A69,""marketcap"")/10000000"),221.8755934)</f>
        <v>221.87559340000001</v>
      </c>
      <c r="E224" s="103"/>
      <c r="F224" s="103"/>
      <c r="G224" s="103"/>
      <c r="H224" s="103"/>
      <c r="I224" s="103"/>
      <c r="J224" s="103"/>
      <c r="K224" s="103"/>
      <c r="L224" s="103"/>
      <c r="M224" s="103"/>
      <c r="O224" s="104"/>
      <c r="V224" s="103"/>
      <c r="W224" s="103"/>
      <c r="AA224" s="113"/>
    </row>
    <row r="225" spans="1:27" ht="15.75" customHeight="1" x14ac:dyDescent="0.3">
      <c r="A225" s="138">
        <v>513353</v>
      </c>
      <c r="B225" s="139" t="s">
        <v>244</v>
      </c>
      <c r="C225" s="114">
        <f ca="1">IFERROR(__xludf.DUMMYFUNCTION("GOOGLEFINANCE(""bom:""&amp;A70,""price"")"),299)</f>
        <v>299</v>
      </c>
      <c r="D225" s="107">
        <f ca="1">IFERROR(__xludf.DUMMYFUNCTION("GOOGLEFINANCE(""bom:""&amp;A70,""marketcap"")/10000000"),234.117)</f>
        <v>234.11699999999999</v>
      </c>
      <c r="E225" s="103"/>
      <c r="F225" s="103"/>
      <c r="G225" s="103"/>
      <c r="H225" s="103"/>
      <c r="I225" s="103"/>
      <c r="J225" s="103"/>
      <c r="K225" s="103"/>
      <c r="L225" s="103"/>
      <c r="M225" s="103"/>
      <c r="O225" s="104"/>
      <c r="V225" s="103"/>
      <c r="W225" s="103"/>
      <c r="AA225" s="113"/>
    </row>
    <row r="226" spans="1:27" ht="15.75" customHeight="1" x14ac:dyDescent="0.3">
      <c r="A226" s="138">
        <v>543828</v>
      </c>
      <c r="B226" s="139" t="s">
        <v>245</v>
      </c>
      <c r="C226" s="114">
        <f ca="1">IFERROR(__xludf.DUMMYFUNCTION("GOOGLEFINANCE(""bom:""&amp;A71,""price"")"),69)</f>
        <v>69</v>
      </c>
      <c r="D226" s="107">
        <f ca="1">IFERROR(__xludf.DUMMYFUNCTION("GOOGLEFINANCE(""bom:""&amp;A71,""marketcap"")/10000000"),166.054572)</f>
        <v>166.05457200000001</v>
      </c>
      <c r="E226" s="103"/>
      <c r="F226" s="103"/>
      <c r="G226" s="103"/>
      <c r="H226" s="103"/>
      <c r="I226" s="103"/>
      <c r="J226" s="103"/>
      <c r="K226" s="103"/>
      <c r="L226" s="103"/>
      <c r="M226" s="103"/>
      <c r="O226" s="104"/>
      <c r="V226" s="103"/>
      <c r="W226" s="103"/>
      <c r="AA226" s="113"/>
    </row>
    <row r="227" spans="1:27" ht="15.75" customHeight="1" x14ac:dyDescent="0.3">
      <c r="A227" s="138">
        <v>507645</v>
      </c>
      <c r="B227" s="139" t="s">
        <v>246</v>
      </c>
      <c r="C227" s="114">
        <f ca="1">IFERROR(__xludf.DUMMYFUNCTION("GOOGLEFINANCE(""bom:""&amp;A72,""price"")"),13500)</f>
        <v>13500</v>
      </c>
      <c r="D227" s="107">
        <f ca="1">IFERROR(__xludf.DUMMYFUNCTION("GOOGLEFINANCE(""bom:""&amp;A72,""marketcap"")/10000000"),162)</f>
        <v>162</v>
      </c>
      <c r="E227" s="103"/>
      <c r="F227" s="103"/>
      <c r="G227" s="103"/>
      <c r="H227" s="103"/>
      <c r="I227" s="103"/>
      <c r="J227" s="103"/>
      <c r="K227" s="103"/>
      <c r="L227" s="103"/>
      <c r="M227" s="103"/>
      <c r="O227" s="104"/>
      <c r="V227" s="103"/>
      <c r="W227" s="103"/>
      <c r="AA227" s="113"/>
    </row>
    <row r="228" spans="1:27" ht="15.75" customHeight="1" x14ac:dyDescent="0.3">
      <c r="A228" s="138">
        <v>533029</v>
      </c>
      <c r="B228" s="139" t="s">
        <v>247</v>
      </c>
      <c r="C228" s="114">
        <f ca="1">IFERROR(__xludf.DUMMYFUNCTION("GOOGLEFINANCE(""bom:""&amp;A73,""price"")"),120.35)</f>
        <v>120.35</v>
      </c>
      <c r="D228" s="107">
        <f ca="1">IFERROR(__xludf.DUMMYFUNCTION("GOOGLEFINANCE(""bom:""&amp;A73,""marketcap"")/10000000"),122.7500406)</f>
        <v>122.75004060000001</v>
      </c>
      <c r="E228" s="103"/>
      <c r="F228" s="103"/>
      <c r="G228" s="103"/>
      <c r="H228" s="103"/>
      <c r="I228" s="103"/>
      <c r="J228" s="103"/>
      <c r="K228" s="103"/>
      <c r="L228" s="103"/>
      <c r="M228" s="103"/>
      <c r="O228" s="104"/>
      <c r="V228" s="103"/>
      <c r="W228" s="103"/>
      <c r="AA228" s="113"/>
    </row>
    <row r="229" spans="1:27" ht="15.75" customHeight="1" x14ac:dyDescent="0.3">
      <c r="A229" s="138">
        <v>524218</v>
      </c>
      <c r="B229" s="139" t="s">
        <v>248</v>
      </c>
      <c r="C229" s="114">
        <f ca="1">IFERROR(__xludf.DUMMYFUNCTION("GOOGLEFINANCE(""bom:""&amp;A74,""price"")"),104.05)</f>
        <v>104.05</v>
      </c>
      <c r="D229" s="107">
        <f ca="1">IFERROR(__xludf.DUMMYFUNCTION("GOOGLEFINANCE(""bom:""&amp;A74,""marketcap"")/10000000"),120.1153235)</f>
        <v>120.1153235</v>
      </c>
      <c r="E229" s="103"/>
      <c r="F229" s="103"/>
      <c r="G229" s="103"/>
      <c r="H229" s="103"/>
      <c r="I229" s="103"/>
      <c r="J229" s="103"/>
      <c r="K229" s="103"/>
      <c r="L229" s="103"/>
      <c r="M229" s="103"/>
      <c r="O229" s="104"/>
      <c r="V229" s="103"/>
      <c r="W229" s="103"/>
      <c r="AA229" s="113"/>
    </row>
    <row r="230" spans="1:27" ht="15.75" customHeight="1" x14ac:dyDescent="0.3">
      <c r="A230" s="138">
        <v>531109</v>
      </c>
      <c r="B230" s="139" t="s">
        <v>249</v>
      </c>
      <c r="C230" s="114">
        <f ca="1">IFERROR(__xludf.DUMMYFUNCTION("GOOGLEFINANCE(""bom:""&amp;A75,""price"")"),48.68)</f>
        <v>48.68</v>
      </c>
      <c r="D230" s="107">
        <f ca="1">IFERROR(__xludf.DUMMYFUNCTION("GOOGLEFINANCE(""bom:""&amp;A75,""marketcap"")/10000000"),102.0729061)</f>
        <v>102.0729061</v>
      </c>
      <c r="E230" s="103"/>
      <c r="F230" s="103"/>
      <c r="G230" s="103"/>
      <c r="H230" s="103"/>
      <c r="I230" s="103"/>
      <c r="J230" s="103"/>
      <c r="K230" s="103"/>
      <c r="L230" s="103"/>
      <c r="M230" s="103"/>
      <c r="O230" s="104"/>
      <c r="V230" s="103"/>
      <c r="W230" s="103"/>
      <c r="AA230" s="113"/>
    </row>
    <row r="231" spans="1:27" ht="15.75" customHeight="1" x14ac:dyDescent="0.3">
      <c r="A231" s="138">
        <v>506910</v>
      </c>
      <c r="B231" s="139" t="s">
        <v>250</v>
      </c>
      <c r="C231" s="114">
        <f ca="1">IFERROR(__xludf.DUMMYFUNCTION("GOOGLEFINANCE(""bom:""&amp;A76,""price"")"),159.2)</f>
        <v>159.19999999999999</v>
      </c>
      <c r="D231" s="107">
        <f ca="1">IFERROR(__xludf.DUMMYFUNCTION("GOOGLEFINANCE(""bom:""&amp;A76,""marketcap"")/10000000"),136.7759)</f>
        <v>136.77590000000001</v>
      </c>
      <c r="E231" s="103"/>
      <c r="F231" s="103"/>
      <c r="G231" s="103"/>
      <c r="H231" s="103"/>
      <c r="I231" s="103"/>
      <c r="J231" s="103"/>
      <c r="K231" s="103"/>
      <c r="L231" s="103"/>
      <c r="M231" s="103"/>
      <c r="O231" s="104"/>
      <c r="V231" s="103"/>
      <c r="W231" s="103"/>
      <c r="AA231" s="113"/>
    </row>
    <row r="232" spans="1:27" ht="15.75" customHeight="1" x14ac:dyDescent="0.3">
      <c r="A232" s="138">
        <v>526409</v>
      </c>
      <c r="B232" s="139" t="s">
        <v>251</v>
      </c>
      <c r="C232" s="114">
        <f ca="1">IFERROR(__xludf.DUMMYFUNCTION("GOOGLEFINANCE(""bom:""&amp;A77,""price"")"),9.8)</f>
        <v>9.8000000000000007</v>
      </c>
      <c r="D232" s="107">
        <f ca="1">IFERROR(__xludf.DUMMYFUNCTION("GOOGLEFINANCE(""bom:""&amp;A77,""marketcap"")/10000000"),92.1914731)</f>
        <v>92.191473099999996</v>
      </c>
      <c r="E232" s="103"/>
      <c r="F232" s="103"/>
      <c r="G232" s="103"/>
      <c r="H232" s="103"/>
      <c r="I232" s="103"/>
      <c r="J232" s="103"/>
      <c r="K232" s="103"/>
      <c r="L232" s="103"/>
      <c r="M232" s="103"/>
      <c r="O232" s="104"/>
      <c r="V232" s="103"/>
      <c r="W232" s="103"/>
      <c r="AA232" s="113"/>
    </row>
    <row r="233" spans="1:27" ht="15.75" customHeight="1" x14ac:dyDescent="0.3">
      <c r="A233" s="138">
        <v>524324</v>
      </c>
      <c r="B233" s="139" t="s">
        <v>252</v>
      </c>
      <c r="C233" s="114">
        <f ca="1">IFERROR(__xludf.DUMMYFUNCTION("GOOGLEFINANCE(""bom:""&amp;A78,""price"")"),25)</f>
        <v>25</v>
      </c>
      <c r="D233" s="107">
        <f ca="1">IFERROR(__xludf.DUMMYFUNCTION("GOOGLEFINANCE(""bom:""&amp;A78,""marketcap"")/10000000"),66.2934743)</f>
        <v>66.2934743</v>
      </c>
      <c r="E233" s="103"/>
      <c r="F233" s="103"/>
      <c r="G233" s="103"/>
      <c r="H233" s="103"/>
      <c r="I233" s="103"/>
      <c r="J233" s="103"/>
      <c r="K233" s="103"/>
      <c r="L233" s="103"/>
      <c r="M233" s="103"/>
      <c r="O233" s="104"/>
      <c r="V233" s="103"/>
      <c r="W233" s="103"/>
      <c r="AA233" s="113"/>
    </row>
    <row r="234" spans="1:27" ht="15.75" customHeight="1" x14ac:dyDescent="0.3">
      <c r="A234" s="138">
        <v>540204</v>
      </c>
      <c r="B234" s="139" t="s">
        <v>253</v>
      </c>
      <c r="C234" s="114">
        <f ca="1">IFERROR(__xludf.DUMMYFUNCTION("GOOGLEFINANCE(""bom:""&amp;A79,""price"")"),50.99)</f>
        <v>50.99</v>
      </c>
      <c r="D234" s="107">
        <f ca="1">IFERROR(__xludf.DUMMYFUNCTION("GOOGLEFINANCE(""bom:""&amp;A79,""marketcap"")/10000000"),70.6743858)</f>
        <v>70.674385799999996</v>
      </c>
      <c r="E234" s="103"/>
      <c r="F234" s="103"/>
      <c r="G234" s="103"/>
      <c r="H234" s="103"/>
      <c r="I234" s="103"/>
      <c r="J234" s="103"/>
      <c r="K234" s="103"/>
      <c r="L234" s="103"/>
      <c r="M234" s="103"/>
      <c r="O234" s="104"/>
      <c r="V234" s="103"/>
      <c r="W234" s="103"/>
      <c r="AA234" s="113"/>
    </row>
    <row r="235" spans="1:27" ht="15.75" customHeight="1" x14ac:dyDescent="0.3">
      <c r="A235" s="138">
        <v>530825</v>
      </c>
      <c r="B235" s="139" t="s">
        <v>254</v>
      </c>
      <c r="C235" s="114">
        <f ca="1">IFERROR(__xludf.DUMMYFUNCTION("GOOGLEFINANCE(""bom:""&amp;A80,""price"")"),103.4)</f>
        <v>103.4</v>
      </c>
      <c r="D235" s="107">
        <f ca="1">IFERROR(__xludf.DUMMYFUNCTION("GOOGLEFINANCE(""bom:""&amp;A80,""marketcap"")/10000000"),62.0400009)</f>
        <v>62.040000900000003</v>
      </c>
      <c r="E235" s="103"/>
      <c r="F235" s="103"/>
      <c r="G235" s="103"/>
      <c r="H235" s="103"/>
      <c r="I235" s="103"/>
      <c r="J235" s="103"/>
      <c r="K235" s="103"/>
      <c r="L235" s="103"/>
      <c r="M235" s="103"/>
      <c r="O235" s="104"/>
      <c r="V235" s="103"/>
      <c r="W235" s="103"/>
      <c r="AA235" s="113"/>
    </row>
    <row r="236" spans="1:27" ht="15.75" customHeight="1" x14ac:dyDescent="0.3">
      <c r="A236" s="138">
        <v>543497</v>
      </c>
      <c r="B236" s="139" t="s">
        <v>255</v>
      </c>
      <c r="C236" s="114">
        <f ca="1">IFERROR(__xludf.DUMMYFUNCTION("GOOGLEFINANCE(""bom:""&amp;A81,""price"")"),48)</f>
        <v>48</v>
      </c>
      <c r="D236" s="107">
        <f ca="1">IFERROR(__xludf.DUMMYFUNCTION("GOOGLEFINANCE(""bom:""&amp;A81,""marketcap"")/10000000"),58.722)</f>
        <v>58.722000000000001</v>
      </c>
      <c r="E236" s="103"/>
      <c r="F236" s="103"/>
      <c r="G236" s="103"/>
      <c r="H236" s="103"/>
      <c r="I236" s="103"/>
      <c r="J236" s="103"/>
      <c r="K236" s="103"/>
      <c r="L236" s="103"/>
      <c r="M236" s="103"/>
      <c r="O236" s="104"/>
      <c r="V236" s="103"/>
      <c r="W236" s="103"/>
      <c r="AA236" s="113"/>
    </row>
    <row r="237" spans="1:27" ht="15.75" customHeight="1" x14ac:dyDescent="0.3">
      <c r="A237" s="138">
        <v>540550</v>
      </c>
      <c r="B237" s="139" t="s">
        <v>256</v>
      </c>
      <c r="C237" s="114">
        <f ca="1">IFERROR(__xludf.DUMMYFUNCTION("GOOGLEFINANCE(""bom:""&amp;A82,""price"")"),35)</f>
        <v>35</v>
      </c>
      <c r="D237" s="107">
        <f ca="1">IFERROR(__xludf.DUMMYFUNCTION("GOOGLEFINANCE(""bom:""&amp;A82,""marketcap"")/10000000"),37.762445)</f>
        <v>37.762445</v>
      </c>
      <c r="E237" s="103"/>
      <c r="F237" s="103"/>
      <c r="G237" s="103"/>
      <c r="H237" s="103"/>
      <c r="I237" s="103"/>
      <c r="J237" s="103"/>
      <c r="K237" s="103"/>
      <c r="L237" s="103"/>
      <c r="M237" s="103"/>
      <c r="O237" s="104"/>
      <c r="V237" s="103"/>
      <c r="W237" s="103"/>
      <c r="AA237" s="113"/>
    </row>
    <row r="238" spans="1:27" ht="15.75" customHeight="1" x14ac:dyDescent="0.3">
      <c r="A238" s="138">
        <v>531163</v>
      </c>
      <c r="B238" s="139" t="s">
        <v>257</v>
      </c>
      <c r="C238" s="114">
        <f ca="1">IFERROR(__xludf.DUMMYFUNCTION("GOOGLEFINANCE(""bom:""&amp;A83,""price"")"),40.98)</f>
        <v>40.98</v>
      </c>
      <c r="D238" s="107">
        <f ca="1">IFERROR(__xludf.DUMMYFUNCTION("GOOGLEFINANCE(""bom:""&amp;A83,""marketcap"")/10000000"),44.0920207)</f>
        <v>44.092020699999999</v>
      </c>
      <c r="E238" s="103"/>
      <c r="F238" s="103"/>
      <c r="G238" s="103"/>
      <c r="H238" s="103"/>
      <c r="I238" s="103"/>
      <c r="J238" s="103"/>
      <c r="K238" s="103"/>
      <c r="L238" s="103"/>
      <c r="M238" s="103"/>
      <c r="O238" s="104"/>
      <c r="V238" s="103"/>
      <c r="W238" s="103"/>
      <c r="AA238" s="113"/>
    </row>
    <row r="239" spans="1:27" ht="15.75" customHeight="1" x14ac:dyDescent="0.3">
      <c r="A239" s="138">
        <v>509597</v>
      </c>
      <c r="B239" s="139" t="s">
        <v>258</v>
      </c>
      <c r="C239" s="114">
        <f ca="1">IFERROR(__xludf.DUMMYFUNCTION("GOOGLEFINANCE(""bom:""&amp;A84,""price"")"),736.9)</f>
        <v>736.9</v>
      </c>
      <c r="D239" s="107">
        <f ca="1">IFERROR(__xludf.DUMMYFUNCTION("GOOGLEFINANCE(""bom:""&amp;A84,""marketcap"")/10000000"),50.0704333)</f>
        <v>50.070433299999998</v>
      </c>
      <c r="E239" s="103"/>
      <c r="F239" s="103"/>
      <c r="G239" s="103"/>
      <c r="H239" s="103"/>
      <c r="I239" s="103"/>
      <c r="J239" s="103"/>
      <c r="K239" s="103"/>
      <c r="L239" s="103"/>
      <c r="M239" s="103"/>
      <c r="O239" s="104"/>
      <c r="V239" s="103"/>
      <c r="W239" s="103"/>
      <c r="AA239" s="113"/>
    </row>
    <row r="240" spans="1:27" ht="15.75" customHeight="1" x14ac:dyDescent="0.3">
      <c r="A240" s="138">
        <v>524818</v>
      </c>
      <c r="B240" s="139" t="s">
        <v>259</v>
      </c>
      <c r="C240" s="114">
        <f ca="1">IFERROR(__xludf.DUMMYFUNCTION("GOOGLEFINANCE(""bom:""&amp;A85,""price"")"),72.35)</f>
        <v>72.349999999999994</v>
      </c>
      <c r="D240" s="107">
        <f ca="1">IFERROR(__xludf.DUMMYFUNCTION("GOOGLEFINANCE(""bom:""&amp;A85,""marketcap"")/10000000"),21.911197)</f>
        <v>21.911197000000001</v>
      </c>
      <c r="E240" s="103"/>
      <c r="F240" s="103"/>
      <c r="G240" s="103"/>
      <c r="H240" s="103"/>
      <c r="I240" s="103"/>
      <c r="J240" s="103"/>
      <c r="K240" s="103"/>
      <c r="L240" s="103"/>
      <c r="M240" s="103"/>
      <c r="O240" s="104"/>
      <c r="V240" s="103"/>
      <c r="W240" s="103"/>
      <c r="AA240" s="113"/>
    </row>
    <row r="241" spans="1:40" ht="15.75" customHeight="1" x14ac:dyDescent="0.3">
      <c r="A241" s="138">
        <v>526269</v>
      </c>
      <c r="B241" s="139" t="s">
        <v>260</v>
      </c>
      <c r="C241" s="114">
        <f ca="1">IFERROR(__xludf.DUMMYFUNCTION("GOOGLEFINANCE(""bom:""&amp;A86,""price"")"),114.5)</f>
        <v>114.5</v>
      </c>
      <c r="D241" s="107">
        <f ca="1">IFERROR(__xludf.DUMMYFUNCTION("GOOGLEFINANCE(""bom:""&amp;A86,""marketcap"")/10000000"),34.35)</f>
        <v>34.35</v>
      </c>
      <c r="E241" s="103"/>
      <c r="F241" s="103"/>
      <c r="G241" s="103"/>
      <c r="H241" s="103"/>
      <c r="I241" s="103"/>
      <c r="J241" s="103"/>
      <c r="K241" s="103"/>
      <c r="L241" s="103"/>
      <c r="M241" s="103"/>
      <c r="O241" s="104"/>
      <c r="V241" s="103"/>
      <c r="W241" s="103"/>
      <c r="AA241" s="113"/>
    </row>
    <row r="242" spans="1:40" ht="15.75" customHeight="1" x14ac:dyDescent="0.3">
      <c r="A242" s="138">
        <v>533317</v>
      </c>
      <c r="B242" s="139" t="s">
        <v>261</v>
      </c>
      <c r="C242" s="114">
        <f ca="1">IFERROR(__xludf.DUMMYFUNCTION("GOOGLEFINANCE(""bom:""&amp;A87,""price"")"),6.5)</f>
        <v>6.5</v>
      </c>
      <c r="D242" s="107">
        <f ca="1">IFERROR(__xludf.DUMMYFUNCTION("GOOGLEFINANCE(""bom:""&amp;A87,""marketcap"")/10000000"),13.435409)</f>
        <v>13.435409</v>
      </c>
      <c r="E242" s="103"/>
      <c r="F242" s="103"/>
      <c r="G242" s="103"/>
      <c r="H242" s="103"/>
      <c r="I242" s="103"/>
      <c r="J242" s="103"/>
      <c r="K242" s="103"/>
      <c r="L242" s="103"/>
      <c r="M242" s="103"/>
      <c r="O242" s="104"/>
      <c r="V242" s="103"/>
      <c r="W242" s="103"/>
      <c r="AA242" s="113"/>
    </row>
    <row r="243" spans="1:40" ht="15.75" customHeight="1" x14ac:dyDescent="0.3">
      <c r="A243" s="138">
        <v>531257</v>
      </c>
      <c r="B243" s="139" t="s">
        <v>262</v>
      </c>
      <c r="C243" s="114">
        <f ca="1">IFERROR(__xludf.DUMMYFUNCTION("GOOGLEFINANCE(""bom:""&amp;A88,""price"")"),23)</f>
        <v>23</v>
      </c>
      <c r="D243" s="107">
        <f ca="1">IFERROR(__xludf.DUMMYFUNCTION("GOOGLEFINANCE(""bom:""&amp;A88,""marketcap"")/10000000"),12.811782)</f>
        <v>12.811781999999999</v>
      </c>
      <c r="E243" s="103"/>
      <c r="F243" s="103"/>
      <c r="G243" s="103"/>
      <c r="H243" s="103"/>
      <c r="I243" s="103"/>
      <c r="J243" s="103"/>
      <c r="K243" s="103"/>
      <c r="L243" s="103"/>
      <c r="M243" s="103"/>
      <c r="O243" s="104"/>
      <c r="V243" s="103"/>
      <c r="W243" s="103"/>
      <c r="AA243" s="113"/>
    </row>
    <row r="244" spans="1:40" ht="15.75" customHeight="1" x14ac:dyDescent="0.3">
      <c r="A244" s="138">
        <v>524458</v>
      </c>
      <c r="B244" s="139" t="s">
        <v>263</v>
      </c>
      <c r="C244" s="114">
        <f ca="1">IFERROR(__xludf.DUMMYFUNCTION("GOOGLEFINANCE(""bom:""&amp;A89,""price"")"),21.85)</f>
        <v>21.85</v>
      </c>
      <c r="D244" s="107">
        <f ca="1">IFERROR(__xludf.DUMMYFUNCTION("GOOGLEFINANCE(""bom:""&amp;A89,""marketcap"")/10000000"),19.7840762)</f>
        <v>19.784076200000001</v>
      </c>
      <c r="E244" s="103"/>
      <c r="F244" s="103"/>
      <c r="G244" s="103"/>
      <c r="H244" s="103"/>
      <c r="I244" s="103"/>
      <c r="J244" s="103"/>
      <c r="K244" s="103"/>
      <c r="L244" s="103"/>
      <c r="M244" s="103"/>
      <c r="O244" s="104"/>
      <c r="V244" s="103"/>
      <c r="W244" s="103"/>
      <c r="AA244" s="113"/>
    </row>
    <row r="245" spans="1:40" ht="15.75" customHeight="1" x14ac:dyDescent="0.3">
      <c r="A245" s="138">
        <v>524592</v>
      </c>
      <c r="B245" s="139" t="s">
        <v>264</v>
      </c>
      <c r="C245" s="114">
        <f ca="1">IFERROR(__xludf.DUMMYFUNCTION("GOOGLEFINANCE(""bom:""&amp;A90,""price"")"),12.04)</f>
        <v>12.04</v>
      </c>
      <c r="D245" s="107">
        <f ca="1">IFERROR(__xludf.DUMMYFUNCTION("GOOGLEFINANCE(""bom:""&amp;A90,""marketcap"")/10000000"),15.953)</f>
        <v>15.952999999999999</v>
      </c>
      <c r="E245" s="103"/>
      <c r="F245" s="103"/>
      <c r="G245" s="103"/>
      <c r="H245" s="103"/>
      <c r="I245" s="103"/>
      <c r="J245" s="103"/>
      <c r="K245" s="103"/>
      <c r="L245" s="103"/>
      <c r="M245" s="103"/>
      <c r="O245" s="104"/>
      <c r="V245" s="103"/>
      <c r="W245" s="103"/>
      <c r="AA245" s="113"/>
    </row>
    <row r="246" spans="1:40" ht="15.75" customHeight="1" x14ac:dyDescent="0.3">
      <c r="A246" s="138">
        <v>531157</v>
      </c>
      <c r="B246" s="139" t="s">
        <v>265</v>
      </c>
      <c r="C246" s="114">
        <f ca="1">IFERROR(__xludf.DUMMYFUNCTION("GOOGLEFINANCE(""bom:""&amp;A91,""price"")"),11.23)</f>
        <v>11.23</v>
      </c>
      <c r="D246" s="107">
        <f ca="1">IFERROR(__xludf.DUMMYFUNCTION("GOOGLEFINANCE(""bom:""&amp;A91,""marketcap"")/10000000"),8.618576)</f>
        <v>8.6185759999999991</v>
      </c>
      <c r="E246" s="103"/>
      <c r="F246" s="103"/>
      <c r="G246" s="103"/>
      <c r="H246" s="103"/>
      <c r="I246" s="103"/>
      <c r="J246" s="103"/>
      <c r="K246" s="103"/>
      <c r="L246" s="103"/>
      <c r="M246" s="103"/>
      <c r="O246" s="104"/>
      <c r="V246" s="103"/>
      <c r="W246" s="103"/>
      <c r="AA246" s="113"/>
    </row>
    <row r="247" spans="1:40" ht="15.75" customHeight="1" x14ac:dyDescent="0.3">
      <c r="A247" s="114"/>
      <c r="B247" s="159"/>
      <c r="C247" s="159"/>
      <c r="D247" s="159"/>
      <c r="E247" s="160"/>
      <c r="F247" s="160"/>
      <c r="G247" s="160"/>
      <c r="H247" s="160"/>
      <c r="I247" s="160"/>
      <c r="J247" s="160"/>
      <c r="K247" s="160"/>
      <c r="L247" s="160"/>
      <c r="M247" s="160"/>
      <c r="N247" s="160"/>
      <c r="O247" s="161"/>
      <c r="P247" s="160"/>
      <c r="Q247" s="160"/>
      <c r="R247" s="160"/>
      <c r="T247" s="160"/>
      <c r="V247" s="162"/>
      <c r="W247" s="162"/>
      <c r="X247" s="162"/>
      <c r="AA247" s="113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</row>
    <row r="248" spans="1:40" ht="15.75" customHeight="1" x14ac:dyDescent="0.3">
      <c r="A248" s="163"/>
      <c r="B248" s="163" t="s">
        <v>136</v>
      </c>
      <c r="C248" s="164">
        <f t="shared" ref="C248:M248" ca="1" si="23">SUM(C157:C246)</f>
        <v>103613.99999999999</v>
      </c>
      <c r="D248" s="164">
        <f t="shared" ca="1" si="23"/>
        <v>567053.30090689962</v>
      </c>
      <c r="E248" s="164">
        <f t="shared" si="23"/>
        <v>68850</v>
      </c>
      <c r="F248" s="164">
        <f t="shared" si="23"/>
        <v>33036</v>
      </c>
      <c r="G248" s="164">
        <f t="shared" si="23"/>
        <v>143615</v>
      </c>
      <c r="H248" s="164">
        <f t="shared" si="23"/>
        <v>45676</v>
      </c>
      <c r="I248" s="164">
        <f t="shared" si="23"/>
        <v>1944</v>
      </c>
      <c r="J248" s="164">
        <f t="shared" si="23"/>
        <v>97739</v>
      </c>
      <c r="K248" s="164">
        <f t="shared" si="23"/>
        <v>18836</v>
      </c>
      <c r="L248" s="164">
        <f t="shared" si="23"/>
        <v>21848</v>
      </c>
      <c r="M248" s="164">
        <f t="shared" si="23"/>
        <v>304</v>
      </c>
      <c r="N248" s="164"/>
      <c r="O248" s="164">
        <f>SUM(O157:O246)</f>
        <v>1906.4600000000003</v>
      </c>
      <c r="P248" s="163">
        <v>0</v>
      </c>
      <c r="Q248" s="164">
        <f t="shared" ref="Q248:W248" si="24">SUM(Q157:Q246)</f>
        <v>59373</v>
      </c>
      <c r="R248" s="164">
        <f t="shared" si="24"/>
        <v>129195</v>
      </c>
      <c r="S248" s="164">
        <f t="shared" si="24"/>
        <v>80313</v>
      </c>
      <c r="T248" s="164">
        <f t="shared" si="24"/>
        <v>13267</v>
      </c>
      <c r="U248" s="164">
        <f t="shared" si="24"/>
        <v>8838</v>
      </c>
      <c r="V248" s="164">
        <f t="shared" si="24"/>
        <v>763</v>
      </c>
      <c r="W248" s="164">
        <f t="shared" si="24"/>
        <v>53919</v>
      </c>
      <c r="X248" s="165">
        <f t="shared" ref="X248:Y248" si="25">T248/R248</f>
        <v>0.10268973257479004</v>
      </c>
      <c r="Y248" s="165">
        <f t="shared" si="25"/>
        <v>0.11004445108512943</v>
      </c>
      <c r="Z248" s="163">
        <f>(R248-W248+V248)/V248</f>
        <v>99.65792922673657</v>
      </c>
      <c r="AA248" s="166">
        <f>E248/F248</f>
        <v>2.0840900835452234</v>
      </c>
      <c r="AB248" s="167">
        <f>(L248/R248)*365</f>
        <v>61.724679747668247</v>
      </c>
      <c r="AC248" s="168">
        <f>K248/J248</f>
        <v>0.19271733903559479</v>
      </c>
      <c r="AD248" s="168">
        <f>H248/G248</f>
        <v>0.3180447724819831</v>
      </c>
      <c r="AE248" s="165">
        <f>T248/J248</f>
        <v>0.13573906014999129</v>
      </c>
      <c r="AF248" s="169">
        <f>T248/I248</f>
        <v>6.8245884773662553</v>
      </c>
      <c r="AG248" s="165">
        <f>T248/G248</f>
        <v>9.2378929777530205E-2</v>
      </c>
      <c r="AH248" s="164">
        <f ca="1">C248/O248</f>
        <v>54.348897957470896</v>
      </c>
      <c r="AI248" s="165">
        <f ca="1">O248/C248</f>
        <v>1.8399637114675627E-2</v>
      </c>
      <c r="AJ248" s="164">
        <f>J248/(I248/M248)</f>
        <v>15284.288065843622</v>
      </c>
      <c r="AK248" s="169">
        <f ca="1">C248/AJ248</f>
        <v>6.7791185008839321</v>
      </c>
      <c r="AL248" s="170">
        <f>(R248/Q248)^(1/5)-1</f>
        <v>0.16823803726076014</v>
      </c>
      <c r="AM248" s="171">
        <f>(S248/R248)-1</f>
        <v>-0.37835829559967493</v>
      </c>
      <c r="AN248" s="171">
        <f>(U248/T248)-1</f>
        <v>-0.3338358332705208</v>
      </c>
    </row>
    <row r="249" spans="1:40" ht="15.75" customHeight="1" x14ac:dyDescent="0.3">
      <c r="E249" s="103"/>
      <c r="F249" s="103"/>
      <c r="G249" s="103"/>
      <c r="H249" s="103"/>
      <c r="I249" s="103"/>
      <c r="J249" s="103"/>
      <c r="K249" s="103"/>
      <c r="L249" s="103"/>
      <c r="M249" s="103"/>
      <c r="O249" s="104"/>
      <c r="T249" s="103"/>
      <c r="U249" s="103"/>
    </row>
    <row r="250" spans="1:40" ht="15.75" customHeight="1" x14ac:dyDescent="0.3">
      <c r="E250" s="103"/>
      <c r="F250" s="103"/>
      <c r="G250" s="103"/>
      <c r="H250" s="103"/>
      <c r="I250" s="103"/>
      <c r="J250" s="103"/>
      <c r="K250" s="103"/>
      <c r="L250" s="103"/>
      <c r="M250" s="103"/>
      <c r="O250" s="104"/>
      <c r="T250" s="103"/>
      <c r="U250" s="103"/>
    </row>
    <row r="251" spans="1:40" ht="15.75" customHeight="1" x14ac:dyDescent="0.3">
      <c r="E251" s="103"/>
      <c r="F251" s="103"/>
      <c r="G251" s="103"/>
      <c r="H251" s="103"/>
      <c r="I251" s="103"/>
      <c r="J251" s="103"/>
      <c r="K251" s="103"/>
      <c r="L251" s="103"/>
      <c r="M251" s="103"/>
      <c r="O251" s="104"/>
      <c r="T251" s="103"/>
      <c r="U251" s="103"/>
    </row>
    <row r="252" spans="1:40" ht="15.75" customHeight="1" x14ac:dyDescent="0.3">
      <c r="E252" s="103"/>
      <c r="F252" s="103"/>
      <c r="G252" s="103"/>
      <c r="H252" s="103"/>
      <c r="I252" s="103"/>
      <c r="J252" s="103"/>
      <c r="K252" s="103"/>
      <c r="L252" s="103"/>
      <c r="M252" s="103"/>
      <c r="O252" s="104"/>
      <c r="T252" s="103"/>
      <c r="U252" s="103"/>
    </row>
    <row r="253" spans="1:40" ht="15.75" customHeight="1" x14ac:dyDescent="0.3">
      <c r="E253" s="103"/>
      <c r="F253" s="103"/>
      <c r="G253" s="103"/>
      <c r="H253" s="103"/>
      <c r="I253" s="103"/>
      <c r="J253" s="103"/>
      <c r="K253" s="103"/>
      <c r="L253" s="103"/>
      <c r="M253" s="103"/>
      <c r="O253" s="104"/>
      <c r="T253" s="103"/>
      <c r="U253" s="103"/>
    </row>
    <row r="254" spans="1:40" ht="15.75" customHeight="1" x14ac:dyDescent="0.3">
      <c r="E254" s="103"/>
      <c r="F254" s="103"/>
      <c r="G254" s="103"/>
      <c r="H254" s="103"/>
      <c r="I254" s="103"/>
      <c r="J254" s="103"/>
      <c r="K254" s="103"/>
      <c r="L254" s="103"/>
      <c r="M254" s="103"/>
      <c r="O254" s="104"/>
      <c r="T254" s="103"/>
      <c r="U254" s="103"/>
    </row>
    <row r="255" spans="1:40" ht="15.75" customHeight="1" x14ac:dyDescent="0.3">
      <c r="E255" s="103"/>
      <c r="F255" s="103"/>
      <c r="G255" s="103"/>
      <c r="H255" s="103"/>
      <c r="I255" s="103"/>
      <c r="J255" s="103"/>
      <c r="K255" s="103"/>
      <c r="L255" s="103"/>
      <c r="M255" s="103"/>
      <c r="O255" s="104"/>
      <c r="T255" s="103"/>
      <c r="U255" s="103"/>
    </row>
    <row r="256" spans="1:40" ht="15.75" customHeight="1" x14ac:dyDescent="0.3">
      <c r="E256" s="103"/>
      <c r="F256" s="103"/>
      <c r="G256" s="103"/>
      <c r="H256" s="103"/>
      <c r="I256" s="103"/>
      <c r="J256" s="103"/>
      <c r="K256" s="103"/>
      <c r="L256" s="103"/>
      <c r="M256" s="103"/>
      <c r="O256" s="104"/>
      <c r="T256" s="103"/>
      <c r="U256" s="103"/>
    </row>
    <row r="257" spans="5:21" ht="15.75" customHeight="1" x14ac:dyDescent="0.3">
      <c r="E257" s="103"/>
      <c r="F257" s="103"/>
      <c r="G257" s="103"/>
      <c r="H257" s="103"/>
      <c r="I257" s="103"/>
      <c r="J257" s="103"/>
      <c r="K257" s="103"/>
      <c r="L257" s="103"/>
      <c r="M257" s="103"/>
      <c r="O257" s="104"/>
      <c r="T257" s="103"/>
      <c r="U257" s="103"/>
    </row>
    <row r="258" spans="5:21" ht="15.75" customHeight="1" x14ac:dyDescent="0.3">
      <c r="E258" s="103"/>
      <c r="F258" s="103"/>
      <c r="G258" s="103"/>
      <c r="H258" s="103"/>
      <c r="I258" s="103"/>
      <c r="J258" s="103"/>
      <c r="K258" s="103"/>
      <c r="L258" s="103"/>
      <c r="M258" s="103"/>
      <c r="O258" s="104"/>
      <c r="T258" s="103"/>
      <c r="U258" s="103"/>
    </row>
    <row r="259" spans="5:21" ht="15.75" customHeight="1" x14ac:dyDescent="0.3">
      <c r="E259" s="103"/>
      <c r="F259" s="103"/>
      <c r="G259" s="103"/>
      <c r="H259" s="103"/>
      <c r="I259" s="103"/>
      <c r="J259" s="103"/>
      <c r="K259" s="103"/>
      <c r="L259" s="103"/>
      <c r="M259" s="103"/>
      <c r="O259" s="104"/>
      <c r="T259" s="103"/>
      <c r="U259" s="103"/>
    </row>
    <row r="260" spans="5:21" ht="15.75" customHeight="1" x14ac:dyDescent="0.3">
      <c r="E260" s="103"/>
      <c r="F260" s="103"/>
      <c r="G260" s="103"/>
      <c r="H260" s="103"/>
      <c r="I260" s="103"/>
      <c r="J260" s="103"/>
      <c r="K260" s="103"/>
      <c r="L260" s="103"/>
      <c r="M260" s="103"/>
      <c r="O260" s="104"/>
      <c r="T260" s="103"/>
      <c r="U260" s="103"/>
    </row>
    <row r="261" spans="5:21" ht="15.75" customHeight="1" x14ac:dyDescent="0.3">
      <c r="E261" s="103"/>
      <c r="F261" s="103"/>
      <c r="G261" s="103"/>
      <c r="H261" s="103"/>
      <c r="I261" s="103"/>
      <c r="J261" s="103"/>
      <c r="K261" s="103"/>
      <c r="L261" s="103"/>
      <c r="M261" s="103"/>
      <c r="O261" s="104"/>
      <c r="T261" s="103"/>
      <c r="U261" s="103"/>
    </row>
    <row r="262" spans="5:21" ht="15.75" customHeight="1" x14ac:dyDescent="0.3">
      <c r="E262" s="103"/>
      <c r="F262" s="103"/>
      <c r="G262" s="103"/>
      <c r="H262" s="103"/>
      <c r="I262" s="103"/>
      <c r="J262" s="103"/>
      <c r="K262" s="103"/>
      <c r="L262" s="103"/>
      <c r="M262" s="103"/>
      <c r="O262" s="104"/>
      <c r="T262" s="103"/>
      <c r="U262" s="103"/>
    </row>
    <row r="263" spans="5:21" ht="15.75" customHeight="1" x14ac:dyDescent="0.3">
      <c r="E263" s="103"/>
      <c r="F263" s="103"/>
      <c r="G263" s="103"/>
      <c r="H263" s="103"/>
      <c r="I263" s="103"/>
      <c r="J263" s="103"/>
      <c r="K263" s="103"/>
      <c r="L263" s="103"/>
      <c r="M263" s="103"/>
      <c r="O263" s="104"/>
      <c r="T263" s="103"/>
      <c r="U263" s="103"/>
    </row>
    <row r="264" spans="5:21" ht="15.75" customHeight="1" x14ac:dyDescent="0.3">
      <c r="E264" s="103"/>
      <c r="F264" s="103"/>
      <c r="G264" s="103"/>
      <c r="H264" s="103"/>
      <c r="I264" s="103"/>
      <c r="J264" s="103"/>
      <c r="K264" s="103"/>
      <c r="L264" s="103"/>
      <c r="M264" s="103"/>
      <c r="O264" s="104"/>
      <c r="T264" s="103"/>
      <c r="U264" s="103"/>
    </row>
    <row r="265" spans="5:21" ht="15.75" customHeight="1" x14ac:dyDescent="0.3">
      <c r="E265" s="103"/>
      <c r="F265" s="103"/>
      <c r="G265" s="103"/>
      <c r="H265" s="103"/>
      <c r="I265" s="103"/>
      <c r="J265" s="103"/>
      <c r="K265" s="103"/>
      <c r="L265" s="103"/>
      <c r="M265" s="103"/>
      <c r="O265" s="104"/>
      <c r="T265" s="103"/>
      <c r="U265" s="103"/>
    </row>
    <row r="266" spans="5:21" ht="15.75" customHeight="1" x14ac:dyDescent="0.3">
      <c r="E266" s="103"/>
      <c r="F266" s="103"/>
      <c r="G266" s="103"/>
      <c r="H266" s="103"/>
      <c r="I266" s="103"/>
      <c r="J266" s="103"/>
      <c r="K266" s="103"/>
      <c r="L266" s="103"/>
      <c r="M266" s="103"/>
      <c r="O266" s="104"/>
      <c r="T266" s="103"/>
      <c r="U266" s="103"/>
    </row>
    <row r="267" spans="5:21" ht="15.75" customHeight="1" x14ac:dyDescent="0.3">
      <c r="E267" s="103"/>
      <c r="F267" s="103"/>
      <c r="G267" s="103"/>
      <c r="H267" s="103"/>
      <c r="I267" s="103"/>
      <c r="J267" s="103"/>
      <c r="K267" s="103"/>
      <c r="L267" s="103"/>
      <c r="M267" s="103"/>
      <c r="O267" s="104"/>
      <c r="T267" s="103"/>
      <c r="U267" s="103"/>
    </row>
    <row r="268" spans="5:21" ht="15.75" customHeight="1" x14ac:dyDescent="0.3">
      <c r="E268" s="103"/>
      <c r="F268" s="103"/>
      <c r="G268" s="103"/>
      <c r="H268" s="103"/>
      <c r="I268" s="103"/>
      <c r="J268" s="103"/>
      <c r="K268" s="103"/>
      <c r="L268" s="103"/>
      <c r="M268" s="103"/>
      <c r="O268" s="104"/>
      <c r="T268" s="103"/>
      <c r="U268" s="103"/>
    </row>
    <row r="269" spans="5:21" ht="15.75" customHeight="1" x14ac:dyDescent="0.3">
      <c r="E269" s="103"/>
      <c r="F269" s="103"/>
      <c r="G269" s="103"/>
      <c r="H269" s="103"/>
      <c r="I269" s="103"/>
      <c r="J269" s="103"/>
      <c r="K269" s="103"/>
      <c r="L269" s="103"/>
      <c r="M269" s="103"/>
      <c r="O269" s="104"/>
      <c r="T269" s="103"/>
      <c r="U269" s="103"/>
    </row>
    <row r="270" spans="5:21" ht="15.75" customHeight="1" x14ac:dyDescent="0.3">
      <c r="E270" s="103"/>
      <c r="F270" s="103"/>
      <c r="G270" s="103"/>
      <c r="H270" s="103"/>
      <c r="I270" s="103"/>
      <c r="J270" s="103"/>
      <c r="K270" s="103"/>
      <c r="L270" s="103"/>
      <c r="M270" s="103"/>
      <c r="O270" s="104"/>
      <c r="T270" s="103"/>
      <c r="U270" s="103"/>
    </row>
    <row r="271" spans="5:21" ht="15.75" customHeight="1" x14ac:dyDescent="0.3">
      <c r="E271" s="103"/>
      <c r="F271" s="103"/>
      <c r="G271" s="103"/>
      <c r="H271" s="103"/>
      <c r="I271" s="103"/>
      <c r="J271" s="103"/>
      <c r="K271" s="103"/>
      <c r="L271" s="103"/>
      <c r="M271" s="103"/>
      <c r="O271" s="104"/>
      <c r="T271" s="103"/>
      <c r="U271" s="103"/>
    </row>
    <row r="272" spans="5:21" ht="15.75" customHeight="1" x14ac:dyDescent="0.3">
      <c r="E272" s="103"/>
      <c r="F272" s="103"/>
      <c r="G272" s="103"/>
      <c r="H272" s="103"/>
      <c r="I272" s="103"/>
      <c r="J272" s="103"/>
      <c r="K272" s="103"/>
      <c r="L272" s="103"/>
      <c r="M272" s="103"/>
      <c r="O272" s="104"/>
      <c r="T272" s="103"/>
      <c r="U272" s="103"/>
    </row>
    <row r="273" spans="5:21" ht="15.75" customHeight="1" x14ac:dyDescent="0.3">
      <c r="E273" s="103"/>
      <c r="F273" s="103"/>
      <c r="G273" s="103"/>
      <c r="H273" s="103"/>
      <c r="I273" s="103"/>
      <c r="J273" s="103"/>
      <c r="K273" s="103"/>
      <c r="L273" s="103"/>
      <c r="M273" s="103"/>
      <c r="O273" s="104"/>
      <c r="T273" s="103"/>
      <c r="U273" s="103"/>
    </row>
    <row r="274" spans="5:21" ht="15.75" customHeight="1" x14ac:dyDescent="0.3">
      <c r="E274" s="103"/>
      <c r="F274" s="103"/>
      <c r="G274" s="103"/>
      <c r="H274" s="103"/>
      <c r="I274" s="103"/>
      <c r="J274" s="103"/>
      <c r="K274" s="103"/>
      <c r="L274" s="103"/>
      <c r="M274" s="103"/>
      <c r="O274" s="104"/>
      <c r="T274" s="103"/>
      <c r="U274" s="103"/>
    </row>
    <row r="275" spans="5:21" ht="15.75" customHeight="1" x14ac:dyDescent="0.3">
      <c r="E275" s="103"/>
      <c r="F275" s="103"/>
      <c r="G275" s="103"/>
      <c r="H275" s="103"/>
      <c r="I275" s="103"/>
      <c r="J275" s="103"/>
      <c r="K275" s="103"/>
      <c r="L275" s="103"/>
      <c r="M275" s="103"/>
      <c r="O275" s="104"/>
      <c r="T275" s="103"/>
      <c r="U275" s="103"/>
    </row>
    <row r="276" spans="5:21" ht="15.75" customHeight="1" x14ac:dyDescent="0.3">
      <c r="E276" s="103"/>
      <c r="F276" s="103"/>
      <c r="G276" s="103"/>
      <c r="H276" s="103"/>
      <c r="I276" s="103"/>
      <c r="J276" s="103"/>
      <c r="K276" s="103"/>
      <c r="L276" s="103"/>
      <c r="M276" s="103"/>
      <c r="O276" s="104"/>
      <c r="T276" s="103"/>
      <c r="U276" s="103"/>
    </row>
    <row r="277" spans="5:21" ht="15.75" customHeight="1" x14ac:dyDescent="0.3">
      <c r="E277" s="103"/>
      <c r="F277" s="103"/>
      <c r="G277" s="103"/>
      <c r="H277" s="103"/>
      <c r="I277" s="103"/>
      <c r="J277" s="103"/>
      <c r="K277" s="103"/>
      <c r="L277" s="103"/>
      <c r="M277" s="103"/>
      <c r="O277" s="104"/>
      <c r="T277" s="103"/>
      <c r="U277" s="103"/>
    </row>
    <row r="278" spans="5:21" ht="15.75" customHeight="1" x14ac:dyDescent="0.3">
      <c r="E278" s="103"/>
      <c r="F278" s="103"/>
      <c r="G278" s="103"/>
      <c r="H278" s="103"/>
      <c r="I278" s="103"/>
      <c r="J278" s="103"/>
      <c r="K278" s="103"/>
      <c r="L278" s="103"/>
      <c r="M278" s="103"/>
      <c r="O278" s="104"/>
      <c r="T278" s="103"/>
      <c r="U278" s="103"/>
    </row>
    <row r="279" spans="5:21" ht="15.75" customHeight="1" x14ac:dyDescent="0.3">
      <c r="E279" s="103"/>
      <c r="F279" s="103"/>
      <c r="G279" s="103"/>
      <c r="H279" s="103"/>
      <c r="I279" s="103"/>
      <c r="J279" s="103"/>
      <c r="K279" s="103"/>
      <c r="L279" s="103"/>
      <c r="M279" s="103"/>
      <c r="O279" s="104"/>
      <c r="T279" s="103"/>
      <c r="U279" s="103"/>
    </row>
    <row r="280" spans="5:21" ht="15.75" customHeight="1" x14ac:dyDescent="0.3">
      <c r="E280" s="103"/>
      <c r="F280" s="103"/>
      <c r="G280" s="103"/>
      <c r="H280" s="103"/>
      <c r="I280" s="103"/>
      <c r="J280" s="103"/>
      <c r="K280" s="103"/>
      <c r="L280" s="103"/>
      <c r="M280" s="103"/>
      <c r="O280" s="104"/>
      <c r="T280" s="103"/>
      <c r="U280" s="103"/>
    </row>
    <row r="281" spans="5:21" ht="15.75" customHeight="1" x14ac:dyDescent="0.3">
      <c r="E281" s="103"/>
      <c r="F281" s="103"/>
      <c r="G281" s="103"/>
      <c r="H281" s="103"/>
      <c r="I281" s="103"/>
      <c r="J281" s="103"/>
      <c r="K281" s="103"/>
      <c r="L281" s="103"/>
      <c r="M281" s="103"/>
      <c r="O281" s="104"/>
      <c r="T281" s="103"/>
      <c r="U281" s="103"/>
    </row>
    <row r="282" spans="5:21" ht="15.75" customHeight="1" x14ac:dyDescent="0.3">
      <c r="E282" s="103"/>
      <c r="F282" s="103"/>
      <c r="G282" s="103"/>
      <c r="H282" s="103"/>
      <c r="I282" s="103"/>
      <c r="J282" s="103"/>
      <c r="K282" s="103"/>
      <c r="L282" s="103"/>
      <c r="M282" s="103"/>
      <c r="O282" s="104"/>
      <c r="T282" s="103"/>
      <c r="U282" s="103"/>
    </row>
    <row r="283" spans="5:21" ht="15.75" customHeight="1" x14ac:dyDescent="0.3">
      <c r="E283" s="103"/>
      <c r="F283" s="103"/>
      <c r="G283" s="103"/>
      <c r="H283" s="103"/>
      <c r="I283" s="103"/>
      <c r="J283" s="103"/>
      <c r="K283" s="103"/>
      <c r="L283" s="103"/>
      <c r="M283" s="103"/>
      <c r="O283" s="104"/>
      <c r="T283" s="103"/>
      <c r="U283" s="103"/>
    </row>
    <row r="284" spans="5:21" ht="15.75" customHeight="1" x14ac:dyDescent="0.3">
      <c r="E284" s="103"/>
      <c r="F284" s="103"/>
      <c r="G284" s="103"/>
      <c r="H284" s="103"/>
      <c r="I284" s="103"/>
      <c r="J284" s="103"/>
      <c r="K284" s="103"/>
      <c r="L284" s="103"/>
      <c r="M284" s="103"/>
      <c r="O284" s="104"/>
      <c r="T284" s="103"/>
      <c r="U284" s="103"/>
    </row>
    <row r="285" spans="5:21" ht="15.75" customHeight="1" x14ac:dyDescent="0.3">
      <c r="E285" s="103"/>
      <c r="F285" s="103"/>
      <c r="G285" s="103"/>
      <c r="H285" s="103"/>
      <c r="I285" s="103"/>
      <c r="J285" s="103"/>
      <c r="K285" s="103"/>
      <c r="L285" s="103"/>
      <c r="M285" s="103"/>
      <c r="O285" s="104"/>
      <c r="T285" s="103"/>
      <c r="U285" s="103"/>
    </row>
    <row r="286" spans="5:21" ht="15.75" customHeight="1" x14ac:dyDescent="0.3">
      <c r="E286" s="103"/>
      <c r="F286" s="103"/>
      <c r="G286" s="103"/>
      <c r="H286" s="103"/>
      <c r="I286" s="103"/>
      <c r="J286" s="103"/>
      <c r="K286" s="103"/>
      <c r="L286" s="103"/>
      <c r="M286" s="103"/>
      <c r="O286" s="104"/>
      <c r="T286" s="103"/>
      <c r="U286" s="103"/>
    </row>
    <row r="287" spans="5:21" ht="15.75" customHeight="1" x14ac:dyDescent="0.3">
      <c r="E287" s="103"/>
      <c r="F287" s="103"/>
      <c r="G287" s="103"/>
      <c r="H287" s="103"/>
      <c r="I287" s="103"/>
      <c r="J287" s="103"/>
      <c r="K287" s="103"/>
      <c r="L287" s="103"/>
      <c r="M287" s="103"/>
      <c r="O287" s="104"/>
      <c r="T287" s="103"/>
      <c r="U287" s="103"/>
    </row>
    <row r="288" spans="5:21" ht="15.75" customHeight="1" x14ac:dyDescent="0.3">
      <c r="E288" s="103"/>
      <c r="F288" s="103"/>
      <c r="G288" s="103"/>
      <c r="H288" s="103"/>
      <c r="I288" s="103"/>
      <c r="J288" s="103"/>
      <c r="K288" s="103"/>
      <c r="L288" s="103"/>
      <c r="M288" s="103"/>
      <c r="O288" s="104"/>
      <c r="T288" s="103"/>
      <c r="U288" s="103"/>
    </row>
    <row r="289" spans="5:21" ht="15.75" customHeight="1" x14ac:dyDescent="0.3">
      <c r="E289" s="103"/>
      <c r="F289" s="103"/>
      <c r="G289" s="103"/>
      <c r="H289" s="103"/>
      <c r="I289" s="103"/>
      <c r="J289" s="103"/>
      <c r="K289" s="103"/>
      <c r="L289" s="103"/>
      <c r="M289" s="103"/>
      <c r="O289" s="104"/>
      <c r="T289" s="103"/>
      <c r="U289" s="103"/>
    </row>
    <row r="290" spans="5:21" ht="15.75" customHeight="1" x14ac:dyDescent="0.3">
      <c r="E290" s="103"/>
      <c r="F290" s="103"/>
      <c r="G290" s="103"/>
      <c r="H290" s="103"/>
      <c r="I290" s="103"/>
      <c r="J290" s="103"/>
      <c r="K290" s="103"/>
      <c r="L290" s="103"/>
      <c r="M290" s="103"/>
      <c r="O290" s="104"/>
      <c r="T290" s="103"/>
      <c r="U290" s="103"/>
    </row>
    <row r="291" spans="5:21" ht="15.75" customHeight="1" x14ac:dyDescent="0.3">
      <c r="E291" s="103"/>
      <c r="F291" s="103"/>
      <c r="G291" s="103"/>
      <c r="H291" s="103"/>
      <c r="I291" s="103"/>
      <c r="J291" s="103"/>
      <c r="K291" s="103"/>
      <c r="L291" s="103"/>
      <c r="M291" s="103"/>
      <c r="O291" s="104"/>
      <c r="T291" s="103"/>
      <c r="U291" s="103"/>
    </row>
    <row r="292" spans="5:21" ht="15.75" customHeight="1" x14ac:dyDescent="0.3">
      <c r="E292" s="103"/>
      <c r="F292" s="103"/>
      <c r="G292" s="103"/>
      <c r="H292" s="103"/>
      <c r="I292" s="103"/>
      <c r="J292" s="103"/>
      <c r="K292" s="103"/>
      <c r="L292" s="103"/>
      <c r="M292" s="103"/>
      <c r="O292" s="104"/>
      <c r="T292" s="103"/>
      <c r="U292" s="103"/>
    </row>
    <row r="293" spans="5:21" ht="15.75" customHeight="1" x14ac:dyDescent="0.3">
      <c r="E293" s="103"/>
      <c r="F293" s="103"/>
      <c r="G293" s="103"/>
      <c r="H293" s="103"/>
      <c r="I293" s="103"/>
      <c r="J293" s="103"/>
      <c r="K293" s="103"/>
      <c r="L293" s="103"/>
      <c r="M293" s="103"/>
      <c r="O293" s="104"/>
      <c r="T293" s="103"/>
      <c r="U293" s="103"/>
    </row>
    <row r="294" spans="5:21" ht="15.75" customHeight="1" x14ac:dyDescent="0.3">
      <c r="E294" s="103"/>
      <c r="F294" s="103"/>
      <c r="G294" s="103"/>
      <c r="H294" s="103"/>
      <c r="I294" s="103"/>
      <c r="J294" s="103"/>
      <c r="K294" s="103"/>
      <c r="L294" s="103"/>
      <c r="M294" s="103"/>
      <c r="O294" s="104"/>
      <c r="T294" s="103"/>
      <c r="U294" s="103"/>
    </row>
    <row r="295" spans="5:21" ht="15.75" customHeight="1" x14ac:dyDescent="0.3">
      <c r="E295" s="103"/>
      <c r="F295" s="103"/>
      <c r="G295" s="103"/>
      <c r="H295" s="103"/>
      <c r="I295" s="103"/>
      <c r="J295" s="103"/>
      <c r="K295" s="103"/>
      <c r="L295" s="103"/>
      <c r="M295" s="103"/>
      <c r="O295" s="104"/>
      <c r="T295" s="103"/>
      <c r="U295" s="103"/>
    </row>
    <row r="296" spans="5:21" ht="15.75" customHeight="1" x14ac:dyDescent="0.3">
      <c r="E296" s="103"/>
      <c r="F296" s="103"/>
      <c r="G296" s="103"/>
      <c r="H296" s="103"/>
      <c r="I296" s="103"/>
      <c r="J296" s="103"/>
      <c r="K296" s="103"/>
      <c r="L296" s="103"/>
      <c r="M296" s="103"/>
      <c r="O296" s="104"/>
      <c r="T296" s="103"/>
      <c r="U296" s="103"/>
    </row>
    <row r="297" spans="5:21" ht="15.75" customHeight="1" x14ac:dyDescent="0.3">
      <c r="E297" s="103"/>
      <c r="F297" s="103"/>
      <c r="G297" s="103"/>
      <c r="H297" s="103"/>
      <c r="I297" s="103"/>
      <c r="J297" s="103"/>
      <c r="K297" s="103"/>
      <c r="L297" s="103"/>
      <c r="M297" s="103"/>
      <c r="O297" s="104"/>
      <c r="T297" s="103"/>
      <c r="U297" s="103"/>
    </row>
    <row r="298" spans="5:21" ht="15.75" customHeight="1" x14ac:dyDescent="0.3">
      <c r="E298" s="103"/>
      <c r="F298" s="103"/>
      <c r="G298" s="103"/>
      <c r="H298" s="103"/>
      <c r="I298" s="103"/>
      <c r="J298" s="103"/>
      <c r="K298" s="103"/>
      <c r="L298" s="103"/>
      <c r="M298" s="103"/>
      <c r="O298" s="104"/>
      <c r="T298" s="103"/>
      <c r="U298" s="103"/>
    </row>
    <row r="299" spans="5:21" ht="15.75" customHeight="1" x14ac:dyDescent="0.3">
      <c r="E299" s="103"/>
      <c r="F299" s="103"/>
      <c r="G299" s="103"/>
      <c r="H299" s="103"/>
      <c r="I299" s="103"/>
      <c r="J299" s="103"/>
      <c r="K299" s="103"/>
      <c r="L299" s="103"/>
      <c r="M299" s="103"/>
      <c r="O299" s="104"/>
      <c r="T299" s="103"/>
      <c r="U299" s="103"/>
    </row>
    <row r="300" spans="5:21" ht="15.75" customHeight="1" x14ac:dyDescent="0.3">
      <c r="E300" s="103"/>
      <c r="F300" s="103"/>
      <c r="G300" s="103"/>
      <c r="H300" s="103"/>
      <c r="I300" s="103"/>
      <c r="J300" s="103"/>
      <c r="K300" s="103"/>
      <c r="L300" s="103"/>
      <c r="M300" s="103"/>
      <c r="O300" s="104"/>
      <c r="T300" s="103"/>
      <c r="U300" s="103"/>
    </row>
    <row r="301" spans="5:21" ht="15.75" customHeight="1" x14ac:dyDescent="0.3">
      <c r="E301" s="103"/>
      <c r="F301" s="103"/>
      <c r="G301" s="103"/>
      <c r="H301" s="103"/>
      <c r="I301" s="103"/>
      <c r="J301" s="103"/>
      <c r="K301" s="103"/>
      <c r="L301" s="103"/>
      <c r="M301" s="103"/>
      <c r="O301" s="104"/>
      <c r="T301" s="103"/>
      <c r="U301" s="103"/>
    </row>
    <row r="302" spans="5:21" ht="15.75" customHeight="1" x14ac:dyDescent="0.3">
      <c r="E302" s="103"/>
      <c r="F302" s="103"/>
      <c r="G302" s="103"/>
      <c r="H302" s="103"/>
      <c r="I302" s="103"/>
      <c r="J302" s="103"/>
      <c r="K302" s="103"/>
      <c r="L302" s="103"/>
      <c r="M302" s="103"/>
      <c r="O302" s="104"/>
      <c r="T302" s="103"/>
      <c r="U302" s="103"/>
    </row>
    <row r="303" spans="5:21" ht="15.75" customHeight="1" x14ac:dyDescent="0.3">
      <c r="E303" s="103"/>
      <c r="F303" s="103"/>
      <c r="G303" s="103"/>
      <c r="H303" s="103"/>
      <c r="I303" s="103"/>
      <c r="J303" s="103"/>
      <c r="K303" s="103"/>
      <c r="L303" s="103"/>
      <c r="M303" s="103"/>
      <c r="O303" s="104"/>
      <c r="T303" s="103"/>
      <c r="U303" s="103"/>
    </row>
    <row r="304" spans="5:21" ht="15.75" customHeight="1" x14ac:dyDescent="0.3">
      <c r="E304" s="103"/>
      <c r="F304" s="103"/>
      <c r="G304" s="103"/>
      <c r="H304" s="103"/>
      <c r="I304" s="103"/>
      <c r="J304" s="103"/>
      <c r="K304" s="103"/>
      <c r="L304" s="103"/>
      <c r="M304" s="103"/>
      <c r="O304" s="104"/>
      <c r="T304" s="103"/>
      <c r="U304" s="103"/>
    </row>
    <row r="305" spans="5:21" ht="15.75" customHeight="1" x14ac:dyDescent="0.3">
      <c r="E305" s="103"/>
      <c r="F305" s="103"/>
      <c r="G305" s="103"/>
      <c r="H305" s="103"/>
      <c r="I305" s="103"/>
      <c r="J305" s="103"/>
      <c r="K305" s="103"/>
      <c r="L305" s="103"/>
      <c r="M305" s="103"/>
      <c r="O305" s="104"/>
      <c r="T305" s="103"/>
      <c r="U305" s="103"/>
    </row>
    <row r="306" spans="5:21" ht="15.75" customHeight="1" x14ac:dyDescent="0.3">
      <c r="E306" s="103"/>
      <c r="F306" s="103"/>
      <c r="G306" s="103"/>
      <c r="H306" s="103"/>
      <c r="I306" s="103"/>
      <c r="J306" s="103"/>
      <c r="K306" s="103"/>
      <c r="L306" s="103"/>
      <c r="M306" s="103"/>
      <c r="O306" s="104"/>
      <c r="T306" s="103"/>
      <c r="U306" s="103"/>
    </row>
    <row r="307" spans="5:21" ht="15.75" customHeight="1" x14ac:dyDescent="0.3">
      <c r="E307" s="103"/>
      <c r="F307" s="103"/>
      <c r="G307" s="103"/>
      <c r="H307" s="103"/>
      <c r="I307" s="103"/>
      <c r="J307" s="103"/>
      <c r="K307" s="103"/>
      <c r="L307" s="103"/>
      <c r="M307" s="103"/>
      <c r="O307" s="104"/>
      <c r="T307" s="103"/>
      <c r="U307" s="103"/>
    </row>
    <row r="308" spans="5:21" ht="15.75" customHeight="1" x14ac:dyDescent="0.3">
      <c r="E308" s="103"/>
      <c r="F308" s="103"/>
      <c r="G308" s="103"/>
      <c r="H308" s="103"/>
      <c r="I308" s="103"/>
      <c r="J308" s="103"/>
      <c r="K308" s="103"/>
      <c r="L308" s="103"/>
      <c r="M308" s="103"/>
      <c r="O308" s="104"/>
      <c r="T308" s="103"/>
      <c r="U308" s="103"/>
    </row>
    <row r="309" spans="5:21" ht="15.75" customHeight="1" x14ac:dyDescent="0.3">
      <c r="E309" s="103"/>
      <c r="F309" s="103"/>
      <c r="G309" s="103"/>
      <c r="H309" s="103"/>
      <c r="I309" s="103"/>
      <c r="J309" s="103"/>
      <c r="K309" s="103"/>
      <c r="L309" s="103"/>
      <c r="M309" s="103"/>
      <c r="O309" s="104"/>
      <c r="T309" s="103"/>
      <c r="U309" s="103"/>
    </row>
    <row r="310" spans="5:21" ht="15.75" customHeight="1" x14ac:dyDescent="0.3">
      <c r="E310" s="103"/>
      <c r="F310" s="103"/>
      <c r="G310" s="103"/>
      <c r="H310" s="103"/>
      <c r="I310" s="103"/>
      <c r="J310" s="103"/>
      <c r="K310" s="103"/>
      <c r="L310" s="103"/>
      <c r="M310" s="103"/>
      <c r="O310" s="104"/>
      <c r="T310" s="103"/>
      <c r="U310" s="103"/>
    </row>
    <row r="311" spans="5:21" ht="15.75" customHeight="1" x14ac:dyDescent="0.3">
      <c r="E311" s="103"/>
      <c r="F311" s="103"/>
      <c r="G311" s="103"/>
      <c r="H311" s="103"/>
      <c r="I311" s="103"/>
      <c r="J311" s="103"/>
      <c r="K311" s="103"/>
      <c r="L311" s="103"/>
      <c r="M311" s="103"/>
      <c r="O311" s="104"/>
      <c r="T311" s="103"/>
      <c r="U311" s="103"/>
    </row>
    <row r="312" spans="5:21" ht="15.75" customHeight="1" x14ac:dyDescent="0.3">
      <c r="E312" s="103"/>
      <c r="F312" s="103"/>
      <c r="G312" s="103"/>
      <c r="H312" s="103"/>
      <c r="I312" s="103"/>
      <c r="J312" s="103"/>
      <c r="K312" s="103"/>
      <c r="L312" s="103"/>
      <c r="M312" s="103"/>
      <c r="O312" s="104"/>
      <c r="T312" s="103"/>
      <c r="U312" s="103"/>
    </row>
    <row r="313" spans="5:21" ht="15.75" customHeight="1" x14ac:dyDescent="0.3">
      <c r="E313" s="103"/>
      <c r="F313" s="103"/>
      <c r="G313" s="103"/>
      <c r="H313" s="103"/>
      <c r="I313" s="103"/>
      <c r="J313" s="103"/>
      <c r="K313" s="103"/>
      <c r="L313" s="103"/>
      <c r="M313" s="103"/>
      <c r="O313" s="104"/>
      <c r="T313" s="103"/>
      <c r="U313" s="103"/>
    </row>
    <row r="314" spans="5:21" ht="15.75" customHeight="1" x14ac:dyDescent="0.3">
      <c r="E314" s="103"/>
      <c r="F314" s="103"/>
      <c r="G314" s="103"/>
      <c r="H314" s="103"/>
      <c r="I314" s="103"/>
      <c r="J314" s="103"/>
      <c r="K314" s="103"/>
      <c r="L314" s="103"/>
      <c r="M314" s="103"/>
      <c r="O314" s="104"/>
      <c r="T314" s="103"/>
      <c r="U314" s="103"/>
    </row>
    <row r="315" spans="5:21" ht="15.75" customHeight="1" x14ac:dyDescent="0.3">
      <c r="E315" s="103"/>
      <c r="F315" s="103"/>
      <c r="G315" s="103"/>
      <c r="H315" s="103"/>
      <c r="I315" s="103"/>
      <c r="J315" s="103"/>
      <c r="K315" s="103"/>
      <c r="L315" s="103"/>
      <c r="M315" s="103"/>
      <c r="O315" s="104"/>
      <c r="T315" s="103"/>
      <c r="U315" s="103"/>
    </row>
    <row r="316" spans="5:21" ht="15.75" customHeight="1" x14ac:dyDescent="0.3">
      <c r="E316" s="103"/>
      <c r="F316" s="103"/>
      <c r="G316" s="103"/>
      <c r="H316" s="103"/>
      <c r="I316" s="103"/>
      <c r="J316" s="103"/>
      <c r="K316" s="103"/>
      <c r="L316" s="103"/>
      <c r="M316" s="103"/>
      <c r="O316" s="104"/>
      <c r="T316" s="103"/>
      <c r="U316" s="103"/>
    </row>
    <row r="317" spans="5:21" ht="15.75" customHeight="1" x14ac:dyDescent="0.3">
      <c r="E317" s="103"/>
      <c r="F317" s="103"/>
      <c r="G317" s="103"/>
      <c r="H317" s="103"/>
      <c r="I317" s="103"/>
      <c r="J317" s="103"/>
      <c r="K317" s="103"/>
      <c r="L317" s="103"/>
      <c r="M317" s="103"/>
      <c r="O317" s="104"/>
      <c r="T317" s="103"/>
      <c r="U317" s="103"/>
    </row>
    <row r="318" spans="5:21" ht="15.75" customHeight="1" x14ac:dyDescent="0.3">
      <c r="E318" s="103"/>
      <c r="F318" s="103"/>
      <c r="G318" s="103"/>
      <c r="H318" s="103"/>
      <c r="I318" s="103"/>
      <c r="J318" s="103"/>
      <c r="K318" s="103"/>
      <c r="L318" s="103"/>
      <c r="M318" s="103"/>
      <c r="O318" s="104"/>
      <c r="T318" s="103"/>
      <c r="U318" s="103"/>
    </row>
    <row r="319" spans="5:21" ht="15.75" customHeight="1" x14ac:dyDescent="0.3">
      <c r="E319" s="103"/>
      <c r="F319" s="103"/>
      <c r="G319" s="103"/>
      <c r="H319" s="103"/>
      <c r="I319" s="103"/>
      <c r="J319" s="103"/>
      <c r="K319" s="103"/>
      <c r="L319" s="103"/>
      <c r="M319" s="103"/>
      <c r="O319" s="104"/>
      <c r="T319" s="103"/>
      <c r="U319" s="103"/>
    </row>
    <row r="320" spans="5:21" ht="15.75" customHeight="1" x14ac:dyDescent="0.3">
      <c r="E320" s="103"/>
      <c r="F320" s="103"/>
      <c r="G320" s="103"/>
      <c r="H320" s="103"/>
      <c r="I320" s="103"/>
      <c r="J320" s="103"/>
      <c r="K320" s="103"/>
      <c r="L320" s="103"/>
      <c r="M320" s="103"/>
      <c r="O320" s="104"/>
      <c r="T320" s="103"/>
      <c r="U320" s="103"/>
    </row>
    <row r="321" spans="5:21" ht="15.75" customHeight="1" x14ac:dyDescent="0.3">
      <c r="E321" s="103"/>
      <c r="F321" s="103"/>
      <c r="G321" s="103"/>
      <c r="H321" s="103"/>
      <c r="I321" s="103"/>
      <c r="J321" s="103"/>
      <c r="K321" s="103"/>
      <c r="L321" s="103"/>
      <c r="M321" s="103"/>
      <c r="O321" s="104"/>
      <c r="T321" s="103"/>
      <c r="U321" s="103"/>
    </row>
    <row r="322" spans="5:21" ht="15.75" customHeight="1" x14ac:dyDescent="0.3">
      <c r="E322" s="103"/>
      <c r="F322" s="103"/>
      <c r="G322" s="103"/>
      <c r="H322" s="103"/>
      <c r="I322" s="103"/>
      <c r="J322" s="103"/>
      <c r="K322" s="103"/>
      <c r="L322" s="103"/>
      <c r="M322" s="103"/>
      <c r="O322" s="104"/>
      <c r="T322" s="103"/>
      <c r="U322" s="103"/>
    </row>
    <row r="323" spans="5:21" ht="15.75" customHeight="1" x14ac:dyDescent="0.3">
      <c r="E323" s="103"/>
      <c r="F323" s="103"/>
      <c r="G323" s="103"/>
      <c r="H323" s="103"/>
      <c r="I323" s="103"/>
      <c r="J323" s="103"/>
      <c r="K323" s="103"/>
      <c r="L323" s="103"/>
      <c r="M323" s="103"/>
      <c r="O323" s="104"/>
      <c r="T323" s="103"/>
      <c r="U323" s="103"/>
    </row>
    <row r="324" spans="5:21" ht="15.75" customHeight="1" x14ac:dyDescent="0.3">
      <c r="E324" s="103"/>
      <c r="F324" s="103"/>
      <c r="G324" s="103"/>
      <c r="H324" s="103"/>
      <c r="I324" s="103"/>
      <c r="J324" s="103"/>
      <c r="K324" s="103"/>
      <c r="L324" s="103"/>
      <c r="M324" s="103"/>
      <c r="O324" s="104"/>
      <c r="T324" s="103"/>
      <c r="U324" s="103"/>
    </row>
    <row r="325" spans="5:21" ht="15.75" customHeight="1" x14ac:dyDescent="0.3">
      <c r="E325" s="103"/>
      <c r="F325" s="103"/>
      <c r="G325" s="103"/>
      <c r="H325" s="103"/>
      <c r="I325" s="103"/>
      <c r="J325" s="103"/>
      <c r="K325" s="103"/>
      <c r="L325" s="103"/>
      <c r="M325" s="103"/>
      <c r="O325" s="104"/>
      <c r="T325" s="103"/>
      <c r="U325" s="103"/>
    </row>
    <row r="326" spans="5:21" ht="15.75" customHeight="1" x14ac:dyDescent="0.3">
      <c r="E326" s="103"/>
      <c r="F326" s="103"/>
      <c r="G326" s="103"/>
      <c r="H326" s="103"/>
      <c r="I326" s="103"/>
      <c r="J326" s="103"/>
      <c r="K326" s="103"/>
      <c r="L326" s="103"/>
      <c r="M326" s="103"/>
      <c r="O326" s="104"/>
      <c r="T326" s="103"/>
      <c r="U326" s="103"/>
    </row>
    <row r="327" spans="5:21" ht="15.75" customHeight="1" x14ac:dyDescent="0.3">
      <c r="E327" s="103"/>
      <c r="F327" s="103"/>
      <c r="G327" s="103"/>
      <c r="H327" s="103"/>
      <c r="I327" s="103"/>
      <c r="J327" s="103"/>
      <c r="K327" s="103"/>
      <c r="L327" s="103"/>
      <c r="M327" s="103"/>
      <c r="O327" s="104"/>
      <c r="T327" s="103"/>
      <c r="U327" s="103"/>
    </row>
    <row r="328" spans="5:21" ht="15.75" customHeight="1" x14ac:dyDescent="0.3">
      <c r="E328" s="103"/>
      <c r="F328" s="103"/>
      <c r="G328" s="103"/>
      <c r="H328" s="103"/>
      <c r="I328" s="103"/>
      <c r="J328" s="103"/>
      <c r="K328" s="103"/>
      <c r="L328" s="103"/>
      <c r="M328" s="103"/>
      <c r="O328" s="104"/>
      <c r="T328" s="103"/>
      <c r="U328" s="103"/>
    </row>
    <row r="329" spans="5:21" ht="15.75" customHeight="1" x14ac:dyDescent="0.3">
      <c r="E329" s="103"/>
      <c r="F329" s="103"/>
      <c r="G329" s="103"/>
      <c r="H329" s="103"/>
      <c r="I329" s="103"/>
      <c r="J329" s="103"/>
      <c r="K329" s="103"/>
      <c r="L329" s="103"/>
      <c r="M329" s="103"/>
      <c r="O329" s="104"/>
      <c r="T329" s="103"/>
      <c r="U329" s="103"/>
    </row>
    <row r="330" spans="5:21" ht="15.75" customHeight="1" x14ac:dyDescent="0.3">
      <c r="E330" s="103"/>
      <c r="F330" s="103"/>
      <c r="G330" s="103"/>
      <c r="H330" s="103"/>
      <c r="I330" s="103"/>
      <c r="J330" s="103"/>
      <c r="K330" s="103"/>
      <c r="L330" s="103"/>
      <c r="M330" s="103"/>
      <c r="O330" s="104"/>
      <c r="T330" s="103"/>
      <c r="U330" s="103"/>
    </row>
    <row r="331" spans="5:21" ht="15.75" customHeight="1" x14ac:dyDescent="0.3">
      <c r="E331" s="103"/>
      <c r="F331" s="103"/>
      <c r="G331" s="103"/>
      <c r="H331" s="103"/>
      <c r="I331" s="103"/>
      <c r="J331" s="103"/>
      <c r="K331" s="103"/>
      <c r="L331" s="103"/>
      <c r="M331" s="103"/>
      <c r="O331" s="104"/>
      <c r="T331" s="103"/>
      <c r="U331" s="103"/>
    </row>
    <row r="332" spans="5:21" ht="15.75" customHeight="1" x14ac:dyDescent="0.3">
      <c r="E332" s="103"/>
      <c r="F332" s="103"/>
      <c r="G332" s="103"/>
      <c r="H332" s="103"/>
      <c r="I332" s="103"/>
      <c r="J332" s="103"/>
      <c r="K332" s="103"/>
      <c r="L332" s="103"/>
      <c r="M332" s="103"/>
      <c r="O332" s="104"/>
      <c r="T332" s="103"/>
      <c r="U332" s="103"/>
    </row>
    <row r="333" spans="5:21" ht="15.75" customHeight="1" x14ac:dyDescent="0.3">
      <c r="E333" s="103"/>
      <c r="F333" s="103"/>
      <c r="G333" s="103"/>
      <c r="H333" s="103"/>
      <c r="I333" s="103"/>
      <c r="J333" s="103"/>
      <c r="K333" s="103"/>
      <c r="L333" s="103"/>
      <c r="M333" s="103"/>
      <c r="O333" s="104"/>
      <c r="T333" s="103"/>
      <c r="U333" s="103"/>
    </row>
    <row r="334" spans="5:21" ht="15.75" customHeight="1" x14ac:dyDescent="0.3">
      <c r="E334" s="103"/>
      <c r="F334" s="103"/>
      <c r="G334" s="103"/>
      <c r="H334" s="103"/>
      <c r="I334" s="103"/>
      <c r="J334" s="103"/>
      <c r="K334" s="103"/>
      <c r="L334" s="103"/>
      <c r="M334" s="103"/>
      <c r="O334" s="104"/>
      <c r="T334" s="103"/>
      <c r="U334" s="103"/>
    </row>
    <row r="335" spans="5:21" ht="15.75" customHeight="1" x14ac:dyDescent="0.3">
      <c r="E335" s="103"/>
      <c r="F335" s="103"/>
      <c r="G335" s="103"/>
      <c r="H335" s="103"/>
      <c r="I335" s="103"/>
      <c r="J335" s="103"/>
      <c r="K335" s="103"/>
      <c r="L335" s="103"/>
      <c r="M335" s="103"/>
      <c r="O335" s="104"/>
      <c r="T335" s="103"/>
      <c r="U335" s="103"/>
    </row>
    <row r="336" spans="5:21" ht="15.75" customHeight="1" x14ac:dyDescent="0.3">
      <c r="E336" s="103"/>
      <c r="F336" s="103"/>
      <c r="G336" s="103"/>
      <c r="H336" s="103"/>
      <c r="I336" s="103"/>
      <c r="J336" s="103"/>
      <c r="K336" s="103"/>
      <c r="L336" s="103"/>
      <c r="M336" s="103"/>
      <c r="O336" s="104"/>
      <c r="T336" s="103"/>
      <c r="U336" s="103"/>
    </row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</sheetData>
  <autoFilter ref="A156:D248" xr:uid="{00000000-0009-0000-0000-000000000000}">
    <sortState xmlns:xlrd2="http://schemas.microsoft.com/office/spreadsheetml/2017/richdata2" ref="A156:D248">
      <sortCondition descending="1" ref="D156:D248"/>
    </sortState>
  </autoFilter>
  <mergeCells count="18">
    <mergeCell ref="X20:Y20"/>
    <mergeCell ref="X21:Y21"/>
    <mergeCell ref="X22:Y22"/>
    <mergeCell ref="X23:Y23"/>
    <mergeCell ref="X24:Y24"/>
    <mergeCell ref="X26:Y26"/>
    <mergeCell ref="X14:Y14"/>
    <mergeCell ref="X15:Y15"/>
    <mergeCell ref="X16:Y16"/>
    <mergeCell ref="X17:Y17"/>
    <mergeCell ref="X18:Y18"/>
    <mergeCell ref="X19:Y19"/>
    <mergeCell ref="X8:Y8"/>
    <mergeCell ref="X9:Y9"/>
    <mergeCell ref="X10:Y10"/>
    <mergeCell ref="X11:Y11"/>
    <mergeCell ref="X12:Y12"/>
    <mergeCell ref="X13:Y13"/>
  </mergeCells>
  <conditionalFormatting sqref="C8:C2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3:C98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19:C13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19:D134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47:G64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3:G9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8:H23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47:K64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83:K98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8:L23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9:P24">
    <cfRule type="colorScale" priority="30">
      <colorScale>
        <cfvo type="min"/>
        <cfvo type="max"/>
        <color rgb="FFFFFFFF"/>
        <color rgb="FF57BB8A"/>
      </colorScale>
    </cfRule>
  </conditionalFormatting>
  <conditionalFormatting sqref="Q9:Q24">
    <cfRule type="colorScale" priority="31">
      <colorScale>
        <cfvo type="min"/>
        <cfvo type="max"/>
        <color rgb="FFFFFFFF"/>
        <color rgb="FF57BB8A"/>
      </colorScale>
    </cfRule>
  </conditionalFormatting>
  <conditionalFormatting sqref="R9:R24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  <cfRule type="colorScale" priority="33">
      <colorScale>
        <cfvo type="min"/>
        <cfvo type="max"/>
        <color rgb="FF57BB8A"/>
        <color rgb="FFFFFFFF"/>
      </colorScale>
    </cfRule>
    <cfRule type="colorScale" priority="34">
      <colorScale>
        <cfvo type="min"/>
        <cfvo type="max"/>
        <color rgb="FF57BB8A"/>
        <color rgb="FFFFFFFF"/>
      </colorScale>
    </cfRule>
  </conditionalFormatting>
  <conditionalFormatting sqref="S9:T24">
    <cfRule type="colorScale" priority="3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156 S156 J2 L2 P8:X8 C46:C64 C82 G82 K82 C118:D11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U9:U24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9:W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0:W10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1:W11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2:W12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3:W13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4:W14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5:W15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6:W16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7:W17">
    <cfRule type="colorScale" priority="2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8:W18">
    <cfRule type="colorScale" priority="2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19:W19">
    <cfRule type="colorScale" priority="2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0:W20">
    <cfRule type="colorScale" priority="2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1:W21">
    <cfRule type="colorScale" priority="2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2:W22">
    <cfRule type="colorScale" priority="2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3:W23">
    <cfRule type="colorScale" priority="2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V24:W24">
    <cfRule type="colorScale" priority="2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Pidilitind</vt:lpstr>
      <vt:lpstr>Specialty Chemicals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2024-05-19T10:52:48Z</dcterms:created>
  <dcterms:modified xsi:type="dcterms:W3CDTF">2024-05-19T10:53:16Z</dcterms:modified>
</cp:coreProperties>
</file>