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0DA0A52F-8D0D-49D6-9ED2-1E3ADB346932}" xr6:coauthVersionLast="47" xr6:coauthVersionMax="47" xr10:uidLastSave="{00000000-0000-0000-0000-000000000000}"/>
  <bookViews>
    <workbookView xWindow="-108" yWindow="-108" windowWidth="23256" windowHeight="12456" xr2:uid="{28A37096-5C93-4814-9939-0F8720065992}"/>
  </bookViews>
  <sheets>
    <sheet name="Pidilitin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1" l="1"/>
  <c r="U65" i="1"/>
  <c r="T65" i="1"/>
  <c r="S65" i="1"/>
  <c r="E65" i="1"/>
  <c r="I65" i="1" s="1"/>
  <c r="D65" i="1"/>
  <c r="D61" i="1" s="1"/>
  <c r="C65" i="1"/>
  <c r="U64" i="1"/>
  <c r="U63" i="1"/>
  <c r="U62" i="1"/>
  <c r="U61" i="1"/>
  <c r="X58" i="1"/>
  <c r="W58" i="1"/>
  <c r="V58" i="1"/>
  <c r="U58" i="1"/>
  <c r="R58" i="1"/>
  <c r="D58" i="1"/>
  <c r="C58" i="1"/>
  <c r="E58" i="1" s="1"/>
  <c r="E57" i="1"/>
  <c r="D57" i="1"/>
  <c r="C57" i="1"/>
  <c r="D9" i="1" s="1"/>
  <c r="X56" i="1"/>
  <c r="W56" i="1"/>
  <c r="N56" i="1"/>
  <c r="M56" i="1"/>
  <c r="O56" i="1" s="1"/>
  <c r="J56" i="1"/>
  <c r="I56" i="1"/>
  <c r="H56" i="1"/>
  <c r="X55" i="1"/>
  <c r="W55" i="1"/>
  <c r="O55" i="1"/>
  <c r="N55" i="1"/>
  <c r="M55" i="1"/>
  <c r="I55" i="1"/>
  <c r="H55" i="1"/>
  <c r="J55" i="1" s="1"/>
  <c r="E55" i="1"/>
  <c r="X54" i="1"/>
  <c r="W54" i="1"/>
  <c r="O54" i="1"/>
  <c r="J54" i="1"/>
  <c r="E54" i="1"/>
  <c r="X53" i="1"/>
  <c r="W53" i="1"/>
  <c r="O53" i="1"/>
  <c r="J53" i="1"/>
  <c r="E53" i="1"/>
  <c r="D53" i="1"/>
  <c r="D56" i="1" s="1"/>
  <c r="C53" i="1"/>
  <c r="C56" i="1" s="1"/>
  <c r="E56" i="1" s="1"/>
  <c r="X52" i="1"/>
  <c r="W52" i="1"/>
  <c r="O52" i="1"/>
  <c r="J52" i="1"/>
  <c r="E52" i="1"/>
  <c r="X51" i="1"/>
  <c r="W51" i="1"/>
  <c r="O51" i="1"/>
  <c r="J51" i="1"/>
  <c r="E51" i="1"/>
  <c r="X50" i="1"/>
  <c r="W50" i="1"/>
  <c r="O50" i="1"/>
  <c r="J50" i="1"/>
  <c r="E50" i="1"/>
  <c r="O47" i="1"/>
  <c r="M45" i="1"/>
  <c r="P45" i="1" s="1"/>
  <c r="P42" i="1"/>
  <c r="J42" i="1"/>
  <c r="I42" i="1"/>
  <c r="H42" i="1"/>
  <c r="G42" i="1"/>
  <c r="E42" i="1"/>
  <c r="D42" i="1"/>
  <c r="C42" i="1"/>
  <c r="P41" i="1"/>
  <c r="M41" i="1"/>
  <c r="J41" i="1"/>
  <c r="I41" i="1"/>
  <c r="H41" i="1"/>
  <c r="G41" i="1"/>
  <c r="E41" i="1"/>
  <c r="D41" i="1"/>
  <c r="C41" i="1"/>
  <c r="P40" i="1"/>
  <c r="M40" i="1"/>
  <c r="K40" i="1"/>
  <c r="J40" i="1"/>
  <c r="I40" i="1"/>
  <c r="H40" i="1"/>
  <c r="G40" i="1"/>
  <c r="E40" i="1"/>
  <c r="D40" i="1"/>
  <c r="C40" i="1"/>
  <c r="P39" i="1"/>
  <c r="K39" i="1"/>
  <c r="J39" i="1"/>
  <c r="I39" i="1"/>
  <c r="H39" i="1"/>
  <c r="G39" i="1"/>
  <c r="E39" i="1"/>
  <c r="D39" i="1"/>
  <c r="C39" i="1"/>
  <c r="C62" i="1" s="1"/>
  <c r="C66" i="1" s="1"/>
  <c r="J37" i="1"/>
  <c r="I37" i="1"/>
  <c r="E37" i="1"/>
  <c r="O36" i="1"/>
  <c r="N36" i="1"/>
  <c r="M36" i="1"/>
  <c r="F36" i="1"/>
  <c r="D36" i="1"/>
  <c r="C36" i="1"/>
  <c r="M35" i="1"/>
  <c r="M42" i="1" s="1"/>
  <c r="L35" i="1"/>
  <c r="L42" i="1" s="1"/>
  <c r="K35" i="1"/>
  <c r="K42" i="1" s="1"/>
  <c r="F35" i="1"/>
  <c r="F42" i="1" s="1"/>
  <c r="O34" i="1"/>
  <c r="N34" i="1"/>
  <c r="M34" i="1"/>
  <c r="L34" i="1"/>
  <c r="K34" i="1"/>
  <c r="F34" i="1"/>
  <c r="O33" i="1"/>
  <c r="N33" i="1"/>
  <c r="M33" i="1"/>
  <c r="L33" i="1"/>
  <c r="K33" i="1"/>
  <c r="F33" i="1"/>
  <c r="O32" i="1"/>
  <c r="N32" i="1"/>
  <c r="M32" i="1"/>
  <c r="L32" i="1"/>
  <c r="K32" i="1"/>
  <c r="F32" i="1"/>
  <c r="M31" i="1"/>
  <c r="O31" i="1" s="1"/>
  <c r="L31" i="1"/>
  <c r="K31" i="1"/>
  <c r="F31" i="1"/>
  <c r="O30" i="1"/>
  <c r="N30" i="1"/>
  <c r="M30" i="1"/>
  <c r="L30" i="1"/>
  <c r="L41" i="1" s="1"/>
  <c r="K30" i="1"/>
  <c r="K41" i="1" s="1"/>
  <c r="F30" i="1"/>
  <c r="F41" i="1" s="1"/>
  <c r="O29" i="1"/>
  <c r="N29" i="1"/>
  <c r="M29" i="1"/>
  <c r="L29" i="1"/>
  <c r="K29" i="1"/>
  <c r="F29" i="1"/>
  <c r="O28" i="1"/>
  <c r="N28" i="1"/>
  <c r="M28" i="1"/>
  <c r="L28" i="1"/>
  <c r="K28" i="1"/>
  <c r="F28" i="1"/>
  <c r="M27" i="1"/>
  <c r="O27" i="1" s="1"/>
  <c r="L27" i="1"/>
  <c r="K27" i="1"/>
  <c r="F27" i="1"/>
  <c r="O26" i="1"/>
  <c r="N26" i="1"/>
  <c r="M26" i="1"/>
  <c r="L26" i="1"/>
  <c r="K26" i="1"/>
  <c r="F26" i="1"/>
  <c r="F40" i="1" s="1"/>
  <c r="O25" i="1"/>
  <c r="N25" i="1"/>
  <c r="M25" i="1"/>
  <c r="L25" i="1"/>
  <c r="L40" i="1" s="1"/>
  <c r="K25" i="1"/>
  <c r="F25" i="1"/>
  <c r="O24" i="1"/>
  <c r="N24" i="1"/>
  <c r="M24" i="1"/>
  <c r="L24" i="1"/>
  <c r="K24" i="1"/>
  <c r="F24" i="1"/>
  <c r="M23" i="1"/>
  <c r="O23" i="1" s="1"/>
  <c r="L23" i="1"/>
  <c r="K23" i="1"/>
  <c r="F23" i="1"/>
  <c r="O22" i="1"/>
  <c r="N22" i="1"/>
  <c r="M22" i="1"/>
  <c r="L22" i="1"/>
  <c r="K22" i="1"/>
  <c r="F22" i="1"/>
  <c r="O21" i="1"/>
  <c r="N21" i="1"/>
  <c r="M21" i="1"/>
  <c r="L21" i="1"/>
  <c r="K21" i="1"/>
  <c r="F21" i="1"/>
  <c r="O20" i="1"/>
  <c r="N20" i="1"/>
  <c r="M20" i="1"/>
  <c r="L20" i="1"/>
  <c r="K20" i="1"/>
  <c r="F20" i="1"/>
  <c r="M19" i="1"/>
  <c r="O19" i="1" s="1"/>
  <c r="L19" i="1"/>
  <c r="K19" i="1"/>
  <c r="F19" i="1"/>
  <c r="O18" i="1"/>
  <c r="N18" i="1"/>
  <c r="M18" i="1"/>
  <c r="L18" i="1"/>
  <c r="K18" i="1"/>
  <c r="F18" i="1"/>
  <c r="O17" i="1"/>
  <c r="N17" i="1"/>
  <c r="M17" i="1"/>
  <c r="L17" i="1"/>
  <c r="K17" i="1"/>
  <c r="F17" i="1"/>
  <c r="O16" i="1"/>
  <c r="N16" i="1"/>
  <c r="M16" i="1"/>
  <c r="L16" i="1"/>
  <c r="K16" i="1"/>
  <c r="F16" i="1"/>
  <c r="M15" i="1"/>
  <c r="O15" i="1" s="1"/>
  <c r="L15" i="1"/>
  <c r="L39" i="1" s="1"/>
  <c r="K15" i="1"/>
  <c r="F15" i="1"/>
  <c r="F39" i="1" s="1"/>
  <c r="O14" i="1"/>
  <c r="N14" i="1"/>
  <c r="M14" i="1"/>
  <c r="L14" i="1"/>
  <c r="K14" i="1"/>
  <c r="F14" i="1"/>
  <c r="O13" i="1"/>
  <c r="N13" i="1"/>
  <c r="M13" i="1"/>
  <c r="L13" i="1"/>
  <c r="K13" i="1"/>
  <c r="F13" i="1"/>
  <c r="O12" i="1"/>
  <c r="N12" i="1"/>
  <c r="M12" i="1"/>
  <c r="L12" i="1"/>
  <c r="K12" i="1"/>
  <c r="F12" i="1"/>
  <c r="T9" i="1"/>
  <c r="S9" i="1"/>
  <c r="R9" i="1"/>
  <c r="O9" i="1"/>
  <c r="I9" i="1"/>
  <c r="H9" i="1"/>
  <c r="G9" i="1"/>
  <c r="E9" i="1"/>
  <c r="C9" i="1"/>
  <c r="B9" i="1"/>
  <c r="V5" i="1"/>
  <c r="T5" i="1"/>
  <c r="S5" i="1"/>
  <c r="R5" i="1"/>
  <c r="Q5" i="1"/>
  <c r="P5" i="1"/>
  <c r="O5" i="1"/>
  <c r="N5" i="1"/>
  <c r="M5" i="1"/>
  <c r="L5" i="1"/>
  <c r="K5" i="1"/>
  <c r="J5" i="1"/>
  <c r="I5" i="1"/>
  <c r="H5" i="1"/>
  <c r="U4" i="1"/>
  <c r="U5" i="1" s="1"/>
  <c r="D4" i="1"/>
  <c r="U3" i="1"/>
  <c r="F3" i="1"/>
  <c r="L9" i="1" s="1"/>
  <c r="E3" i="1"/>
  <c r="F9" i="1" s="1"/>
  <c r="D3" i="1"/>
  <c r="D5" i="1" s="1"/>
  <c r="C3" i="1"/>
  <c r="P47" i="1" s="1"/>
  <c r="C67" i="1" l="1"/>
  <c r="D66" i="1"/>
  <c r="N41" i="1"/>
  <c r="E36" i="1"/>
  <c r="E5" i="1"/>
  <c r="P9" i="1"/>
  <c r="F5" i="1"/>
  <c r="J9" i="1"/>
  <c r="K9" i="1"/>
  <c r="N15" i="1"/>
  <c r="N19" i="1"/>
  <c r="N23" i="1"/>
  <c r="N27" i="1"/>
  <c r="N40" i="1" s="1"/>
  <c r="N31" i="1"/>
  <c r="N35" i="1"/>
  <c r="N42" i="1" s="1"/>
  <c r="M39" i="1"/>
  <c r="Q45" i="1"/>
  <c r="Q47" i="1" s="1"/>
  <c r="R46" i="1" s="1"/>
  <c r="Q9" i="1" s="1"/>
  <c r="F65" i="1"/>
  <c r="O35" i="1"/>
  <c r="O42" i="1" s="1"/>
  <c r="G65" i="1"/>
  <c r="H65" i="1" s="1"/>
  <c r="C5" i="1"/>
  <c r="G3" i="1" l="1"/>
  <c r="L36" i="1"/>
  <c r="K36" i="1"/>
  <c r="N39" i="1"/>
  <c r="O41" i="1"/>
  <c r="O39" i="1"/>
  <c r="L65" i="1"/>
  <c r="F66" i="1"/>
  <c r="J65" i="1"/>
  <c r="D67" i="1"/>
  <c r="E66" i="1"/>
  <c r="O40" i="1"/>
  <c r="K65" i="1" l="1"/>
  <c r="M65" i="1" s="1"/>
  <c r="E70" i="1" s="1"/>
  <c r="F70" i="1" s="1"/>
  <c r="N9" i="1"/>
  <c r="M9" i="1"/>
  <c r="G5" i="1"/>
  <c r="I66" i="1"/>
  <c r="E67" i="1"/>
  <c r="G66" i="1"/>
  <c r="H66" i="1" s="1"/>
  <c r="M66" i="1" s="1"/>
  <c r="J66" i="1"/>
  <c r="K66" i="1" s="1"/>
  <c r="F67" i="1"/>
  <c r="L66" i="1"/>
  <c r="G67" i="1" l="1"/>
  <c r="H67" i="1" s="1"/>
  <c r="M67" i="1" s="1"/>
  <c r="I67" i="1"/>
  <c r="L67" i="1"/>
  <c r="J67" i="1"/>
  <c r="K67" i="1" s="1"/>
</calcChain>
</file>

<file path=xl/sharedStrings.xml><?xml version="1.0" encoding="utf-8"?>
<sst xmlns="http://schemas.openxmlformats.org/spreadsheetml/2006/main" count="212" uniqueCount="146">
  <si>
    <t xml:space="preserve"> </t>
  </si>
  <si>
    <t>INC.STAT</t>
  </si>
  <si>
    <t>BAL. SHEET</t>
  </si>
  <si>
    <t>CASHFLOW</t>
  </si>
  <si>
    <t>PIDILITIND</t>
  </si>
  <si>
    <t>COMPANY</t>
  </si>
  <si>
    <t>PRICE</t>
  </si>
  <si>
    <t>MCAP</t>
  </si>
  <si>
    <t>SALES</t>
  </si>
  <si>
    <t>PROFIT</t>
  </si>
  <si>
    <t>EPS</t>
  </si>
  <si>
    <t>EQUITY</t>
  </si>
  <si>
    <t>TOTAL EQ</t>
  </si>
  <si>
    <t>BORROWING</t>
  </si>
  <si>
    <t>LEASE</t>
  </si>
  <si>
    <t>FV</t>
  </si>
  <si>
    <t>CUR.ASSET</t>
  </si>
  <si>
    <t>CUR.LIABILITY</t>
  </si>
  <si>
    <t>ASSET</t>
  </si>
  <si>
    <t>LIABILITY</t>
  </si>
  <si>
    <t>TRADE REC</t>
  </si>
  <si>
    <t>CFO</t>
  </si>
  <si>
    <t>CFI</t>
  </si>
  <si>
    <t>CFF</t>
  </si>
  <si>
    <t>NET</t>
  </si>
  <si>
    <t>PPE</t>
  </si>
  <si>
    <t>LAST YEAR</t>
  </si>
  <si>
    <t>GROWTH</t>
  </si>
  <si>
    <t>LIQUIDITY</t>
  </si>
  <si>
    <t>SOLVENCY</t>
  </si>
  <si>
    <t>PROFITABILITY</t>
  </si>
  <si>
    <t>VALUATIONS</t>
  </si>
  <si>
    <t>SALES GROWTH</t>
  </si>
  <si>
    <t>PROFIT GROWTH</t>
  </si>
  <si>
    <t>P-MARGIN</t>
  </si>
  <si>
    <t>CUR.RATIO</t>
  </si>
  <si>
    <t>TR. REC. DAYS</t>
  </si>
  <si>
    <t>DEBT2EQUITY</t>
  </si>
  <si>
    <t>DEBTRATIO</t>
  </si>
  <si>
    <t>ICR</t>
  </si>
  <si>
    <t>ROE</t>
  </si>
  <si>
    <t>ROPE</t>
  </si>
  <si>
    <t>ROA</t>
  </si>
  <si>
    <t>PE</t>
  </si>
  <si>
    <t>YIELD</t>
  </si>
  <si>
    <t>BOOKVALUE</t>
  </si>
  <si>
    <t>PBV</t>
  </si>
  <si>
    <t>PEG</t>
  </si>
  <si>
    <t>OCFR</t>
  </si>
  <si>
    <t>CFD</t>
  </si>
  <si>
    <t>FCF IN CR</t>
  </si>
  <si>
    <t>HISTORY</t>
  </si>
  <si>
    <t>Year</t>
  </si>
  <si>
    <t>Revenue</t>
  </si>
  <si>
    <t>Net Profit</t>
  </si>
  <si>
    <t>NPM %</t>
  </si>
  <si>
    <t>Equity</t>
  </si>
  <si>
    <t>Reserves</t>
  </si>
  <si>
    <t>LowPrice</t>
  </si>
  <si>
    <t>HighPrice</t>
  </si>
  <si>
    <t>LOWPE</t>
  </si>
  <si>
    <t>HIGHPE</t>
  </si>
  <si>
    <t>BookValue</t>
  </si>
  <si>
    <t>LBV</t>
  </si>
  <si>
    <t>HBV</t>
  </si>
  <si>
    <t>Div%</t>
  </si>
  <si>
    <t>Split10:1</t>
  </si>
  <si>
    <t>Bonus</t>
  </si>
  <si>
    <t>Trail FY_26</t>
  </si>
  <si>
    <t>20 Year Growth</t>
  </si>
  <si>
    <t>10 Year Growth</t>
  </si>
  <si>
    <t>5 Year Growth</t>
  </si>
  <si>
    <t>Cy Growth</t>
  </si>
  <si>
    <t>Trend</t>
  </si>
  <si>
    <t>H1_FY_25</t>
  </si>
  <si>
    <t>9M_FY_25</t>
  </si>
  <si>
    <t>FY_25</t>
  </si>
  <si>
    <t>Q1_FY_26</t>
  </si>
  <si>
    <t>EST_FY26</t>
  </si>
  <si>
    <t>Q2_FY_25</t>
  </si>
  <si>
    <t>Q3_FY_25</t>
  </si>
  <si>
    <t>Q4FY_25</t>
  </si>
  <si>
    <t>T_EPS_26</t>
  </si>
  <si>
    <t>EPS_25</t>
  </si>
  <si>
    <t>T_EPS</t>
  </si>
  <si>
    <t>F_EPS_26</t>
  </si>
  <si>
    <t>Sales</t>
  </si>
  <si>
    <t>Profit</t>
  </si>
  <si>
    <t>PE_25</t>
  </si>
  <si>
    <t>T_PE</t>
  </si>
  <si>
    <t>F_PE_25</t>
  </si>
  <si>
    <t>MARGIN</t>
  </si>
  <si>
    <t>Quarterly Results</t>
  </si>
  <si>
    <t>Results</t>
  </si>
  <si>
    <t>Q1_FY_25</t>
  </si>
  <si>
    <t>CHANGE</t>
  </si>
  <si>
    <t>Q4_FY_25</t>
  </si>
  <si>
    <t>Q4_FY_24</t>
  </si>
  <si>
    <t>FY_24</t>
  </si>
  <si>
    <t>SEGMENT SALES</t>
  </si>
  <si>
    <t>Major Cost</t>
  </si>
  <si>
    <t>Share</t>
  </si>
  <si>
    <t>Growth</t>
  </si>
  <si>
    <t>Adhesives &amp; Sealants</t>
  </si>
  <si>
    <t>Material</t>
  </si>
  <si>
    <t>COST</t>
  </si>
  <si>
    <t>Construction &amp; Paint Chemicals</t>
  </si>
  <si>
    <t>StockinTrade</t>
  </si>
  <si>
    <t>FINANCE</t>
  </si>
  <si>
    <t>Art &amp; Craft Materials</t>
  </si>
  <si>
    <t>Inventory</t>
  </si>
  <si>
    <t>EBITDA</t>
  </si>
  <si>
    <t>Industrial Adhesives</t>
  </si>
  <si>
    <t>Employee</t>
  </si>
  <si>
    <t>Industrial Resins, Construction chemicals</t>
  </si>
  <si>
    <t>Finance</t>
  </si>
  <si>
    <t>Pigment &amp; Preparations</t>
  </si>
  <si>
    <t>D&amp;A</t>
  </si>
  <si>
    <t>EBITDA %</t>
  </si>
  <si>
    <t>Others</t>
  </si>
  <si>
    <t>OtherExp</t>
  </si>
  <si>
    <t>Net</t>
  </si>
  <si>
    <t>GR_EST</t>
  </si>
  <si>
    <t>SHP</t>
  </si>
  <si>
    <t>Investors</t>
  </si>
  <si>
    <t>Current Year</t>
  </si>
  <si>
    <t>Promoters</t>
  </si>
  <si>
    <t>LongTerm</t>
  </si>
  <si>
    <t>MF, INSURAMCE</t>
  </si>
  <si>
    <t>FPI</t>
  </si>
  <si>
    <t>ESTIMATE</t>
  </si>
  <si>
    <t>Low Price Range</t>
  </si>
  <si>
    <t>FairPrice@EPS</t>
  </si>
  <si>
    <t>HIgh Price Range</t>
  </si>
  <si>
    <t>FairPrice@PBV</t>
  </si>
  <si>
    <t>Blended Fairvalue</t>
  </si>
  <si>
    <t>Retail</t>
  </si>
  <si>
    <t>fy_2026</t>
  </si>
  <si>
    <t>TOTAL</t>
  </si>
  <si>
    <t>fy_2030</t>
  </si>
  <si>
    <t>fy_2035</t>
  </si>
  <si>
    <t>Company</t>
  </si>
  <si>
    <t>Price</t>
  </si>
  <si>
    <t>STR. WEIGHTAGE</t>
  </si>
  <si>
    <t>FACTOR</t>
  </si>
  <si>
    <t>TECH.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</si>
</sst>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%"/>
    <numFmt numFmtId="166" formatCode="#,##0.0"/>
    <numFmt numFmtId="167" formatCode="#,##0;\(#,##0\)"/>
    <numFmt numFmtId="168" formatCode="#,##0.0;[Red]#,##0.0"/>
    <numFmt numFmtId="169" formatCode="#,##0;[Red]#,##0"/>
  </numFmts>
  <fonts count="13" x14ac:knownFonts="1">
    <font>
      <sz val="11"/>
      <color theme="1"/>
      <name val="Arial"/>
      <scheme val="minor"/>
    </font>
    <font>
      <sz val="11"/>
      <color theme="1"/>
      <name val="Arial"/>
      <scheme val="minor"/>
    </font>
    <font>
      <sz val="11"/>
      <color rgb="FFFFFFFF"/>
      <name val="Calibri"/>
    </font>
    <font>
      <sz val="11"/>
      <color theme="1"/>
      <name val="Arial"/>
    </font>
    <font>
      <sz val="11"/>
      <color rgb="FF000000"/>
      <name val="Arial"/>
      <scheme val="minor"/>
    </font>
    <font>
      <sz val="11"/>
      <color theme="1"/>
      <name val="Calibri"/>
    </font>
    <font>
      <b/>
      <sz val="11"/>
      <color rgb="FFFFFFFF"/>
      <name val="Calibri"/>
    </font>
    <font>
      <b/>
      <sz val="14"/>
      <color rgb="FFFFFFFF"/>
      <name val="Arial"/>
      <scheme val="minor"/>
    </font>
    <font>
      <b/>
      <sz val="11"/>
      <color rgb="FF000000"/>
      <name val="Arial"/>
      <scheme val="minor"/>
    </font>
    <font>
      <sz val="12"/>
      <color rgb="FF000000"/>
      <name val="Arial"/>
      <scheme val="minor"/>
    </font>
    <font>
      <b/>
      <sz val="11"/>
      <color theme="1"/>
      <name val="Arial"/>
      <scheme val="minor"/>
    </font>
    <font>
      <sz val="14"/>
      <color theme="1"/>
      <name val="Arial"/>
      <scheme val="minor"/>
    </font>
    <font>
      <b/>
      <sz val="12"/>
      <color rgb="FF000000"/>
      <name val="Arial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073763"/>
        <bgColor rgb="FF073763"/>
      </patternFill>
    </fill>
    <fill>
      <patternFill patternType="solid">
        <fgColor rgb="FFEAEAEA"/>
        <bgColor rgb="FFEAEAEA"/>
      </patternFill>
    </fill>
    <fill>
      <patternFill patternType="solid">
        <fgColor rgb="FFBAE3CF"/>
        <bgColor rgb="FFBAE3CF"/>
      </patternFill>
    </fill>
    <fill>
      <patternFill patternType="solid">
        <fgColor rgb="FFD9D9D9"/>
        <bgColor rgb="FFD9D9D9"/>
      </patternFill>
    </fill>
    <fill>
      <patternFill patternType="solid">
        <fgColor rgb="FF84CEAA"/>
        <bgColor rgb="FF84CEAA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1" fillId="3" borderId="0" xfId="0" applyFont="1" applyFill="1"/>
    <xf numFmtId="1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3" fontId="1" fillId="3" borderId="1" xfId="0" applyNumberFormat="1" applyFont="1" applyFill="1" applyBorder="1"/>
    <xf numFmtId="3" fontId="1" fillId="0" borderId="1" xfId="0" applyNumberFormat="1" applyFont="1" applyBorder="1"/>
    <xf numFmtId="0" fontId="3" fillId="0" borderId="4" xfId="0" applyFont="1" applyBorder="1"/>
    <xf numFmtId="164" fontId="3" fillId="0" borderId="3" xfId="0" applyNumberFormat="1" applyFont="1" applyBorder="1" applyAlignment="1">
      <alignment horizontal="right"/>
    </xf>
    <xf numFmtId="3" fontId="4" fillId="3" borderId="1" xfId="0" applyNumberFormat="1" applyFont="1" applyFill="1" applyBorder="1"/>
    <xf numFmtId="0" fontId="5" fillId="0" borderId="1" xfId="0" applyFont="1" applyBorder="1"/>
    <xf numFmtId="10" fontId="5" fillId="0" borderId="1" xfId="0" applyNumberFormat="1" applyFont="1" applyBorder="1"/>
    <xf numFmtId="165" fontId="5" fillId="0" borderId="1" xfId="0" applyNumberFormat="1" applyFont="1" applyBorder="1"/>
    <xf numFmtId="9" fontId="5" fillId="0" borderId="1" xfId="0" applyNumberFormat="1" applyFont="1" applyBorder="1"/>
    <xf numFmtId="0" fontId="5" fillId="0" borderId="5" xfId="0" applyFont="1" applyBorder="1"/>
    <xf numFmtId="0" fontId="5" fillId="0" borderId="0" xfId="0" applyFont="1"/>
    <xf numFmtId="0" fontId="4" fillId="3" borderId="0" xfId="0" applyFont="1" applyFill="1"/>
    <xf numFmtId="0" fontId="2" fillId="2" borderId="3" xfId="0" applyFont="1" applyFill="1" applyBorder="1"/>
    <xf numFmtId="0" fontId="2" fillId="2" borderId="5" xfId="0" applyFont="1" applyFill="1" applyBorder="1"/>
    <xf numFmtId="0" fontId="2" fillId="2" borderId="4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9" fontId="3" fillId="4" borderId="4" xfId="0" applyNumberFormat="1" applyFont="1" applyFill="1" applyBorder="1" applyAlignment="1">
      <alignment horizontal="right"/>
    </xf>
    <xf numFmtId="9" fontId="3" fillId="4" borderId="3" xfId="0" applyNumberFormat="1" applyFont="1" applyFill="1" applyBorder="1" applyAlignment="1">
      <alignment horizontal="right"/>
    </xf>
    <xf numFmtId="166" fontId="3" fillId="4" borderId="3" xfId="0" applyNumberFormat="1" applyFon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right"/>
    </xf>
    <xf numFmtId="165" fontId="3" fillId="4" borderId="3" xfId="0" applyNumberFormat="1" applyFont="1" applyFill="1" applyBorder="1" applyAlignment="1">
      <alignment horizontal="right"/>
    </xf>
    <xf numFmtId="0" fontId="7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8" fillId="6" borderId="1" xfId="0" applyFont="1" applyFill="1" applyBorder="1" applyAlignment="1">
      <alignment horizontal="left"/>
    </xf>
    <xf numFmtId="1" fontId="8" fillId="6" borderId="1" xfId="0" applyNumberFormat="1" applyFont="1" applyFill="1" applyBorder="1" applyAlignment="1">
      <alignment horizontal="left"/>
    </xf>
    <xf numFmtId="15" fontId="8" fillId="6" borderId="1" xfId="0" applyNumberFormat="1" applyFont="1" applyFill="1" applyBorder="1" applyAlignment="1">
      <alignment horizontal="left"/>
    </xf>
    <xf numFmtId="167" fontId="4" fillId="3" borderId="1" xfId="0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165" fontId="4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1" fontId="4" fillId="3" borderId="1" xfId="0" applyNumberFormat="1" applyFont="1" applyFill="1" applyBorder="1" applyAlignment="1">
      <alignment horizontal="right"/>
    </xf>
    <xf numFmtId="1" fontId="1" fillId="0" borderId="1" xfId="0" applyNumberFormat="1" applyFont="1" applyBorder="1"/>
    <xf numFmtId="164" fontId="1" fillId="0" borderId="1" xfId="0" applyNumberFormat="1" applyFont="1" applyBorder="1"/>
    <xf numFmtId="0" fontId="4" fillId="3" borderId="1" xfId="0" applyFont="1" applyFill="1" applyBorder="1" applyAlignment="1">
      <alignment horizontal="right"/>
    </xf>
    <xf numFmtId="0" fontId="2" fillId="0" borderId="0" xfId="0" applyFont="1"/>
    <xf numFmtId="9" fontId="1" fillId="0" borderId="0" xfId="0" applyNumberFormat="1" applyFont="1"/>
    <xf numFmtId="10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0" fontId="1" fillId="0" borderId="0" xfId="0" applyNumberFormat="1" applyFont="1"/>
    <xf numFmtId="3" fontId="8" fillId="3" borderId="1" xfId="0" applyNumberFormat="1" applyFont="1" applyFill="1" applyBorder="1" applyAlignment="1">
      <alignment horizontal="right"/>
    </xf>
    <xf numFmtId="164" fontId="1" fillId="0" borderId="0" xfId="0" applyNumberFormat="1" applyFont="1"/>
    <xf numFmtId="1" fontId="4" fillId="0" borderId="0" xfId="0" applyNumberFormat="1" applyFont="1"/>
    <xf numFmtId="164" fontId="4" fillId="0" borderId="0" xfId="0" applyNumberFormat="1" applyFont="1"/>
    <xf numFmtId="0" fontId="4" fillId="0" borderId="0" xfId="0" applyFont="1"/>
    <xf numFmtId="9" fontId="4" fillId="3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  <xf numFmtId="9" fontId="9" fillId="3" borderId="1" xfId="0" applyNumberFormat="1" applyFont="1" applyFill="1" applyBorder="1" applyAlignment="1">
      <alignment horizontal="right"/>
    </xf>
    <xf numFmtId="165" fontId="9" fillId="3" borderId="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0" fontId="10" fillId="0" borderId="0" xfId="0" applyNumberFormat="1" applyFont="1"/>
    <xf numFmtId="0" fontId="10" fillId="0" borderId="0" xfId="0" applyFont="1"/>
    <xf numFmtId="0" fontId="8" fillId="6" borderId="1" xfId="0" applyFont="1" applyFill="1" applyBorder="1" applyAlignment="1">
      <alignment horizontal="center"/>
    </xf>
    <xf numFmtId="9" fontId="5" fillId="0" borderId="1" xfId="0" applyNumberFormat="1" applyFont="1" applyBorder="1" applyAlignment="1">
      <alignment horizontal="right"/>
    </xf>
    <xf numFmtId="2" fontId="4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168" fontId="1" fillId="3" borderId="1" xfId="0" applyNumberFormat="1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164" fontId="11" fillId="4" borderId="0" xfId="0" applyNumberFormat="1" applyFont="1" applyFill="1" applyAlignment="1">
      <alignment horizontal="center"/>
    </xf>
    <xf numFmtId="165" fontId="5" fillId="0" borderId="1" xfId="0" applyNumberFormat="1" applyFont="1" applyBorder="1" applyAlignment="1">
      <alignment horizontal="right"/>
    </xf>
    <xf numFmtId="1" fontId="1" fillId="3" borderId="1" xfId="0" applyNumberFormat="1" applyFont="1" applyFill="1" applyBorder="1" applyAlignment="1">
      <alignment horizontal="center"/>
    </xf>
    <xf numFmtId="0" fontId="5" fillId="0" borderId="4" xfId="0" applyFont="1" applyBorder="1"/>
    <xf numFmtId="165" fontId="5" fillId="0" borderId="3" xfId="0" applyNumberFormat="1" applyFont="1" applyBorder="1" applyAlignment="1">
      <alignment horizontal="right"/>
    </xf>
    <xf numFmtId="9" fontId="1" fillId="0" borderId="1" xfId="0" applyNumberFormat="1" applyFont="1" applyBorder="1"/>
    <xf numFmtId="9" fontId="0" fillId="0" borderId="1" xfId="0" applyNumberFormat="1" applyBorder="1"/>
    <xf numFmtId="9" fontId="5" fillId="0" borderId="3" xfId="0" applyNumberFormat="1" applyFont="1" applyBorder="1" applyAlignment="1">
      <alignment horizontal="right"/>
    </xf>
    <xf numFmtId="165" fontId="1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1" fontId="1" fillId="0" borderId="0" xfId="0" applyNumberFormat="1" applyFont="1"/>
    <xf numFmtId="0" fontId="10" fillId="0" borderId="1" xfId="0" applyFont="1" applyBorder="1"/>
    <xf numFmtId="9" fontId="10" fillId="0" borderId="1" xfId="0" applyNumberFormat="1" applyFont="1" applyBorder="1"/>
    <xf numFmtId="9" fontId="4" fillId="3" borderId="1" xfId="0" applyNumberFormat="1" applyFont="1" applyFill="1" applyBorder="1" applyAlignment="1">
      <alignment horizontal="right"/>
    </xf>
    <xf numFmtId="9" fontId="1" fillId="3" borderId="1" xfId="0" applyNumberFormat="1" applyFont="1" applyFill="1" applyBorder="1" applyAlignment="1">
      <alignment horizontal="right"/>
    </xf>
    <xf numFmtId="165" fontId="1" fillId="3" borderId="1" xfId="0" applyNumberFormat="1" applyFont="1" applyFill="1" applyBorder="1"/>
    <xf numFmtId="169" fontId="1" fillId="3" borderId="0" xfId="0" applyNumberFormat="1" applyFont="1" applyFill="1"/>
    <xf numFmtId="0" fontId="8" fillId="3" borderId="0" xfId="0" applyFont="1" applyFill="1"/>
    <xf numFmtId="0" fontId="12" fillId="3" borderId="0" xfId="0" applyFont="1" applyFill="1" applyAlignment="1">
      <alignment horizontal="center"/>
    </xf>
    <xf numFmtId="0" fontId="7" fillId="5" borderId="6" xfId="0" applyFont="1" applyFill="1" applyBorder="1" applyAlignment="1">
      <alignment horizontal="center"/>
    </xf>
    <xf numFmtId="169" fontId="4" fillId="4" borderId="1" xfId="0" applyNumberFormat="1" applyFont="1" applyFill="1" applyBorder="1"/>
    <xf numFmtId="1" fontId="4" fillId="4" borderId="1" xfId="0" applyNumberFormat="1" applyFont="1" applyFill="1" applyBorder="1"/>
    <xf numFmtId="1" fontId="3" fillId="7" borderId="1" xfId="0" applyNumberFormat="1" applyFont="1" applyFill="1" applyBorder="1" applyAlignment="1">
      <alignment horizontal="right"/>
    </xf>
    <xf numFmtId="1" fontId="3" fillId="8" borderId="1" xfId="0" applyNumberFormat="1" applyFont="1" applyFill="1" applyBorder="1" applyAlignment="1">
      <alignment horizontal="right"/>
    </xf>
    <xf numFmtId="3" fontId="3" fillId="8" borderId="1" xfId="0" applyNumberFormat="1" applyFont="1" applyFill="1" applyBorder="1" applyAlignment="1">
      <alignment horizontal="right"/>
    </xf>
    <xf numFmtId="0" fontId="10" fillId="0" borderId="7" xfId="0" applyFont="1" applyBorder="1"/>
    <xf numFmtId="9" fontId="10" fillId="0" borderId="7" xfId="0" applyNumberFormat="1" applyFont="1" applyBorder="1"/>
    <xf numFmtId="169" fontId="1" fillId="0" borderId="0" xfId="0" applyNumberFormat="1" applyFont="1"/>
    <xf numFmtId="15" fontId="1" fillId="0" borderId="0" xfId="0" applyNumberFormat="1" applyFont="1"/>
    <xf numFmtId="1" fontId="5" fillId="0" borderId="1" xfId="0" applyNumberFormat="1" applyFont="1" applyBorder="1" applyAlignment="1">
      <alignment horizontal="right"/>
    </xf>
    <xf numFmtId="10" fontId="3" fillId="9" borderId="1" xfId="0" applyNumberFormat="1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67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962025</xdr:colOff>
      <xdr:row>70</xdr:row>
      <xdr:rowOff>66675</xdr:rowOff>
    </xdr:from>
    <xdr:ext cx="10048875" cy="4038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9754F3F-6361-45D6-B094-52036CD735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2025" y="13950315"/>
          <a:ext cx="10048875" cy="4038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6137A-5401-4240-956C-B75F4233A368}">
  <dimension ref="A1:AF964"/>
  <sheetViews>
    <sheetView showGridLines="0" tabSelected="1" workbookViewId="0"/>
  </sheetViews>
  <sheetFormatPr defaultColWidth="12.59765625" defaultRowHeight="15" customHeight="1" x14ac:dyDescent="0.25"/>
  <cols>
    <col min="1" max="1" width="12.69921875" customWidth="1"/>
    <col min="2" max="2" width="13.19921875" customWidth="1"/>
    <col min="3" max="3" width="13.69921875" customWidth="1"/>
    <col min="4" max="4" width="10.19921875" customWidth="1"/>
    <col min="5" max="5" width="9.09765625" customWidth="1"/>
    <col min="6" max="6" width="11.19921875" customWidth="1"/>
    <col min="7" max="7" width="11.3984375" customWidth="1"/>
    <col min="8" max="8" width="9.3984375" customWidth="1"/>
    <col min="9" max="9" width="10.09765625" customWidth="1"/>
    <col min="10" max="10" width="11.69921875" customWidth="1"/>
    <col min="11" max="11" width="10.19921875" customWidth="1"/>
    <col min="12" max="12" width="10.5" customWidth="1"/>
    <col min="13" max="13" width="10.3984375" customWidth="1"/>
    <col min="14" max="14" width="11.3984375" customWidth="1"/>
    <col min="15" max="15" width="10.19921875" customWidth="1"/>
    <col min="16" max="16" width="10.5" customWidth="1"/>
    <col min="17" max="17" width="14.59765625" customWidth="1"/>
    <col min="18" max="18" width="9.19921875" customWidth="1"/>
    <col min="19" max="19" width="9.69921875" customWidth="1"/>
    <col min="20" max="20" width="9.19921875" customWidth="1"/>
    <col min="21" max="21" width="8.5" customWidth="1"/>
    <col min="22" max="22" width="10" customWidth="1"/>
    <col min="23" max="23" width="8.5" customWidth="1"/>
    <col min="24" max="24" width="9" customWidth="1"/>
    <col min="25" max="25" width="7.3984375" customWidth="1"/>
    <col min="26" max="26" width="11.09765625" customWidth="1"/>
    <col min="27" max="32" width="7.59765625" customWidth="1"/>
  </cols>
  <sheetData>
    <row r="1" spans="1:32" ht="15.75" customHeight="1" x14ac:dyDescent="0.3">
      <c r="A1" s="1" t="s">
        <v>0</v>
      </c>
      <c r="E1" s="2" t="s">
        <v>1</v>
      </c>
      <c r="H1" s="2" t="s">
        <v>2</v>
      </c>
      <c r="R1" s="2" t="s">
        <v>3</v>
      </c>
    </row>
    <row r="2" spans="1:32" ht="15.75" customHeight="1" x14ac:dyDescent="0.3">
      <c r="A2" s="2" t="s">
        <v>4</v>
      </c>
      <c r="B2" s="2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16</v>
      </c>
      <c r="N2" s="3" t="s">
        <v>17</v>
      </c>
      <c r="O2" s="3" t="s">
        <v>18</v>
      </c>
      <c r="P2" s="3" t="s">
        <v>19</v>
      </c>
      <c r="Q2" s="3" t="s">
        <v>20</v>
      </c>
      <c r="R2" s="2" t="s">
        <v>21</v>
      </c>
      <c r="S2" s="2" t="s">
        <v>22</v>
      </c>
      <c r="T2" s="2" t="s">
        <v>23</v>
      </c>
      <c r="U2" s="2" t="s">
        <v>24</v>
      </c>
      <c r="V2" s="2" t="s">
        <v>25</v>
      </c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15.75" customHeight="1" x14ac:dyDescent="0.3">
      <c r="B3" s="2" t="s">
        <v>4</v>
      </c>
      <c r="C3" s="5">
        <f ca="1">IFERROR(__xludf.DUMMYFUNCTION("GOOGLEFINANCE(""nse:""&amp;$B$3,""price"")"),3131.3)</f>
        <v>3131.3</v>
      </c>
      <c r="D3" s="5">
        <f ca="1">IFERROR(__xludf.DUMMYFUNCTION("GOOGLEFINANCE(""nse:""&amp;$B$3,""MARKETCAP"")/10000000"),159682.1526459)</f>
        <v>159682.1526459</v>
      </c>
      <c r="E3" s="6">
        <f t="shared" ref="E3:G3" si="0">C36</f>
        <v>13498</v>
      </c>
      <c r="F3" s="6">
        <f t="shared" si="0"/>
        <v>2203</v>
      </c>
      <c r="G3" s="6">
        <f t="shared" si="0"/>
        <v>42.89</v>
      </c>
      <c r="H3" s="5">
        <v>50.86</v>
      </c>
      <c r="I3" s="5">
        <v>9703</v>
      </c>
      <c r="J3" s="5">
        <v>147</v>
      </c>
      <c r="K3" s="5">
        <v>307</v>
      </c>
      <c r="L3" s="5">
        <v>1</v>
      </c>
      <c r="M3" s="5">
        <v>7462</v>
      </c>
      <c r="N3" s="7">
        <v>3290</v>
      </c>
      <c r="O3" s="7">
        <v>14011</v>
      </c>
      <c r="P3" s="7">
        <v>4054</v>
      </c>
      <c r="Q3" s="7">
        <v>1811</v>
      </c>
      <c r="R3" s="8">
        <v>3019</v>
      </c>
      <c r="S3" s="9">
        <v>-1541</v>
      </c>
      <c r="T3" s="8">
        <v>-918</v>
      </c>
      <c r="U3" s="8">
        <f t="shared" ref="U3:U4" si="1">SUM(R3:T3)</f>
        <v>560</v>
      </c>
      <c r="V3" s="8">
        <v>-452</v>
      </c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15.75" customHeight="1" x14ac:dyDescent="0.25">
      <c r="B4" s="10" t="s">
        <v>26</v>
      </c>
      <c r="C4" s="7">
        <v>2849</v>
      </c>
      <c r="D4" s="5">
        <f>C4*(H3/L3)</f>
        <v>144900.13999999998</v>
      </c>
      <c r="E4" s="7">
        <v>13140</v>
      </c>
      <c r="F4" s="7">
        <v>2096</v>
      </c>
      <c r="G4" s="11">
        <v>40.82</v>
      </c>
      <c r="H4" s="5">
        <v>50.83</v>
      </c>
      <c r="I4" s="7">
        <v>8356</v>
      </c>
      <c r="J4" s="7">
        <v>131</v>
      </c>
      <c r="K4" s="7">
        <v>251</v>
      </c>
      <c r="L4" s="7">
        <v>1</v>
      </c>
      <c r="M4" s="7">
        <v>5836</v>
      </c>
      <c r="N4" s="7">
        <v>2798</v>
      </c>
      <c r="O4" s="7">
        <v>12104</v>
      </c>
      <c r="P4" s="7">
        <v>3487</v>
      </c>
      <c r="Q4" s="7">
        <v>1675</v>
      </c>
      <c r="R4" s="12">
        <v>3372</v>
      </c>
      <c r="S4" s="9">
        <v>-1769</v>
      </c>
      <c r="T4" s="8">
        <v>-742</v>
      </c>
      <c r="U4" s="8">
        <f t="shared" si="1"/>
        <v>861</v>
      </c>
      <c r="V4" s="8">
        <v>-559</v>
      </c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15.75" customHeight="1" x14ac:dyDescent="0.3">
      <c r="B5" s="13" t="s">
        <v>27</v>
      </c>
      <c r="C5" s="14">
        <f t="shared" ref="C5:V5" ca="1" si="2">(C3/C4)-1</f>
        <v>9.9087399087399053E-2</v>
      </c>
      <c r="D5" s="14">
        <f t="shared" ca="1" si="2"/>
        <v>0.10201517159265694</v>
      </c>
      <c r="E5" s="14">
        <f t="shared" si="2"/>
        <v>2.7245053272450637E-2</v>
      </c>
      <c r="F5" s="14">
        <f t="shared" si="2"/>
        <v>5.1049618320610612E-2</v>
      </c>
      <c r="G5" s="14">
        <f t="shared" si="2"/>
        <v>5.0710436060754649E-2</v>
      </c>
      <c r="H5" s="14">
        <f t="shared" si="2"/>
        <v>5.9020263623854596E-4</v>
      </c>
      <c r="I5" s="15">
        <f t="shared" si="2"/>
        <v>0.16120153183341301</v>
      </c>
      <c r="J5" s="14">
        <f t="shared" si="2"/>
        <v>0.12213740458015265</v>
      </c>
      <c r="K5" s="14">
        <f t="shared" si="2"/>
        <v>0.22310756972111556</v>
      </c>
      <c r="L5" s="14">
        <f t="shared" si="2"/>
        <v>0</v>
      </c>
      <c r="M5" s="14">
        <f t="shared" si="2"/>
        <v>0.27861549006168618</v>
      </c>
      <c r="N5" s="14">
        <f t="shared" si="2"/>
        <v>0.17583988563259467</v>
      </c>
      <c r="O5" s="14">
        <f t="shared" si="2"/>
        <v>0.15755122273628563</v>
      </c>
      <c r="P5" s="14">
        <f t="shared" si="2"/>
        <v>0.16260395755663892</v>
      </c>
      <c r="Q5" s="14">
        <f t="shared" si="2"/>
        <v>8.1194029850746308E-2</v>
      </c>
      <c r="R5" s="16">
        <f t="shared" si="2"/>
        <v>-0.10468564650059309</v>
      </c>
      <c r="S5" s="16">
        <f t="shared" si="2"/>
        <v>-0.12888637648388923</v>
      </c>
      <c r="T5" s="16">
        <f t="shared" si="2"/>
        <v>0.23719676549865221</v>
      </c>
      <c r="U5" s="16">
        <f t="shared" si="2"/>
        <v>-0.34959349593495936</v>
      </c>
      <c r="V5" s="16">
        <f t="shared" si="2"/>
        <v>-0.19141323792486586</v>
      </c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15.75" customHeight="1" x14ac:dyDescent="0.3">
      <c r="B6" s="17"/>
      <c r="C6" s="18"/>
      <c r="D6" s="17"/>
      <c r="E6" s="18"/>
      <c r="F6" s="18"/>
      <c r="G6" s="17"/>
      <c r="H6" s="18"/>
      <c r="I6" s="18"/>
      <c r="J6" s="17"/>
      <c r="K6" s="18"/>
      <c r="L6" s="18"/>
      <c r="M6" s="17"/>
      <c r="N6" s="18"/>
      <c r="O6" s="18"/>
      <c r="P6" s="18"/>
      <c r="Q6" s="18"/>
      <c r="R6" s="19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15.75" customHeight="1" x14ac:dyDescent="0.3">
      <c r="B7" s="20" t="s">
        <v>27</v>
      </c>
      <c r="C7" s="17"/>
      <c r="D7" s="20" t="s">
        <v>28</v>
      </c>
      <c r="E7" s="17"/>
      <c r="F7" s="17"/>
      <c r="G7" s="20" t="s">
        <v>29</v>
      </c>
      <c r="H7" s="17"/>
      <c r="I7" s="17"/>
      <c r="J7" s="21" t="s">
        <v>30</v>
      </c>
      <c r="K7" s="17"/>
      <c r="L7" s="17"/>
      <c r="M7" s="20" t="s">
        <v>31</v>
      </c>
      <c r="N7" s="17"/>
      <c r="O7" s="17"/>
      <c r="P7" s="17"/>
      <c r="Q7" s="17"/>
      <c r="R7" s="20" t="s">
        <v>3</v>
      </c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15.75" customHeight="1" x14ac:dyDescent="0.3">
      <c r="B8" s="22" t="s">
        <v>32</v>
      </c>
      <c r="C8" s="20" t="s">
        <v>33</v>
      </c>
      <c r="D8" s="20" t="s">
        <v>34</v>
      </c>
      <c r="E8" s="20" t="s">
        <v>35</v>
      </c>
      <c r="F8" s="20" t="s">
        <v>36</v>
      </c>
      <c r="G8" s="20" t="s">
        <v>37</v>
      </c>
      <c r="H8" s="20" t="s">
        <v>38</v>
      </c>
      <c r="I8" s="20" t="s">
        <v>39</v>
      </c>
      <c r="J8" s="20" t="s">
        <v>40</v>
      </c>
      <c r="K8" s="20" t="s">
        <v>41</v>
      </c>
      <c r="L8" s="20" t="s">
        <v>42</v>
      </c>
      <c r="M8" s="20" t="s">
        <v>43</v>
      </c>
      <c r="N8" s="20" t="s">
        <v>44</v>
      </c>
      <c r="O8" s="20" t="s">
        <v>45</v>
      </c>
      <c r="P8" s="20" t="s">
        <v>46</v>
      </c>
      <c r="Q8" s="20" t="s">
        <v>47</v>
      </c>
      <c r="R8" s="23" t="s">
        <v>48</v>
      </c>
      <c r="S8" s="24" t="s">
        <v>49</v>
      </c>
      <c r="T8" s="24" t="s">
        <v>50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ht="15.75" customHeight="1" x14ac:dyDescent="0.25">
      <c r="B9" s="25">
        <f>E50</f>
        <v>0.10544918998527253</v>
      </c>
      <c r="C9" s="26">
        <f>E54</f>
        <v>0.18739054290718049</v>
      </c>
      <c r="D9" s="26">
        <f>C57</f>
        <v>0.1806554756195044</v>
      </c>
      <c r="E9" s="27">
        <f>M3/N3</f>
        <v>2.2680851063829786</v>
      </c>
      <c r="F9" s="28">
        <f>365/(E3/Q3)</f>
        <v>48.971329085790487</v>
      </c>
      <c r="G9" s="26">
        <f>(J3+K3)/(I3+H3)</f>
        <v>4.6545675250618729E-2</v>
      </c>
      <c r="H9" s="26">
        <f>P3/O3</f>
        <v>0.28934408678895152</v>
      </c>
      <c r="I9" s="28">
        <f>C58</f>
        <v>60.285714285714285</v>
      </c>
      <c r="J9" s="26">
        <f>F3/I3</f>
        <v>0.22704318252086983</v>
      </c>
      <c r="K9" s="28">
        <f>F3/H3</f>
        <v>43.314982304364925</v>
      </c>
      <c r="L9" s="26">
        <f>F3/O3</f>
        <v>0.15723360216972379</v>
      </c>
      <c r="M9" s="28">
        <f ca="1">C3/G3</f>
        <v>73.007694101189088</v>
      </c>
      <c r="N9" s="29">
        <f ca="1">G3/C3</f>
        <v>1.3697186472072301E-2</v>
      </c>
      <c r="O9" s="28">
        <f>(I3)/(H3/L3)</f>
        <v>190.77860794337397</v>
      </c>
      <c r="P9" s="28">
        <f ca="1">C3/O9</f>
        <v>16.413265794084303</v>
      </c>
      <c r="Q9" s="27">
        <f ca="1">R46</f>
        <v>29.964822697207254</v>
      </c>
      <c r="R9" s="28">
        <f>R3-N3</f>
        <v>-271</v>
      </c>
      <c r="S9" s="28">
        <f>R3-J3</f>
        <v>2872</v>
      </c>
      <c r="T9" s="28">
        <f>R3-V3</f>
        <v>3471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ht="15.75" customHeight="1" x14ac:dyDescent="0.3">
      <c r="B10" s="30"/>
      <c r="C10" s="30"/>
      <c r="D10" s="30"/>
      <c r="E10" s="30"/>
      <c r="F10" s="30"/>
      <c r="G10" s="19"/>
      <c r="H10" s="19"/>
      <c r="I10" s="19"/>
      <c r="J10" s="19"/>
      <c r="K10" s="31"/>
      <c r="L10" s="31"/>
      <c r="M10" s="31"/>
      <c r="N10" s="31"/>
      <c r="O10" s="19"/>
      <c r="P10" s="19"/>
      <c r="Q10" s="19"/>
      <c r="R10" s="19"/>
      <c r="T10" s="4"/>
      <c r="U10" s="4"/>
      <c r="V10" s="4"/>
      <c r="W10" s="4"/>
    </row>
    <row r="11" spans="1:32" ht="15.75" customHeight="1" x14ac:dyDescent="0.3">
      <c r="A11" s="32" t="s">
        <v>51</v>
      </c>
      <c r="B11" s="33" t="s">
        <v>52</v>
      </c>
      <c r="C11" s="33" t="s">
        <v>53</v>
      </c>
      <c r="D11" s="33" t="s">
        <v>54</v>
      </c>
      <c r="E11" s="33" t="s">
        <v>10</v>
      </c>
      <c r="F11" s="33" t="s">
        <v>55</v>
      </c>
      <c r="G11" s="33" t="s">
        <v>56</v>
      </c>
      <c r="H11" s="33" t="s">
        <v>57</v>
      </c>
      <c r="I11" s="34" t="s">
        <v>58</v>
      </c>
      <c r="J11" s="34" t="s">
        <v>59</v>
      </c>
      <c r="K11" s="34" t="s">
        <v>60</v>
      </c>
      <c r="L11" s="34" t="s">
        <v>61</v>
      </c>
      <c r="M11" s="33" t="s">
        <v>62</v>
      </c>
      <c r="N11" s="33" t="s">
        <v>63</v>
      </c>
      <c r="O11" s="33" t="s">
        <v>64</v>
      </c>
      <c r="P11" s="33" t="s">
        <v>65</v>
      </c>
      <c r="W11" s="4"/>
    </row>
    <row r="12" spans="1:32" ht="15.75" customHeight="1" x14ac:dyDescent="0.3">
      <c r="B12" s="35">
        <v>37346</v>
      </c>
      <c r="C12" s="36">
        <v>492</v>
      </c>
      <c r="D12" s="37">
        <v>52</v>
      </c>
      <c r="E12" s="38">
        <v>20.65</v>
      </c>
      <c r="F12" s="39">
        <f t="shared" ref="F12:F36" si="3">D12/C12</f>
        <v>0.10569105691056911</v>
      </c>
      <c r="G12" s="37">
        <v>25</v>
      </c>
      <c r="H12" s="40">
        <v>235</v>
      </c>
      <c r="I12" s="41">
        <v>141.5</v>
      </c>
      <c r="J12" s="41">
        <v>200</v>
      </c>
      <c r="K12" s="41">
        <f t="shared" ref="K12:K36" si="4">I12/E12</f>
        <v>6.8523002421307515</v>
      </c>
      <c r="L12" s="41">
        <f t="shared" ref="L12:L36" si="5">J12/E12</f>
        <v>9.6852300242130749</v>
      </c>
      <c r="M12" s="42">
        <f t="shared" ref="M12:M15" si="6">(G12+H12)/(G12/10)</f>
        <v>104</v>
      </c>
      <c r="N12" s="43">
        <f t="shared" ref="N12:N36" si="7">I12/M12</f>
        <v>1.3605769230769231</v>
      </c>
      <c r="O12" s="43">
        <f t="shared" ref="O12:O36" si="8">J12/M12</f>
        <v>1.9230769230769231</v>
      </c>
      <c r="P12" s="44">
        <v>30</v>
      </c>
      <c r="V12" s="1"/>
      <c r="W12" s="45"/>
    </row>
    <row r="13" spans="1:32" ht="15.75" customHeight="1" x14ac:dyDescent="0.3">
      <c r="B13" s="35">
        <v>37711</v>
      </c>
      <c r="C13" s="36">
        <v>457</v>
      </c>
      <c r="D13" s="37">
        <v>59</v>
      </c>
      <c r="E13" s="38">
        <v>23.5</v>
      </c>
      <c r="F13" s="39">
        <f t="shared" si="3"/>
        <v>0.12910284463894967</v>
      </c>
      <c r="G13" s="37">
        <v>25</v>
      </c>
      <c r="H13" s="40">
        <v>275</v>
      </c>
      <c r="I13" s="41">
        <v>173.25</v>
      </c>
      <c r="J13" s="41">
        <v>262.14999999999998</v>
      </c>
      <c r="K13" s="41">
        <f t="shared" si="4"/>
        <v>7.3723404255319149</v>
      </c>
      <c r="L13" s="41">
        <f t="shared" si="5"/>
        <v>11.155319148936169</v>
      </c>
      <c r="M13" s="42">
        <f t="shared" si="6"/>
        <v>120</v>
      </c>
      <c r="N13" s="43">
        <f t="shared" si="7"/>
        <v>1.4437500000000001</v>
      </c>
      <c r="O13" s="43">
        <f t="shared" si="8"/>
        <v>2.1845833333333333</v>
      </c>
      <c r="P13" s="44">
        <v>30</v>
      </c>
      <c r="T13" s="46"/>
      <c r="W13" s="47"/>
    </row>
    <row r="14" spans="1:32" ht="15.75" customHeight="1" x14ac:dyDescent="0.3">
      <c r="B14" s="35">
        <v>38077</v>
      </c>
      <c r="C14" s="36">
        <v>654</v>
      </c>
      <c r="D14" s="37">
        <v>62</v>
      </c>
      <c r="E14" s="38">
        <v>24.33</v>
      </c>
      <c r="F14" s="39">
        <f t="shared" si="3"/>
        <v>9.480122324159021E-2</v>
      </c>
      <c r="G14" s="37">
        <v>25</v>
      </c>
      <c r="H14" s="40">
        <v>284</v>
      </c>
      <c r="I14" s="41">
        <v>210.05</v>
      </c>
      <c r="J14" s="41">
        <v>415</v>
      </c>
      <c r="K14" s="41">
        <f t="shared" si="4"/>
        <v>8.6333744348540904</v>
      </c>
      <c r="L14" s="41">
        <f t="shared" si="5"/>
        <v>17.057131113851213</v>
      </c>
      <c r="M14" s="42">
        <f t="shared" si="6"/>
        <v>123.6</v>
      </c>
      <c r="N14" s="43">
        <f t="shared" si="7"/>
        <v>1.6994336569579289</v>
      </c>
      <c r="O14" s="43">
        <f t="shared" si="8"/>
        <v>3.3576051779935279</v>
      </c>
      <c r="P14" s="44">
        <v>30</v>
      </c>
      <c r="T14" s="46"/>
      <c r="W14" s="47"/>
    </row>
    <row r="15" spans="1:32" ht="15.75" customHeight="1" x14ac:dyDescent="0.3">
      <c r="B15" s="35">
        <v>38442</v>
      </c>
      <c r="C15" s="36">
        <v>770</v>
      </c>
      <c r="D15" s="37">
        <v>77</v>
      </c>
      <c r="E15" s="38">
        <v>30.34</v>
      </c>
      <c r="F15" s="39">
        <f t="shared" si="3"/>
        <v>0.1</v>
      </c>
      <c r="G15" s="37">
        <v>25</v>
      </c>
      <c r="H15" s="40">
        <v>332</v>
      </c>
      <c r="I15" s="41">
        <v>253</v>
      </c>
      <c r="J15" s="41">
        <v>462</v>
      </c>
      <c r="K15" s="41">
        <f t="shared" si="4"/>
        <v>8.3388266315095585</v>
      </c>
      <c r="L15" s="41">
        <f t="shared" si="5"/>
        <v>15.227422544495715</v>
      </c>
      <c r="M15" s="42">
        <f t="shared" si="6"/>
        <v>142.80000000000001</v>
      </c>
      <c r="N15" s="43">
        <f t="shared" si="7"/>
        <v>1.7717086834733893</v>
      </c>
      <c r="O15" s="43">
        <f t="shared" si="8"/>
        <v>3.2352941176470584</v>
      </c>
      <c r="P15" s="44">
        <v>30</v>
      </c>
      <c r="T15" s="46"/>
      <c r="W15" s="47"/>
    </row>
    <row r="16" spans="1:32" ht="15.75" customHeight="1" x14ac:dyDescent="0.25">
      <c r="A16" s="48" t="s">
        <v>66</v>
      </c>
      <c r="B16" s="35">
        <v>38807</v>
      </c>
      <c r="C16" s="36">
        <v>908</v>
      </c>
      <c r="D16" s="37">
        <v>91</v>
      </c>
      <c r="E16" s="38">
        <v>3.59</v>
      </c>
      <c r="F16" s="39">
        <f t="shared" si="3"/>
        <v>0.10022026431718062</v>
      </c>
      <c r="G16" s="37">
        <v>25</v>
      </c>
      <c r="H16" s="40">
        <v>387</v>
      </c>
      <c r="I16" s="41">
        <v>69.45</v>
      </c>
      <c r="J16" s="41">
        <v>748.8</v>
      </c>
      <c r="K16" s="41">
        <f t="shared" si="4"/>
        <v>19.34540389972145</v>
      </c>
      <c r="L16" s="41">
        <f t="shared" si="5"/>
        <v>208.57938718662953</v>
      </c>
      <c r="M16" s="42">
        <f t="shared" ref="M16:M36" si="9">(G16+H16)/(G16/1)</f>
        <v>16.48</v>
      </c>
      <c r="N16" s="43">
        <f t="shared" si="7"/>
        <v>4.2141990291262132</v>
      </c>
      <c r="O16" s="43">
        <f t="shared" si="8"/>
        <v>45.436893203883493</v>
      </c>
      <c r="P16" s="44">
        <v>30</v>
      </c>
      <c r="W16" s="49"/>
    </row>
    <row r="17" spans="1:32" ht="15.75" customHeight="1" x14ac:dyDescent="0.25">
      <c r="A17" s="48"/>
      <c r="B17" s="35">
        <v>39172</v>
      </c>
      <c r="C17" s="36">
        <v>1154</v>
      </c>
      <c r="D17" s="37">
        <v>120</v>
      </c>
      <c r="E17" s="38">
        <v>4.75</v>
      </c>
      <c r="F17" s="39">
        <f t="shared" si="3"/>
        <v>0.10398613518197573</v>
      </c>
      <c r="G17" s="37">
        <v>25</v>
      </c>
      <c r="H17" s="40">
        <v>462</v>
      </c>
      <c r="I17" s="41">
        <v>74.099999999999994</v>
      </c>
      <c r="J17" s="41">
        <v>144</v>
      </c>
      <c r="K17" s="41">
        <f t="shared" si="4"/>
        <v>15.6</v>
      </c>
      <c r="L17" s="41">
        <f t="shared" si="5"/>
        <v>30.315789473684209</v>
      </c>
      <c r="M17" s="42">
        <f t="shared" si="9"/>
        <v>19.48</v>
      </c>
      <c r="N17" s="43">
        <f t="shared" si="7"/>
        <v>3.8039014373716631</v>
      </c>
      <c r="O17" s="43">
        <f t="shared" si="8"/>
        <v>7.3921971252566729</v>
      </c>
      <c r="P17" s="41">
        <v>31.578947368421051</v>
      </c>
      <c r="T17" s="46"/>
      <c r="W17" s="49"/>
    </row>
    <row r="18" spans="1:32" ht="15.75" customHeight="1" x14ac:dyDescent="0.25">
      <c r="A18" s="48"/>
      <c r="B18" s="35">
        <v>39538</v>
      </c>
      <c r="C18" s="36">
        <v>1535</v>
      </c>
      <c r="D18" s="37">
        <v>188</v>
      </c>
      <c r="E18" s="38">
        <v>7.44</v>
      </c>
      <c r="F18" s="39">
        <f t="shared" si="3"/>
        <v>0.12247557003257328</v>
      </c>
      <c r="G18" s="37">
        <v>25</v>
      </c>
      <c r="H18" s="40">
        <v>614</v>
      </c>
      <c r="I18" s="41">
        <v>110.05</v>
      </c>
      <c r="J18" s="41">
        <v>220</v>
      </c>
      <c r="K18" s="41">
        <f t="shared" si="4"/>
        <v>14.791666666666666</v>
      </c>
      <c r="L18" s="41">
        <f t="shared" si="5"/>
        <v>29.569892473118276</v>
      </c>
      <c r="M18" s="42">
        <f t="shared" si="9"/>
        <v>25.56</v>
      </c>
      <c r="N18" s="43">
        <f t="shared" si="7"/>
        <v>4.3055555555555554</v>
      </c>
      <c r="O18" s="43">
        <f t="shared" si="8"/>
        <v>8.6071987480438192</v>
      </c>
      <c r="P18" s="41">
        <v>23.521505376344084</v>
      </c>
      <c r="T18" s="46"/>
      <c r="W18" s="49"/>
    </row>
    <row r="19" spans="1:32" ht="15.75" customHeight="1" x14ac:dyDescent="0.25">
      <c r="A19" s="48"/>
      <c r="B19" s="35">
        <v>39903</v>
      </c>
      <c r="C19" s="36">
        <v>1784</v>
      </c>
      <c r="D19" s="37">
        <v>147</v>
      </c>
      <c r="E19" s="38">
        <v>5.78</v>
      </c>
      <c r="F19" s="39">
        <f t="shared" si="3"/>
        <v>8.2399103139013455E-2</v>
      </c>
      <c r="G19" s="37">
        <v>25</v>
      </c>
      <c r="H19" s="40">
        <v>708</v>
      </c>
      <c r="I19" s="41">
        <v>75.150000000000006</v>
      </c>
      <c r="J19" s="41">
        <v>155.9</v>
      </c>
      <c r="K19" s="41">
        <f t="shared" si="4"/>
        <v>13.00173010380623</v>
      </c>
      <c r="L19" s="41">
        <f t="shared" si="5"/>
        <v>26.972318339100347</v>
      </c>
      <c r="M19" s="42">
        <f t="shared" si="9"/>
        <v>29.32</v>
      </c>
      <c r="N19" s="43">
        <f t="shared" si="7"/>
        <v>2.5630968622100956</v>
      </c>
      <c r="O19" s="43">
        <f t="shared" si="8"/>
        <v>5.3171896316507503</v>
      </c>
      <c r="P19" s="41">
        <v>30.276816608996537</v>
      </c>
      <c r="V19" s="1"/>
      <c r="W19" s="49"/>
    </row>
    <row r="20" spans="1:32" ht="15.75" customHeight="1" x14ac:dyDescent="0.25">
      <c r="A20" s="48" t="s">
        <v>67</v>
      </c>
      <c r="B20" s="35">
        <v>40268</v>
      </c>
      <c r="C20" s="36">
        <v>1850</v>
      </c>
      <c r="D20" s="37">
        <v>289</v>
      </c>
      <c r="E20" s="38">
        <v>5.8</v>
      </c>
      <c r="F20" s="39">
        <f t="shared" si="3"/>
        <v>0.1562162162162162</v>
      </c>
      <c r="G20" s="50">
        <v>51</v>
      </c>
      <c r="H20" s="40">
        <v>888</v>
      </c>
      <c r="I20" s="41">
        <v>83.5</v>
      </c>
      <c r="J20" s="41">
        <v>244.75</v>
      </c>
      <c r="K20" s="41">
        <f t="shared" si="4"/>
        <v>14.396551724137931</v>
      </c>
      <c r="L20" s="41">
        <f t="shared" si="5"/>
        <v>42.198275862068968</v>
      </c>
      <c r="M20" s="42">
        <f t="shared" si="9"/>
        <v>18.411764705882351</v>
      </c>
      <c r="N20" s="43">
        <f t="shared" si="7"/>
        <v>4.5351437699680517</v>
      </c>
      <c r="O20" s="43">
        <f t="shared" si="8"/>
        <v>13.293130990415337</v>
      </c>
      <c r="P20" s="41">
        <v>25.862068965517242</v>
      </c>
    </row>
    <row r="21" spans="1:32" ht="15.75" customHeight="1" x14ac:dyDescent="0.25">
      <c r="B21" s="35">
        <v>40633</v>
      </c>
      <c r="C21" s="36">
        <v>2381</v>
      </c>
      <c r="D21" s="37">
        <v>304</v>
      </c>
      <c r="E21" s="38">
        <v>6</v>
      </c>
      <c r="F21" s="39">
        <f t="shared" si="3"/>
        <v>0.12767744645107099</v>
      </c>
      <c r="G21" s="37">
        <v>51</v>
      </c>
      <c r="H21" s="40">
        <v>1088</v>
      </c>
      <c r="I21" s="41">
        <v>105.85</v>
      </c>
      <c r="J21" s="41">
        <v>159.65</v>
      </c>
      <c r="K21" s="41">
        <f t="shared" si="4"/>
        <v>17.641666666666666</v>
      </c>
      <c r="L21" s="41">
        <f t="shared" si="5"/>
        <v>26.608333333333334</v>
      </c>
      <c r="M21" s="42">
        <f t="shared" si="9"/>
        <v>22.333333333333332</v>
      </c>
      <c r="N21" s="43">
        <f t="shared" si="7"/>
        <v>4.7395522388059703</v>
      </c>
      <c r="O21" s="43">
        <f t="shared" si="8"/>
        <v>7.1485074626865677</v>
      </c>
      <c r="P21" s="41">
        <v>29.166666666666668</v>
      </c>
    </row>
    <row r="22" spans="1:32" ht="15.75" customHeight="1" x14ac:dyDescent="0.25">
      <c r="B22" s="35">
        <v>40999</v>
      </c>
      <c r="C22" s="36">
        <v>2816</v>
      </c>
      <c r="D22" s="37">
        <v>335</v>
      </c>
      <c r="E22" s="38">
        <v>6.59</v>
      </c>
      <c r="F22" s="39">
        <f t="shared" si="3"/>
        <v>0.11896306818181818</v>
      </c>
      <c r="G22" s="37">
        <v>51</v>
      </c>
      <c r="H22" s="40">
        <v>1321</v>
      </c>
      <c r="I22" s="41">
        <v>133.55000000000001</v>
      </c>
      <c r="J22" s="41">
        <v>183.1</v>
      </c>
      <c r="K22" s="41">
        <f t="shared" si="4"/>
        <v>20.265553869499243</v>
      </c>
      <c r="L22" s="41">
        <f t="shared" si="5"/>
        <v>27.784522003034901</v>
      </c>
      <c r="M22" s="42">
        <f t="shared" si="9"/>
        <v>26.901960784313726</v>
      </c>
      <c r="N22" s="43">
        <f t="shared" si="7"/>
        <v>4.9643221574344025</v>
      </c>
      <c r="O22" s="43">
        <f t="shared" si="8"/>
        <v>6.8061953352769677</v>
      </c>
      <c r="P22" s="41">
        <v>28.83156297420334</v>
      </c>
    </row>
    <row r="23" spans="1:32" ht="15.75" customHeight="1" x14ac:dyDescent="0.25">
      <c r="B23" s="35">
        <v>41364</v>
      </c>
      <c r="C23" s="36">
        <v>3332</v>
      </c>
      <c r="D23" s="37">
        <v>461</v>
      </c>
      <c r="E23" s="38">
        <v>9.0399999999999991</v>
      </c>
      <c r="F23" s="39">
        <f t="shared" si="3"/>
        <v>0.13835534213685474</v>
      </c>
      <c r="G23" s="37">
        <v>51</v>
      </c>
      <c r="H23" s="40">
        <v>1681</v>
      </c>
      <c r="I23" s="41">
        <v>154.25</v>
      </c>
      <c r="J23" s="41">
        <v>278</v>
      </c>
      <c r="K23" s="41">
        <f t="shared" si="4"/>
        <v>17.063053097345133</v>
      </c>
      <c r="L23" s="41">
        <f t="shared" si="5"/>
        <v>30.752212389380535</v>
      </c>
      <c r="M23" s="42">
        <f t="shared" si="9"/>
        <v>33.96078431372549</v>
      </c>
      <c r="N23" s="43">
        <f t="shared" si="7"/>
        <v>4.5420034642032334</v>
      </c>
      <c r="O23" s="43">
        <f t="shared" si="8"/>
        <v>8.1859122401847575</v>
      </c>
      <c r="P23" s="41">
        <v>28.761061946902657</v>
      </c>
      <c r="Z23" s="1"/>
      <c r="AA23" s="1"/>
      <c r="AB23" s="1"/>
      <c r="AC23" s="1"/>
      <c r="AD23" s="1"/>
      <c r="AE23" s="1"/>
      <c r="AF23" s="1"/>
    </row>
    <row r="24" spans="1:32" ht="15.75" customHeight="1" x14ac:dyDescent="0.25">
      <c r="B24" s="35">
        <v>41729</v>
      </c>
      <c r="C24" s="36">
        <v>3878</v>
      </c>
      <c r="D24" s="37">
        <v>469</v>
      </c>
      <c r="E24" s="38">
        <v>9.14</v>
      </c>
      <c r="F24" s="39">
        <f t="shared" si="3"/>
        <v>0.12093862815884476</v>
      </c>
      <c r="G24" s="37">
        <v>51</v>
      </c>
      <c r="H24" s="40">
        <v>1901</v>
      </c>
      <c r="I24" s="41">
        <v>219.7</v>
      </c>
      <c r="J24" s="41">
        <v>314</v>
      </c>
      <c r="K24" s="41">
        <f t="shared" si="4"/>
        <v>24.037199124726474</v>
      </c>
      <c r="L24" s="41">
        <f t="shared" si="5"/>
        <v>34.354485776805248</v>
      </c>
      <c r="M24" s="42">
        <f t="shared" si="9"/>
        <v>38.274509803921568</v>
      </c>
      <c r="N24" s="43">
        <f t="shared" si="7"/>
        <v>5.7401127049180323</v>
      </c>
      <c r="O24" s="43">
        <f t="shared" si="8"/>
        <v>8.2038934426229506</v>
      </c>
      <c r="P24" s="41">
        <v>29.540481400437635</v>
      </c>
      <c r="Z24" s="1"/>
      <c r="AA24" s="46"/>
      <c r="AB24" s="46"/>
      <c r="AC24" s="46"/>
      <c r="AD24" s="46"/>
      <c r="AE24" s="46"/>
      <c r="AF24" s="46"/>
    </row>
    <row r="25" spans="1:32" ht="15.75" customHeight="1" x14ac:dyDescent="0.25">
      <c r="B25" s="35">
        <v>42094</v>
      </c>
      <c r="C25" s="36">
        <v>4398</v>
      </c>
      <c r="D25" s="37">
        <v>502</v>
      </c>
      <c r="E25" s="38">
        <v>9.7899999999999991</v>
      </c>
      <c r="F25" s="39">
        <f t="shared" si="3"/>
        <v>0.11414279217826284</v>
      </c>
      <c r="G25" s="37">
        <v>51</v>
      </c>
      <c r="H25" s="40">
        <v>2219</v>
      </c>
      <c r="I25" s="41">
        <v>286.39999999999998</v>
      </c>
      <c r="J25" s="41">
        <v>637.54999999999995</v>
      </c>
      <c r="K25" s="41">
        <f t="shared" si="4"/>
        <v>29.254341164453525</v>
      </c>
      <c r="L25" s="41">
        <f t="shared" si="5"/>
        <v>65.122574055158324</v>
      </c>
      <c r="M25" s="42">
        <f t="shared" si="9"/>
        <v>44.509803921568626</v>
      </c>
      <c r="N25" s="43">
        <f t="shared" si="7"/>
        <v>6.4345374449339205</v>
      </c>
      <c r="O25" s="43">
        <f t="shared" si="8"/>
        <v>14.323810572687224</v>
      </c>
      <c r="P25" s="41">
        <v>29.622063329928501</v>
      </c>
      <c r="Z25" s="1"/>
      <c r="AA25" s="46"/>
      <c r="AB25" s="46"/>
      <c r="AC25" s="46"/>
      <c r="AD25" s="46"/>
      <c r="AE25" s="46"/>
      <c r="AF25" s="46"/>
    </row>
    <row r="26" spans="1:32" ht="15.75" customHeight="1" x14ac:dyDescent="0.25">
      <c r="B26" s="35">
        <v>42460</v>
      </c>
      <c r="C26" s="36">
        <v>4735</v>
      </c>
      <c r="D26" s="37">
        <v>703</v>
      </c>
      <c r="E26" s="38">
        <v>13.71</v>
      </c>
      <c r="F26" s="39">
        <f t="shared" si="3"/>
        <v>0.1484688489968321</v>
      </c>
      <c r="G26" s="37">
        <v>51</v>
      </c>
      <c r="H26" s="40">
        <v>2587</v>
      </c>
      <c r="I26" s="41">
        <v>507.5</v>
      </c>
      <c r="J26" s="41">
        <v>647.54999999999995</v>
      </c>
      <c r="K26" s="41">
        <f t="shared" si="4"/>
        <v>37.016776075857038</v>
      </c>
      <c r="L26" s="41">
        <f t="shared" si="5"/>
        <v>47.231947483588613</v>
      </c>
      <c r="M26" s="42">
        <f t="shared" si="9"/>
        <v>51.725490196078432</v>
      </c>
      <c r="N26" s="43">
        <f t="shared" si="7"/>
        <v>9.8114101592115244</v>
      </c>
      <c r="O26" s="43">
        <f t="shared" si="8"/>
        <v>12.518972706595905</v>
      </c>
      <c r="P26" s="41">
        <v>30.269876002917581</v>
      </c>
      <c r="Z26" s="1"/>
      <c r="AA26" s="46"/>
      <c r="AB26" s="46"/>
      <c r="AC26" s="46"/>
      <c r="AD26" s="46"/>
      <c r="AE26" s="46"/>
      <c r="AF26" s="46"/>
    </row>
    <row r="27" spans="1:32" ht="15.75" customHeight="1" x14ac:dyDescent="0.25">
      <c r="B27" s="35">
        <v>42825</v>
      </c>
      <c r="C27" s="36">
        <v>5299</v>
      </c>
      <c r="D27" s="37">
        <v>774</v>
      </c>
      <c r="E27" s="38">
        <v>15.09</v>
      </c>
      <c r="F27" s="39">
        <f t="shared" si="3"/>
        <v>0.14606529533874316</v>
      </c>
      <c r="G27" s="37">
        <v>51</v>
      </c>
      <c r="H27" s="40">
        <v>3420</v>
      </c>
      <c r="I27" s="41">
        <v>568.75</v>
      </c>
      <c r="J27" s="41">
        <v>769.5</v>
      </c>
      <c r="K27" s="41">
        <f t="shared" si="4"/>
        <v>37.690523525513584</v>
      </c>
      <c r="L27" s="41">
        <f t="shared" si="5"/>
        <v>50.994035785288268</v>
      </c>
      <c r="M27" s="42">
        <f t="shared" si="9"/>
        <v>68.058823529411768</v>
      </c>
      <c r="N27" s="43">
        <f t="shared" si="7"/>
        <v>8.3567415730337071</v>
      </c>
      <c r="O27" s="43">
        <f t="shared" si="8"/>
        <v>11.306395851339671</v>
      </c>
      <c r="P27" s="41">
        <v>31.477799867461897</v>
      </c>
      <c r="Z27" s="1"/>
      <c r="AA27" s="46"/>
      <c r="AB27" s="46"/>
      <c r="AC27" s="46"/>
      <c r="AD27" s="46"/>
      <c r="AE27" s="46"/>
      <c r="AF27" s="46"/>
    </row>
    <row r="28" spans="1:32" ht="15.75" customHeight="1" x14ac:dyDescent="0.25">
      <c r="B28" s="35">
        <v>43190</v>
      </c>
      <c r="C28" s="36">
        <v>5491</v>
      </c>
      <c r="D28" s="37">
        <v>955</v>
      </c>
      <c r="E28" s="38">
        <v>18.809999999999999</v>
      </c>
      <c r="F28" s="39">
        <f t="shared" si="3"/>
        <v>0.17392096157348388</v>
      </c>
      <c r="G28" s="37">
        <v>51</v>
      </c>
      <c r="H28" s="40">
        <v>3523</v>
      </c>
      <c r="I28" s="41">
        <v>696.1</v>
      </c>
      <c r="J28" s="41">
        <v>972</v>
      </c>
      <c r="K28" s="41">
        <f t="shared" si="4"/>
        <v>37.006911217437533</v>
      </c>
      <c r="L28" s="41">
        <f t="shared" si="5"/>
        <v>51.674641148325364</v>
      </c>
      <c r="M28" s="42">
        <f t="shared" si="9"/>
        <v>70.078431372549019</v>
      </c>
      <c r="N28" s="43">
        <f t="shared" si="7"/>
        <v>9.9331561275881377</v>
      </c>
      <c r="O28" s="43">
        <f t="shared" si="8"/>
        <v>13.87017347509793</v>
      </c>
      <c r="P28" s="41">
        <v>31.897926634768741</v>
      </c>
      <c r="X28" s="1"/>
      <c r="Y28" s="1"/>
      <c r="Z28" s="1"/>
      <c r="AA28" s="46"/>
      <c r="AB28" s="46"/>
      <c r="AC28" s="46"/>
      <c r="AD28" s="46"/>
      <c r="AE28" s="46"/>
      <c r="AF28" s="46"/>
    </row>
    <row r="29" spans="1:32" ht="15.75" customHeight="1" x14ac:dyDescent="0.25">
      <c r="B29" s="35">
        <v>43555</v>
      </c>
      <c r="C29" s="36">
        <v>7078</v>
      </c>
      <c r="D29" s="37">
        <v>928</v>
      </c>
      <c r="E29" s="38">
        <v>18.21</v>
      </c>
      <c r="F29" s="39">
        <f t="shared" si="3"/>
        <v>0.13111048318734106</v>
      </c>
      <c r="G29" s="37">
        <v>51</v>
      </c>
      <c r="H29" s="40">
        <v>4097</v>
      </c>
      <c r="I29" s="41">
        <v>732</v>
      </c>
      <c r="J29" s="41">
        <v>1152</v>
      </c>
      <c r="K29" s="41">
        <f t="shared" si="4"/>
        <v>40.197693574958812</v>
      </c>
      <c r="L29" s="41">
        <f t="shared" si="5"/>
        <v>63.261943986820427</v>
      </c>
      <c r="M29" s="42">
        <f t="shared" si="9"/>
        <v>81.333333333333329</v>
      </c>
      <c r="N29" s="43">
        <f t="shared" si="7"/>
        <v>9</v>
      </c>
      <c r="O29" s="43">
        <f t="shared" si="8"/>
        <v>14.16393442622951</v>
      </c>
      <c r="P29" s="41">
        <v>35.694673256452496</v>
      </c>
      <c r="X29" s="1"/>
      <c r="Y29" s="51"/>
      <c r="Z29" s="51"/>
      <c r="AA29" s="46"/>
      <c r="AB29" s="46"/>
      <c r="AC29" s="46"/>
      <c r="AD29" s="46"/>
      <c r="AE29" s="46"/>
      <c r="AF29" s="46"/>
    </row>
    <row r="30" spans="1:32" ht="15.75" customHeight="1" x14ac:dyDescent="0.25">
      <c r="B30" s="35">
        <v>43921</v>
      </c>
      <c r="C30" s="36">
        <v>7295</v>
      </c>
      <c r="D30" s="44">
        <v>1122</v>
      </c>
      <c r="E30" s="38">
        <v>21.98</v>
      </c>
      <c r="F30" s="39">
        <f t="shared" si="3"/>
        <v>0.15380397532556545</v>
      </c>
      <c r="G30" s="37">
        <v>51</v>
      </c>
      <c r="H30" s="40">
        <v>4405</v>
      </c>
      <c r="I30" s="41">
        <v>1384</v>
      </c>
      <c r="J30" s="41">
        <v>1532</v>
      </c>
      <c r="K30" s="41">
        <f t="shared" si="4"/>
        <v>62.966333030027293</v>
      </c>
      <c r="L30" s="41">
        <f t="shared" si="5"/>
        <v>69.699727024567792</v>
      </c>
      <c r="M30" s="42">
        <f t="shared" si="9"/>
        <v>87.372549019607845</v>
      </c>
      <c r="N30" s="43">
        <f t="shared" si="7"/>
        <v>15.840215439856372</v>
      </c>
      <c r="O30" s="43">
        <f t="shared" si="8"/>
        <v>17.534111310592458</v>
      </c>
      <c r="P30" s="41">
        <v>31.847133757961782</v>
      </c>
      <c r="T30" s="1"/>
      <c r="U30" s="1"/>
      <c r="Y30" s="51"/>
      <c r="Z30" s="51"/>
      <c r="AA30" s="46"/>
      <c r="AB30" s="46"/>
      <c r="AC30" s="46"/>
      <c r="AD30" s="46"/>
      <c r="AE30" s="46"/>
      <c r="AF30" s="46"/>
    </row>
    <row r="31" spans="1:32" ht="15.75" customHeight="1" x14ac:dyDescent="0.25">
      <c r="B31" s="35">
        <v>44286</v>
      </c>
      <c r="C31" s="36">
        <v>7293</v>
      </c>
      <c r="D31" s="44">
        <v>1126</v>
      </c>
      <c r="E31" s="38">
        <v>22.26</v>
      </c>
      <c r="F31" s="39">
        <f t="shared" si="3"/>
        <v>0.15439462498286027</v>
      </c>
      <c r="G31" s="37">
        <v>51</v>
      </c>
      <c r="H31" s="40">
        <v>5542</v>
      </c>
      <c r="I31" s="41">
        <v>1196</v>
      </c>
      <c r="J31" s="41">
        <v>1842</v>
      </c>
      <c r="K31" s="41">
        <f t="shared" si="4"/>
        <v>53.728661275831087</v>
      </c>
      <c r="L31" s="41">
        <f t="shared" si="5"/>
        <v>82.749326145552558</v>
      </c>
      <c r="M31" s="42">
        <f t="shared" si="9"/>
        <v>109.66666666666667</v>
      </c>
      <c r="N31" s="43">
        <f t="shared" si="7"/>
        <v>10.905775075987842</v>
      </c>
      <c r="O31" s="43">
        <f t="shared" si="8"/>
        <v>16.796352583586625</v>
      </c>
      <c r="P31" s="41">
        <v>38.185085354896671</v>
      </c>
    </row>
    <row r="32" spans="1:32" ht="15.75" customHeight="1" x14ac:dyDescent="0.25">
      <c r="B32" s="35">
        <v>44651</v>
      </c>
      <c r="C32" s="36">
        <v>9921</v>
      </c>
      <c r="D32" s="44">
        <v>1207</v>
      </c>
      <c r="E32" s="38">
        <v>23.76</v>
      </c>
      <c r="F32" s="39">
        <f t="shared" si="3"/>
        <v>0.12166112287067836</v>
      </c>
      <c r="G32" s="37">
        <v>51</v>
      </c>
      <c r="H32" s="40">
        <v>6353</v>
      </c>
      <c r="I32" s="41">
        <v>1753</v>
      </c>
      <c r="J32" s="41">
        <v>2765</v>
      </c>
      <c r="K32" s="41">
        <f t="shared" si="4"/>
        <v>73.779461279461273</v>
      </c>
      <c r="L32" s="41">
        <f t="shared" si="5"/>
        <v>116.37205387205387</v>
      </c>
      <c r="M32" s="42">
        <f t="shared" si="9"/>
        <v>125.56862745098039</v>
      </c>
      <c r="N32" s="43">
        <f t="shared" si="7"/>
        <v>13.960493441599001</v>
      </c>
      <c r="O32" s="43">
        <f t="shared" si="8"/>
        <v>22.019831355402875</v>
      </c>
      <c r="P32" s="41">
        <v>42.087542087542083</v>
      </c>
    </row>
    <row r="33" spans="1:32" ht="15.75" customHeight="1" x14ac:dyDescent="0.25">
      <c r="B33" s="35">
        <v>45016</v>
      </c>
      <c r="C33" s="40">
        <v>11848</v>
      </c>
      <c r="D33" s="40">
        <v>1288</v>
      </c>
      <c r="E33" s="40">
        <v>25.1</v>
      </c>
      <c r="F33" s="39">
        <f t="shared" si="3"/>
        <v>0.10871033085752869</v>
      </c>
      <c r="G33" s="40">
        <v>51</v>
      </c>
      <c r="H33" s="40">
        <v>7161</v>
      </c>
      <c r="I33" s="40">
        <v>1988</v>
      </c>
      <c r="J33" s="40">
        <v>2918</v>
      </c>
      <c r="K33" s="41">
        <f t="shared" si="4"/>
        <v>79.20318725099601</v>
      </c>
      <c r="L33" s="41">
        <f t="shared" si="5"/>
        <v>116.25498007968127</v>
      </c>
      <c r="M33" s="42">
        <f t="shared" si="9"/>
        <v>141.41176470588235</v>
      </c>
      <c r="N33" s="43">
        <f t="shared" si="7"/>
        <v>14.058236272878537</v>
      </c>
      <c r="O33" s="43">
        <f t="shared" si="8"/>
        <v>20.634775374376041</v>
      </c>
      <c r="P33" s="41">
        <v>43.82470119521912</v>
      </c>
    </row>
    <row r="34" spans="1:32" ht="15.75" customHeight="1" x14ac:dyDescent="0.25">
      <c r="B34" s="35">
        <v>45382</v>
      </c>
      <c r="C34" s="40">
        <v>12383</v>
      </c>
      <c r="D34" s="40">
        <v>1747</v>
      </c>
      <c r="E34" s="43">
        <v>34.01</v>
      </c>
      <c r="F34" s="39">
        <f t="shared" si="3"/>
        <v>0.14108051360736493</v>
      </c>
      <c r="G34" s="42">
        <v>50.86</v>
      </c>
      <c r="H34" s="40">
        <v>8356</v>
      </c>
      <c r="I34" s="40">
        <v>2293</v>
      </c>
      <c r="J34" s="40">
        <v>3037</v>
      </c>
      <c r="K34" s="41">
        <f t="shared" si="4"/>
        <v>67.421346662746259</v>
      </c>
      <c r="L34" s="41">
        <f t="shared" si="5"/>
        <v>89.297265510144086</v>
      </c>
      <c r="M34" s="42">
        <f t="shared" si="9"/>
        <v>165.29414077860795</v>
      </c>
      <c r="N34" s="43">
        <f t="shared" si="7"/>
        <v>13.872240051576926</v>
      </c>
      <c r="O34" s="43">
        <f t="shared" si="8"/>
        <v>18.37330703734807</v>
      </c>
      <c r="P34" s="41">
        <v>47.044986768597475</v>
      </c>
    </row>
    <row r="35" spans="1:32" ht="15.75" customHeight="1" x14ac:dyDescent="0.25">
      <c r="B35" s="35">
        <v>45747</v>
      </c>
      <c r="C35" s="40">
        <v>13140</v>
      </c>
      <c r="D35" s="40">
        <v>2096</v>
      </c>
      <c r="E35" s="43">
        <v>40.82</v>
      </c>
      <c r="F35" s="39">
        <f t="shared" si="3"/>
        <v>0.15951293759512938</v>
      </c>
      <c r="G35" s="42">
        <v>50.86</v>
      </c>
      <c r="H35" s="40">
        <v>9704</v>
      </c>
      <c r="I35" s="40">
        <v>2622</v>
      </c>
      <c r="J35" s="40">
        <v>3415</v>
      </c>
      <c r="K35" s="41">
        <f t="shared" si="4"/>
        <v>64.233219010289076</v>
      </c>
      <c r="L35" s="41">
        <f t="shared" si="5"/>
        <v>83.659970602645757</v>
      </c>
      <c r="M35" s="42">
        <f t="shared" si="9"/>
        <v>191.79826976012586</v>
      </c>
      <c r="N35" s="43">
        <f t="shared" si="7"/>
        <v>13.670613417311984</v>
      </c>
      <c r="O35" s="43">
        <f t="shared" si="8"/>
        <v>17.805165835286203</v>
      </c>
      <c r="P35" s="41">
        <v>48.99559039686428</v>
      </c>
    </row>
    <row r="36" spans="1:32" ht="15.75" customHeight="1" x14ac:dyDescent="0.25">
      <c r="B36" s="33" t="s">
        <v>68</v>
      </c>
      <c r="C36" s="40">
        <f>C35+C50-D50</f>
        <v>13498</v>
      </c>
      <c r="D36" s="40">
        <f>D35+C54-D54</f>
        <v>2203</v>
      </c>
      <c r="E36" s="43">
        <f>M45</f>
        <v>42.89</v>
      </c>
      <c r="F36" s="39">
        <f t="shared" si="3"/>
        <v>0.16320936435027411</v>
      </c>
      <c r="G36" s="42">
        <v>50.86</v>
      </c>
      <c r="H36" s="40">
        <v>9704</v>
      </c>
      <c r="I36" s="40">
        <v>2787</v>
      </c>
      <c r="J36" s="40">
        <v>3135</v>
      </c>
      <c r="K36" s="41">
        <f t="shared" si="4"/>
        <v>64.980181860573566</v>
      </c>
      <c r="L36" s="41">
        <f t="shared" si="5"/>
        <v>73.093961296339472</v>
      </c>
      <c r="M36" s="42">
        <f t="shared" si="9"/>
        <v>191.79826976012586</v>
      </c>
      <c r="N36" s="43">
        <f t="shared" si="7"/>
        <v>14.530892293687453</v>
      </c>
      <c r="O36" s="43">
        <f t="shared" si="8"/>
        <v>16.345298651133895</v>
      </c>
      <c r="P36" s="41">
        <v>46.630916297505244</v>
      </c>
    </row>
    <row r="37" spans="1:32" ht="15.75" customHeight="1" x14ac:dyDescent="0.25">
      <c r="E37" s="52">
        <f>E35*20</f>
        <v>816.4</v>
      </c>
      <c r="F37" s="53"/>
      <c r="G37" s="54"/>
      <c r="I37" s="52">
        <f t="shared" ref="I37:J37" si="10">I35*20</f>
        <v>52440</v>
      </c>
      <c r="J37" s="52">
        <f t="shared" si="10"/>
        <v>68300</v>
      </c>
    </row>
    <row r="38" spans="1:32" ht="15.75" customHeight="1" x14ac:dyDescent="0.3">
      <c r="A38" s="32" t="s">
        <v>27</v>
      </c>
      <c r="B38" s="33" t="s">
        <v>52</v>
      </c>
      <c r="C38" s="33" t="s">
        <v>53</v>
      </c>
      <c r="D38" s="33" t="s">
        <v>54</v>
      </c>
      <c r="E38" s="33" t="s">
        <v>10</v>
      </c>
      <c r="F38" s="33" t="s">
        <v>55</v>
      </c>
      <c r="G38" s="33" t="s">
        <v>56</v>
      </c>
      <c r="H38" s="33" t="s">
        <v>57</v>
      </c>
      <c r="I38" s="34" t="s">
        <v>58</v>
      </c>
      <c r="J38" s="34" t="s">
        <v>59</v>
      </c>
      <c r="K38" s="34" t="s">
        <v>60</v>
      </c>
      <c r="L38" s="34" t="s">
        <v>61</v>
      </c>
      <c r="M38" s="33" t="s">
        <v>62</v>
      </c>
      <c r="N38" s="33" t="s">
        <v>63</v>
      </c>
      <c r="O38" s="33" t="s">
        <v>64</v>
      </c>
      <c r="P38" s="33" t="s">
        <v>65</v>
      </c>
    </row>
    <row r="39" spans="1:32" ht="15.75" customHeight="1" x14ac:dyDescent="0.25">
      <c r="B39" s="33" t="s">
        <v>69</v>
      </c>
      <c r="C39" s="55">
        <f t="shared" ref="C39:D39" si="11">(C35/C15)^(1/20)-1</f>
        <v>0.15240526029312407</v>
      </c>
      <c r="D39" s="55">
        <f t="shared" si="11"/>
        <v>0.1796278780761813</v>
      </c>
      <c r="E39" s="55">
        <f>((20*E35)/E15)^(1/20)-1</f>
        <v>0.17894724245785598</v>
      </c>
      <c r="F39" s="56">
        <f>MEDIAN(F15:F35)</f>
        <v>0.12767744645107099</v>
      </c>
      <c r="G39" s="55">
        <f t="shared" ref="G39:H39" si="12">(G35/G15)^(1/20)-1</f>
        <v>3.6148058002789751E-2</v>
      </c>
      <c r="H39" s="55">
        <f t="shared" si="12"/>
        <v>0.18383352665067121</v>
      </c>
      <c r="I39" s="55">
        <f t="shared" ref="I39:J39" si="13">((20*I35)/I15)^(1/20)-1</f>
        <v>0.30565100717157523</v>
      </c>
      <c r="J39" s="55">
        <f t="shared" si="13"/>
        <v>0.28377506605812908</v>
      </c>
      <c r="K39" s="12">
        <f t="shared" ref="K39:L39" si="14">MEDIAN(K15:K35)</f>
        <v>29.254341164453525</v>
      </c>
      <c r="L39" s="12">
        <f t="shared" si="14"/>
        <v>50.994035785288268</v>
      </c>
      <c r="M39" s="55">
        <f>((20*M35)/M15)^(1/20)-1</f>
        <v>0.17884667712307722</v>
      </c>
      <c r="N39" s="57">
        <f t="shared" ref="N39:P39" si="15">MEDIAN(N15:N35)</f>
        <v>6.4345374449339205</v>
      </c>
      <c r="O39" s="57">
        <f t="shared" si="15"/>
        <v>13.293130990415337</v>
      </c>
      <c r="P39" s="12">
        <f t="shared" si="15"/>
        <v>30.276816608996537</v>
      </c>
    </row>
    <row r="40" spans="1:32" ht="15.75" customHeight="1" x14ac:dyDescent="0.25">
      <c r="B40" s="33" t="s">
        <v>70</v>
      </c>
      <c r="C40" s="55">
        <f t="shared" ref="C40:E40" si="16">(C35/C25)^(1/10)-1</f>
        <v>0.11566552704867972</v>
      </c>
      <c r="D40" s="55">
        <f t="shared" si="16"/>
        <v>0.15363588331649658</v>
      </c>
      <c r="E40" s="55">
        <f t="shared" si="16"/>
        <v>0.15347724334465673</v>
      </c>
      <c r="F40" s="56">
        <f>MEDIAN(F25:F35)</f>
        <v>0.14606529533874316</v>
      </c>
      <c r="G40" s="55">
        <f t="shared" ref="G40:J40" si="17">(G35/G25)^(1/10)-1</f>
        <v>-2.7484949499045896E-4</v>
      </c>
      <c r="H40" s="55">
        <f t="shared" si="17"/>
        <v>0.15898909202027611</v>
      </c>
      <c r="I40" s="55">
        <f t="shared" si="17"/>
        <v>0.24786029793440756</v>
      </c>
      <c r="J40" s="55">
        <f t="shared" si="17"/>
        <v>0.18273553640239548</v>
      </c>
      <c r="K40" s="12">
        <f t="shared" ref="K40:L40" si="18">MEDIAN(K25:K35)</f>
        <v>53.728661275831087</v>
      </c>
      <c r="L40" s="12">
        <f t="shared" si="18"/>
        <v>69.699727024567792</v>
      </c>
      <c r="M40" s="55">
        <f>(M35/M25)^(1/10)-1</f>
        <v>0.15728120616485763</v>
      </c>
      <c r="N40" s="57">
        <f t="shared" ref="N40:P40" si="19">MEDIAN(N25:N35)</f>
        <v>10.905775075987842</v>
      </c>
      <c r="O40" s="57">
        <f t="shared" si="19"/>
        <v>16.796352583586625</v>
      </c>
      <c r="P40" s="12">
        <f t="shared" si="19"/>
        <v>35.694673256452496</v>
      </c>
    </row>
    <row r="41" spans="1:32" ht="15.75" customHeight="1" x14ac:dyDescent="0.25">
      <c r="B41" s="33" t="s">
        <v>71</v>
      </c>
      <c r="C41" s="55">
        <f t="shared" ref="C41:E41" si="20">(C35/C30)^(1/5)-1</f>
        <v>0.1249002513023505</v>
      </c>
      <c r="D41" s="55">
        <f t="shared" si="20"/>
        <v>0.13312986037411423</v>
      </c>
      <c r="E41" s="55">
        <f t="shared" si="20"/>
        <v>0.13179836563100178</v>
      </c>
      <c r="F41" s="56">
        <f>MEDIAN(F30:F35)</f>
        <v>0.1474422444664652</v>
      </c>
      <c r="G41" s="55">
        <f t="shared" ref="G41:J41" si="21">(G35/G30)^(1/5)-1</f>
        <v>-5.4962344773601401E-4</v>
      </c>
      <c r="H41" s="55">
        <f t="shared" si="21"/>
        <v>0.17111885999686427</v>
      </c>
      <c r="I41" s="55">
        <f t="shared" si="21"/>
        <v>0.13631651702161229</v>
      </c>
      <c r="J41" s="55">
        <f t="shared" si="21"/>
        <v>0.17388725789944703</v>
      </c>
      <c r="K41" s="12">
        <f t="shared" ref="K41:L41" si="22">MEDIAN(K30:K35)</f>
        <v>65.827282836517668</v>
      </c>
      <c r="L41" s="12">
        <f t="shared" si="22"/>
        <v>86.478618056394922</v>
      </c>
      <c r="M41" s="55">
        <f>(M35/M30)^(1/5)-1</f>
        <v>0.1702911903588229</v>
      </c>
      <c r="N41" s="57">
        <f t="shared" ref="N41:P41" si="23">MEDIAN(N30:N35)</f>
        <v>13.916366746587963</v>
      </c>
      <c r="O41" s="57">
        <f t="shared" si="23"/>
        <v>18.089236436317137</v>
      </c>
      <c r="P41" s="12">
        <f t="shared" si="23"/>
        <v>42.956121641380605</v>
      </c>
    </row>
    <row r="42" spans="1:32" ht="17.25" customHeight="1" x14ac:dyDescent="0.25">
      <c r="B42" s="33" t="s">
        <v>72</v>
      </c>
      <c r="C42" s="58">
        <f t="shared" ref="C42:E42" si="24">(C35/C34)-1</f>
        <v>6.1132197367358421E-2</v>
      </c>
      <c r="D42" s="58">
        <f t="shared" si="24"/>
        <v>0.19977103606182034</v>
      </c>
      <c r="E42" s="58">
        <f t="shared" si="24"/>
        <v>0.20023522493384305</v>
      </c>
      <c r="F42" s="59">
        <f>F35</f>
        <v>0.15951293759512938</v>
      </c>
      <c r="G42" s="58">
        <f t="shared" ref="G42:J42" si="25">(G35/G34)-1</f>
        <v>0</v>
      </c>
      <c r="H42" s="58">
        <f t="shared" si="25"/>
        <v>0.16132120631881275</v>
      </c>
      <c r="I42" s="58">
        <f t="shared" si="25"/>
        <v>0.14348015699956385</v>
      </c>
      <c r="J42" s="58">
        <f t="shared" si="25"/>
        <v>0.12446493249917689</v>
      </c>
      <c r="K42" s="60">
        <f t="shared" ref="K42:L42" si="26">K35</f>
        <v>64.233219010289076</v>
      </c>
      <c r="L42" s="60">
        <f t="shared" si="26"/>
        <v>83.659970602645757</v>
      </c>
      <c r="M42" s="58">
        <f>(M35/M34)-1</f>
        <v>0.16034524186200327</v>
      </c>
      <c r="N42" s="61">
        <f t="shared" ref="N42:P42" si="27">N35</f>
        <v>13.670613417311984</v>
      </c>
      <c r="O42" s="61">
        <f t="shared" si="27"/>
        <v>17.805165835286203</v>
      </c>
      <c r="P42" s="60">
        <f t="shared" si="27"/>
        <v>48.99559039686428</v>
      </c>
      <c r="AE42" s="62"/>
      <c r="AF42" s="62"/>
    </row>
    <row r="43" spans="1:32" ht="15.75" customHeight="1" x14ac:dyDescent="0.25">
      <c r="U43" s="63"/>
      <c r="V43" s="62"/>
      <c r="Z43" s="63"/>
      <c r="AA43" s="62"/>
      <c r="AE43" s="63"/>
      <c r="AF43" s="62"/>
    </row>
    <row r="44" spans="1:32" ht="15.75" customHeight="1" x14ac:dyDescent="0.25">
      <c r="A44" s="33" t="s">
        <v>73</v>
      </c>
      <c r="B44" s="33" t="s">
        <v>73</v>
      </c>
      <c r="C44" s="33" t="s">
        <v>74</v>
      </c>
      <c r="D44" s="33" t="s">
        <v>75</v>
      </c>
      <c r="E44" s="33" t="s">
        <v>76</v>
      </c>
      <c r="F44" s="33" t="s">
        <v>77</v>
      </c>
      <c r="G44" s="33" t="s">
        <v>78</v>
      </c>
      <c r="I44" s="33" t="s">
        <v>79</v>
      </c>
      <c r="J44" s="33" t="s">
        <v>80</v>
      </c>
      <c r="K44" s="33" t="s">
        <v>81</v>
      </c>
      <c r="L44" s="33" t="s">
        <v>77</v>
      </c>
      <c r="M44" s="33" t="s">
        <v>82</v>
      </c>
      <c r="O44" s="64" t="s">
        <v>83</v>
      </c>
      <c r="P44" s="64" t="s">
        <v>84</v>
      </c>
      <c r="Q44" s="64" t="s">
        <v>85</v>
      </c>
      <c r="R44" s="64" t="s">
        <v>47</v>
      </c>
    </row>
    <row r="45" spans="1:32" ht="15.75" customHeight="1" x14ac:dyDescent="0.3">
      <c r="B45" s="13" t="s">
        <v>86</v>
      </c>
      <c r="C45" s="65">
        <v>0.04</v>
      </c>
      <c r="D45" s="65">
        <v>0.05</v>
      </c>
      <c r="E45" s="65">
        <v>6.0999999999999999E-2</v>
      </c>
      <c r="F45" s="65">
        <v>0.105</v>
      </c>
      <c r="G45" s="65">
        <v>0.13</v>
      </c>
      <c r="I45" s="66">
        <v>10.51</v>
      </c>
      <c r="J45" s="66">
        <v>10.86</v>
      </c>
      <c r="K45" s="66">
        <v>8.3000000000000007</v>
      </c>
      <c r="L45" s="66">
        <v>13.22</v>
      </c>
      <c r="M45" s="66">
        <f>SUM(I44:L45)</f>
        <v>42.89</v>
      </c>
      <c r="O45" s="67">
        <v>40.82</v>
      </c>
      <c r="P45" s="68">
        <f>M45</f>
        <v>42.89</v>
      </c>
      <c r="Q45" s="69">
        <f>E65</f>
        <v>52.249600000000001</v>
      </c>
      <c r="R45" s="70"/>
    </row>
    <row r="46" spans="1:32" ht="15.75" customHeight="1" x14ac:dyDescent="0.3">
      <c r="B46" s="13" t="s">
        <v>87</v>
      </c>
      <c r="C46" s="65">
        <v>0.19</v>
      </c>
      <c r="D46" s="65">
        <v>0.16</v>
      </c>
      <c r="E46" s="65">
        <v>0.2</v>
      </c>
      <c r="F46" s="65">
        <v>0.19</v>
      </c>
      <c r="G46" s="65">
        <v>0.28000000000000003</v>
      </c>
      <c r="O46" s="64" t="s">
        <v>88</v>
      </c>
      <c r="P46" s="64" t="s">
        <v>89</v>
      </c>
      <c r="Q46" s="64" t="s">
        <v>90</v>
      </c>
      <c r="R46" s="71">
        <f ca="1">Q47/2</f>
        <v>29.964822697207254</v>
      </c>
    </row>
    <row r="47" spans="1:32" ht="15.75" customHeight="1" x14ac:dyDescent="0.3">
      <c r="B47" s="13" t="s">
        <v>91</v>
      </c>
      <c r="C47" s="72">
        <v>0.16800000000000001</v>
      </c>
      <c r="D47" s="72">
        <v>0.1668</v>
      </c>
      <c r="E47" s="72">
        <v>0.1595</v>
      </c>
      <c r="F47" s="72">
        <v>0.1807</v>
      </c>
      <c r="G47" s="72">
        <v>0.18099999999999999</v>
      </c>
      <c r="O47" s="73">
        <f>C4/O45</f>
        <v>69.794218520333175</v>
      </c>
      <c r="P47" s="73">
        <f ca="1">C3/P45</f>
        <v>73.007694101189088</v>
      </c>
      <c r="Q47" s="73">
        <f ca="1">C3/Q45</f>
        <v>59.929645394414507</v>
      </c>
      <c r="R47" s="70"/>
    </row>
    <row r="48" spans="1:32" ht="15.75" customHeight="1" x14ac:dyDescent="0.25"/>
    <row r="49" spans="1:24" ht="15.75" customHeight="1" x14ac:dyDescent="0.3">
      <c r="A49" s="2" t="s">
        <v>92</v>
      </c>
      <c r="B49" s="2" t="s">
        <v>93</v>
      </c>
      <c r="C49" s="2" t="s">
        <v>77</v>
      </c>
      <c r="D49" s="2" t="s">
        <v>94</v>
      </c>
      <c r="E49" s="3" t="s">
        <v>95</v>
      </c>
      <c r="G49" s="2" t="s">
        <v>93</v>
      </c>
      <c r="H49" s="2" t="s">
        <v>96</v>
      </c>
      <c r="I49" s="2" t="s">
        <v>97</v>
      </c>
      <c r="J49" s="2" t="s">
        <v>95</v>
      </c>
      <c r="L49" s="2" t="s">
        <v>93</v>
      </c>
      <c r="M49" s="2" t="s">
        <v>76</v>
      </c>
      <c r="N49" s="2" t="s">
        <v>98</v>
      </c>
      <c r="O49" s="2" t="s">
        <v>95</v>
      </c>
      <c r="Q49" s="2" t="s">
        <v>99</v>
      </c>
      <c r="R49" s="2" t="s">
        <v>77</v>
      </c>
      <c r="T49" s="2" t="s">
        <v>100</v>
      </c>
      <c r="U49" s="2" t="s">
        <v>77</v>
      </c>
      <c r="V49" s="2" t="s">
        <v>94</v>
      </c>
      <c r="W49" s="33" t="s">
        <v>101</v>
      </c>
      <c r="X49" s="33" t="s">
        <v>102</v>
      </c>
    </row>
    <row r="50" spans="1:24" ht="15.75" customHeight="1" x14ac:dyDescent="0.3">
      <c r="B50" s="74" t="s">
        <v>8</v>
      </c>
      <c r="C50" s="40">
        <v>3753</v>
      </c>
      <c r="D50" s="40">
        <v>3395</v>
      </c>
      <c r="E50" s="75">
        <f t="shared" ref="E50:E55" si="28">(C50/D50)-1</f>
        <v>0.10544918998527253</v>
      </c>
      <c r="G50" s="13" t="s">
        <v>8</v>
      </c>
      <c r="H50" s="40">
        <v>3141</v>
      </c>
      <c r="I50" s="40">
        <v>2902</v>
      </c>
      <c r="J50" s="65">
        <f t="shared" ref="J50:J54" si="29">(H50/I50)-1</f>
        <v>8.2356995175740799E-2</v>
      </c>
      <c r="L50" s="13" t="s">
        <v>8</v>
      </c>
      <c r="M50" s="40">
        <v>13140</v>
      </c>
      <c r="N50" s="40">
        <v>12382</v>
      </c>
      <c r="O50" s="72">
        <f t="shared" ref="O50:O54" si="30">(M50/N50)-1</f>
        <v>6.1217896947181494E-2</v>
      </c>
      <c r="Q50" s="40" t="s">
        <v>103</v>
      </c>
      <c r="R50" s="65">
        <v>0.53200000000000003</v>
      </c>
      <c r="T50" s="40" t="s">
        <v>104</v>
      </c>
      <c r="U50" s="40">
        <v>1393</v>
      </c>
      <c r="V50" s="40">
        <v>1327</v>
      </c>
      <c r="W50" s="76">
        <f t="shared" ref="W50:W56" si="31">U50/$U$58</f>
        <v>0.47656517276770444</v>
      </c>
      <c r="X50" s="77">
        <f t="shared" ref="X50:X56" si="32">(U50/V50)^(1/1)-1</f>
        <v>4.9736247174076764E-2</v>
      </c>
    </row>
    <row r="51" spans="1:24" ht="15.75" customHeight="1" x14ac:dyDescent="0.3">
      <c r="B51" s="74" t="s">
        <v>105</v>
      </c>
      <c r="C51" s="40">
        <v>2923</v>
      </c>
      <c r="D51" s="40">
        <v>2679</v>
      </c>
      <c r="E51" s="78">
        <f t="shared" si="28"/>
        <v>9.1078760731616359E-2</v>
      </c>
      <c r="G51" s="13" t="s">
        <v>105</v>
      </c>
      <c r="H51" s="40">
        <v>2620</v>
      </c>
      <c r="I51" s="40">
        <v>2451</v>
      </c>
      <c r="J51" s="65">
        <f t="shared" si="29"/>
        <v>6.8951448388412828E-2</v>
      </c>
      <c r="L51" s="13" t="s">
        <v>105</v>
      </c>
      <c r="M51" s="40">
        <v>10563</v>
      </c>
      <c r="N51" s="40">
        <v>10067</v>
      </c>
      <c r="O51" s="65">
        <f t="shared" si="30"/>
        <v>4.9269891725439496E-2</v>
      </c>
      <c r="Q51" s="40" t="s">
        <v>106</v>
      </c>
      <c r="R51" s="65">
        <v>0.222</v>
      </c>
      <c r="T51" s="40" t="s">
        <v>107</v>
      </c>
      <c r="U51" s="40">
        <v>207</v>
      </c>
      <c r="V51" s="40">
        <v>172</v>
      </c>
      <c r="W51" s="76">
        <f t="shared" si="31"/>
        <v>7.0817653096134109E-2</v>
      </c>
      <c r="X51" s="77">
        <f t="shared" si="32"/>
        <v>0.20348837209302317</v>
      </c>
    </row>
    <row r="52" spans="1:24" ht="15.75" customHeight="1" x14ac:dyDescent="0.3">
      <c r="B52" s="74" t="s">
        <v>108</v>
      </c>
      <c r="C52" s="40">
        <v>14</v>
      </c>
      <c r="D52" s="40">
        <v>12</v>
      </c>
      <c r="E52" s="78">
        <f t="shared" si="28"/>
        <v>0.16666666666666674</v>
      </c>
      <c r="G52" s="13" t="s">
        <v>108</v>
      </c>
      <c r="H52" s="40">
        <v>14</v>
      </c>
      <c r="I52" s="40">
        <v>13</v>
      </c>
      <c r="J52" s="65">
        <f t="shared" si="29"/>
        <v>7.6923076923076872E-2</v>
      </c>
      <c r="L52" s="13" t="s">
        <v>108</v>
      </c>
      <c r="M52" s="40">
        <v>50</v>
      </c>
      <c r="N52" s="40">
        <v>51</v>
      </c>
      <c r="O52" s="65">
        <f t="shared" si="30"/>
        <v>-1.9607843137254943E-2</v>
      </c>
      <c r="Q52" s="40" t="s">
        <v>109</v>
      </c>
      <c r="R52" s="65">
        <v>5.8000000000000003E-2</v>
      </c>
      <c r="T52" s="40" t="s">
        <v>110</v>
      </c>
      <c r="U52" s="40">
        <v>122</v>
      </c>
      <c r="V52" s="40">
        <v>70</v>
      </c>
      <c r="W52" s="76">
        <f t="shared" si="31"/>
        <v>4.1737940472117686E-2</v>
      </c>
      <c r="X52" s="77">
        <f t="shared" si="32"/>
        <v>0.74285714285714288</v>
      </c>
    </row>
    <row r="53" spans="1:24" ht="15.75" customHeight="1" x14ac:dyDescent="0.3">
      <c r="B53" s="74" t="s">
        <v>111</v>
      </c>
      <c r="C53" s="40">
        <f t="shared" ref="C53:D53" si="33">C50-C51+C52+U55</f>
        <v>941</v>
      </c>
      <c r="D53" s="40">
        <f t="shared" si="33"/>
        <v>812</v>
      </c>
      <c r="E53" s="78">
        <f t="shared" si="28"/>
        <v>0.15886699507389168</v>
      </c>
      <c r="G53" s="13" t="s">
        <v>9</v>
      </c>
      <c r="H53" s="40">
        <v>427</v>
      </c>
      <c r="I53" s="40">
        <v>304</v>
      </c>
      <c r="J53" s="65">
        <f t="shared" si="29"/>
        <v>0.40460526315789469</v>
      </c>
      <c r="L53" s="13" t="s">
        <v>9</v>
      </c>
      <c r="M53" s="40">
        <v>2096</v>
      </c>
      <c r="N53" s="40">
        <v>1747</v>
      </c>
      <c r="O53" s="65">
        <f t="shared" si="30"/>
        <v>0.19977103606182034</v>
      </c>
      <c r="Q53" s="40" t="s">
        <v>112</v>
      </c>
      <c r="R53" s="76">
        <v>5.0999999999999997E-2</v>
      </c>
      <c r="T53" s="40" t="s">
        <v>113</v>
      </c>
      <c r="U53" s="40">
        <v>464</v>
      </c>
      <c r="V53" s="40">
        <v>417</v>
      </c>
      <c r="W53" s="76">
        <f t="shared" si="31"/>
        <v>0.15874101950051317</v>
      </c>
      <c r="X53" s="77">
        <f t="shared" si="32"/>
        <v>0.11270983213429253</v>
      </c>
    </row>
    <row r="54" spans="1:24" ht="15.75" customHeight="1" x14ac:dyDescent="0.3">
      <c r="B54" s="74" t="s">
        <v>9</v>
      </c>
      <c r="C54" s="40">
        <v>678</v>
      </c>
      <c r="D54" s="40">
        <v>571</v>
      </c>
      <c r="E54" s="78">
        <f t="shared" si="28"/>
        <v>0.18739054290718049</v>
      </c>
      <c r="G54" s="13" t="s">
        <v>10</v>
      </c>
      <c r="H54" s="40">
        <v>8.3000000000000007</v>
      </c>
      <c r="I54" s="40">
        <v>5.91</v>
      </c>
      <c r="J54" s="65">
        <f t="shared" si="29"/>
        <v>0.40439932318104921</v>
      </c>
      <c r="L54" s="13" t="s">
        <v>10</v>
      </c>
      <c r="M54" s="40">
        <v>40.82</v>
      </c>
      <c r="N54" s="40">
        <v>34.01</v>
      </c>
      <c r="O54" s="65">
        <f t="shared" si="30"/>
        <v>0.20023522493384305</v>
      </c>
      <c r="Q54" s="40" t="s">
        <v>114</v>
      </c>
      <c r="R54" s="76">
        <v>9.1999999999999998E-2</v>
      </c>
      <c r="T54" s="40" t="s">
        <v>115</v>
      </c>
      <c r="U54" s="40">
        <v>14</v>
      </c>
      <c r="V54" s="40">
        <v>12</v>
      </c>
      <c r="W54" s="76">
        <f t="shared" si="31"/>
        <v>4.7895997263085873E-3</v>
      </c>
      <c r="X54" s="77">
        <f t="shared" si="32"/>
        <v>0.16666666666666674</v>
      </c>
    </row>
    <row r="55" spans="1:24" ht="15.75" customHeight="1" x14ac:dyDescent="0.3">
      <c r="B55" s="74" t="s">
        <v>10</v>
      </c>
      <c r="C55" s="43">
        <v>13.22</v>
      </c>
      <c r="D55" s="43">
        <v>11.15</v>
      </c>
      <c r="E55" s="78">
        <f t="shared" si="28"/>
        <v>0.18565022421524668</v>
      </c>
      <c r="G55" s="13" t="s">
        <v>91</v>
      </c>
      <c r="H55" s="79">
        <f t="shared" ref="H55:I55" si="34">H53/H50</f>
        <v>0.13594396688952562</v>
      </c>
      <c r="I55" s="79">
        <f t="shared" si="34"/>
        <v>0.10475534114403859</v>
      </c>
      <c r="J55" s="72">
        <f t="shared" ref="J55:J56" si="35">H55-I55</f>
        <v>3.1188625745487031E-2</v>
      </c>
      <c r="L55" s="13" t="s">
        <v>91</v>
      </c>
      <c r="M55" s="79">
        <f t="shared" ref="M55:N55" si="36">M53/M50</f>
        <v>0.15951293759512938</v>
      </c>
      <c r="N55" s="79">
        <f t="shared" si="36"/>
        <v>0.14109190760781781</v>
      </c>
      <c r="O55" s="72">
        <f t="shared" ref="O55:O56" si="37">M55-N55</f>
        <v>1.8421029987311571E-2</v>
      </c>
      <c r="Q55" s="40" t="s">
        <v>116</v>
      </c>
      <c r="R55" s="76">
        <v>4.1000000000000002E-2</v>
      </c>
      <c r="T55" s="40" t="s">
        <v>117</v>
      </c>
      <c r="U55" s="40">
        <v>97</v>
      </c>
      <c r="V55" s="40">
        <v>84</v>
      </c>
      <c r="W55" s="76">
        <f t="shared" si="31"/>
        <v>3.318508381799521E-2</v>
      </c>
      <c r="X55" s="77">
        <f t="shared" si="32"/>
        <v>0.15476190476190466</v>
      </c>
    </row>
    <row r="56" spans="1:24" ht="15.75" customHeight="1" x14ac:dyDescent="0.3">
      <c r="B56" s="74" t="s">
        <v>118</v>
      </c>
      <c r="C56" s="79">
        <f t="shared" ref="C56:D56" si="38">C53/C50</f>
        <v>0.25073274713562482</v>
      </c>
      <c r="D56" s="79">
        <f t="shared" si="38"/>
        <v>0.23917525773195877</v>
      </c>
      <c r="E56" s="75">
        <f t="shared" ref="E56:E58" si="39">C56-D56</f>
        <v>1.1557489403666049E-2</v>
      </c>
      <c r="G56" s="13" t="s">
        <v>39</v>
      </c>
      <c r="H56" s="42">
        <f t="shared" ref="H56:I56" si="40">(H50-H51+H52)/H52</f>
        <v>38.214285714285715</v>
      </c>
      <c r="I56" s="42">
        <f t="shared" si="40"/>
        <v>35.692307692307693</v>
      </c>
      <c r="J56" s="80">
        <f t="shared" si="35"/>
        <v>2.5219780219780219</v>
      </c>
      <c r="L56" s="13" t="s">
        <v>39</v>
      </c>
      <c r="M56" s="42">
        <f t="shared" ref="M56:N56" si="41">(M50-M51+M52)/M52</f>
        <v>52.54</v>
      </c>
      <c r="N56" s="42">
        <f t="shared" si="41"/>
        <v>46.392156862745097</v>
      </c>
      <c r="O56" s="80">
        <f t="shared" si="37"/>
        <v>6.1478431372549025</v>
      </c>
      <c r="Q56" s="40" t="s">
        <v>119</v>
      </c>
      <c r="R56" s="76">
        <v>4.0000000000000001E-3</v>
      </c>
      <c r="T56" s="40" t="s">
        <v>120</v>
      </c>
      <c r="U56" s="40">
        <v>626</v>
      </c>
      <c r="V56" s="40">
        <v>597</v>
      </c>
      <c r="W56" s="76">
        <f t="shared" si="31"/>
        <v>0.21416353061922683</v>
      </c>
      <c r="X56" s="77">
        <f t="shared" si="32"/>
        <v>4.8576214405360085E-2</v>
      </c>
    </row>
    <row r="57" spans="1:24" ht="15.75" customHeight="1" x14ac:dyDescent="0.3">
      <c r="B57" s="74" t="s">
        <v>91</v>
      </c>
      <c r="C57" s="79">
        <f t="shared" ref="C57:D57" si="42">C54/C50</f>
        <v>0.1806554756195044</v>
      </c>
      <c r="D57" s="79">
        <f t="shared" si="42"/>
        <v>0.16818851251840944</v>
      </c>
      <c r="E57" s="75">
        <f t="shared" si="39"/>
        <v>1.2466963101094963E-2</v>
      </c>
    </row>
    <row r="58" spans="1:24" ht="15.75" customHeight="1" x14ac:dyDescent="0.3">
      <c r="B58" s="74" t="s">
        <v>39</v>
      </c>
      <c r="C58" s="42">
        <f t="shared" ref="C58:D58" si="43">(C50-C51+C52)/C52</f>
        <v>60.285714285714285</v>
      </c>
      <c r="D58" s="42">
        <f t="shared" si="43"/>
        <v>60.666666666666664</v>
      </c>
      <c r="E58" s="81">
        <f t="shared" si="39"/>
        <v>-0.3809523809523796</v>
      </c>
      <c r="N58" s="82"/>
      <c r="Q58" s="83" t="s">
        <v>121</v>
      </c>
      <c r="R58" s="84">
        <f>SUM(R50:R56)</f>
        <v>1</v>
      </c>
      <c r="T58" s="83" t="s">
        <v>121</v>
      </c>
      <c r="U58" s="83">
        <f t="shared" ref="U58:V58" si="44">SUM(U50:U56)</f>
        <v>2923</v>
      </c>
      <c r="V58" s="83">
        <f t="shared" si="44"/>
        <v>2679</v>
      </c>
      <c r="W58" s="84">
        <f>U58/$U$58</f>
        <v>1</v>
      </c>
      <c r="X58" s="84">
        <f>(U58/V58)^(1/1)-1</f>
        <v>9.1078760731616359E-2</v>
      </c>
    </row>
    <row r="59" spans="1:24" ht="15.75" customHeight="1" x14ac:dyDescent="0.25"/>
    <row r="60" spans="1:24" ht="15.75" customHeight="1" x14ac:dyDescent="0.3">
      <c r="A60" s="32" t="s">
        <v>122</v>
      </c>
      <c r="B60" s="33" t="s">
        <v>52</v>
      </c>
      <c r="C60" s="33" t="s">
        <v>53</v>
      </c>
      <c r="D60" s="33" t="s">
        <v>87</v>
      </c>
      <c r="E60" s="33" t="s">
        <v>10</v>
      </c>
      <c r="F60" s="33" t="s">
        <v>91</v>
      </c>
      <c r="N60" s="82"/>
      <c r="Q60" s="32" t="s">
        <v>123</v>
      </c>
      <c r="R60" s="33" t="s">
        <v>124</v>
      </c>
      <c r="S60" s="33">
        <v>2023</v>
      </c>
      <c r="T60" s="33">
        <v>2001</v>
      </c>
      <c r="U60" s="33" t="s">
        <v>102</v>
      </c>
    </row>
    <row r="61" spans="1:24" ht="15.75" customHeight="1" x14ac:dyDescent="0.25">
      <c r="B61" s="33" t="s">
        <v>125</v>
      </c>
      <c r="C61" s="85">
        <v>0.13</v>
      </c>
      <c r="D61" s="86">
        <f>(D65/D35)-1</f>
        <v>0.282215744274809</v>
      </c>
      <c r="E61" s="86">
        <v>0.28000000000000003</v>
      </c>
      <c r="F61" s="87">
        <v>0.18099999999999999</v>
      </c>
      <c r="H61" s="88"/>
      <c r="N61" s="82"/>
      <c r="R61" s="40" t="s">
        <v>126</v>
      </c>
      <c r="S61" s="76">
        <v>0.69940000000000002</v>
      </c>
      <c r="T61" s="76">
        <v>0.72</v>
      </c>
      <c r="U61" s="77">
        <f t="shared" ref="U61:U65" si="45">(S61/T61)^(1/1)-1</f>
        <v>-2.8611111111111032E-2</v>
      </c>
    </row>
    <row r="62" spans="1:24" ht="15.75" customHeight="1" x14ac:dyDescent="0.25">
      <c r="B62" s="33" t="s">
        <v>127</v>
      </c>
      <c r="C62" s="85">
        <f>AVERAGE(C39:C41)</f>
        <v>0.13099034621471808</v>
      </c>
      <c r="D62" s="58">
        <v>0.13</v>
      </c>
      <c r="E62" s="58">
        <v>0.13</v>
      </c>
      <c r="F62" s="56">
        <v>0.14499999999999999</v>
      </c>
      <c r="H62" s="88"/>
      <c r="N62" s="82"/>
      <c r="Q62" s="89"/>
      <c r="R62" s="40" t="s">
        <v>128</v>
      </c>
      <c r="S62" s="76">
        <v>4.2099999999999999E-2</v>
      </c>
      <c r="T62" s="76">
        <v>0.06</v>
      </c>
      <c r="U62" s="77">
        <f t="shared" si="45"/>
        <v>-0.29833333333333334</v>
      </c>
    </row>
    <row r="63" spans="1:24" ht="15.75" customHeight="1" x14ac:dyDescent="0.3">
      <c r="F63" s="90"/>
      <c r="H63" s="88"/>
      <c r="N63" s="82"/>
      <c r="R63" s="40" t="s">
        <v>129</v>
      </c>
      <c r="S63" s="76">
        <v>0.1061</v>
      </c>
      <c r="T63" s="76">
        <v>7.7399999999999997E-2</v>
      </c>
      <c r="U63" s="77">
        <f t="shared" si="45"/>
        <v>0.37080103359173133</v>
      </c>
    </row>
    <row r="64" spans="1:24" ht="15.75" customHeight="1" x14ac:dyDescent="0.3">
      <c r="A64" s="91" t="s">
        <v>130</v>
      </c>
      <c r="B64" s="33" t="s">
        <v>52</v>
      </c>
      <c r="C64" s="33" t="s">
        <v>53</v>
      </c>
      <c r="D64" s="33" t="s">
        <v>87</v>
      </c>
      <c r="E64" s="33" t="s">
        <v>10</v>
      </c>
      <c r="F64" s="33" t="s">
        <v>62</v>
      </c>
      <c r="G64" s="33" t="s">
        <v>131</v>
      </c>
      <c r="H64" s="33" t="s">
        <v>132</v>
      </c>
      <c r="I64" s="33" t="s">
        <v>133</v>
      </c>
      <c r="J64" s="33" t="s">
        <v>131</v>
      </c>
      <c r="K64" s="33" t="s">
        <v>134</v>
      </c>
      <c r="L64" s="33" t="s">
        <v>133</v>
      </c>
      <c r="M64" s="33" t="s">
        <v>135</v>
      </c>
      <c r="Q64" s="89"/>
      <c r="R64" s="40" t="s">
        <v>136</v>
      </c>
      <c r="S64" s="76">
        <v>0.15240000000000001</v>
      </c>
      <c r="T64" s="76">
        <v>0.14130000000000001</v>
      </c>
      <c r="U64" s="77">
        <f t="shared" si="45"/>
        <v>7.8556263269639048E-2</v>
      </c>
    </row>
    <row r="65" spans="1:21" ht="15.75" customHeight="1" x14ac:dyDescent="0.25">
      <c r="B65" s="33" t="s">
        <v>137</v>
      </c>
      <c r="C65" s="92">
        <f>FV(C61,1,0,-C35,0)</f>
        <v>14848.199999999999</v>
      </c>
      <c r="D65" s="92">
        <f t="shared" ref="D65:D66" si="46">C65*F61</f>
        <v>2687.5241999999998</v>
      </c>
      <c r="E65" s="92">
        <f>FV(E61,1,0,-E35,0)</f>
        <v>52.249600000000001</v>
      </c>
      <c r="F65" s="93">
        <f>(60%*E65)+M35</f>
        <v>223.14802976012587</v>
      </c>
      <c r="G65" s="94">
        <f t="shared" ref="G65:G67" si="47">40*E65</f>
        <v>2089.9839999999999</v>
      </c>
      <c r="H65" s="95">
        <f t="shared" ref="H65:H67" si="48">AVERAGE(G65,I65)</f>
        <v>3004.3519999999999</v>
      </c>
      <c r="I65" s="95">
        <f t="shared" ref="I65:I67" si="49">75*E65</f>
        <v>3918.7200000000003</v>
      </c>
      <c r="J65" s="96">
        <f t="shared" ref="J65:J67" si="50">9*F65</f>
        <v>2008.3322678411328</v>
      </c>
      <c r="K65" s="95">
        <f t="shared" ref="K65:K67" si="51">AVERAGE(J65,L65)</f>
        <v>2900.9243868816366</v>
      </c>
      <c r="L65" s="96">
        <f t="shared" ref="L65:L67" si="52">17*F65</f>
        <v>3793.5165059221399</v>
      </c>
      <c r="M65" s="95">
        <f t="shared" ref="M65:M67" si="53">H65*60%+K65*40%</f>
        <v>2962.9809547526547</v>
      </c>
      <c r="R65" s="97" t="s">
        <v>138</v>
      </c>
      <c r="S65" s="98">
        <f t="shared" ref="S65:T65" si="54">SUM(S61:S64)</f>
        <v>1</v>
      </c>
      <c r="T65" s="98">
        <f t="shared" si="54"/>
        <v>0.99870000000000003</v>
      </c>
      <c r="U65" s="77">
        <f t="shared" si="45"/>
        <v>1.3016921998598718E-3</v>
      </c>
    </row>
    <row r="66" spans="1:21" ht="15.75" customHeight="1" x14ac:dyDescent="0.25">
      <c r="B66" s="33" t="s">
        <v>139</v>
      </c>
      <c r="C66" s="92">
        <f>FV($C$62,4,0,-C65,0)</f>
        <v>24294.580279230559</v>
      </c>
      <c r="D66" s="92">
        <f t="shared" si="46"/>
        <v>3522.7141404884305</v>
      </c>
      <c r="E66" s="92">
        <f>(D66*E65)/D65</f>
        <v>68.486975765600292</v>
      </c>
      <c r="F66" s="92">
        <f>FV(8%,4,0,-F65,0)</f>
        <v>303.59043093440278</v>
      </c>
      <c r="G66" s="94">
        <f t="shared" si="47"/>
        <v>2739.4790306240116</v>
      </c>
      <c r="H66" s="95">
        <f t="shared" si="48"/>
        <v>3938.0011065220169</v>
      </c>
      <c r="I66" s="95">
        <f t="shared" si="49"/>
        <v>5136.5231824200218</v>
      </c>
      <c r="J66" s="96">
        <f t="shared" si="50"/>
        <v>2732.313878409625</v>
      </c>
      <c r="K66" s="95">
        <f t="shared" si="51"/>
        <v>3946.6756021472356</v>
      </c>
      <c r="L66" s="96">
        <f t="shared" si="52"/>
        <v>5161.0373258848467</v>
      </c>
      <c r="M66" s="95">
        <f t="shared" si="53"/>
        <v>3941.4709047721044</v>
      </c>
    </row>
    <row r="67" spans="1:21" ht="15.75" customHeight="1" x14ac:dyDescent="0.25">
      <c r="B67" s="33" t="s">
        <v>140</v>
      </c>
      <c r="C67" s="92">
        <f t="shared" ref="C67:E67" si="55">FV(12%,5,0,-C66,0)</f>
        <v>42815.351501936719</v>
      </c>
      <c r="D67" s="92">
        <f t="shared" si="55"/>
        <v>6208.2259677808233</v>
      </c>
      <c r="E67" s="92">
        <f t="shared" si="55"/>
        <v>120.69745214802566</v>
      </c>
      <c r="F67" s="92">
        <f>FV(7%,5,0,-F66,0)</f>
        <v>425.80128433100549</v>
      </c>
      <c r="G67" s="94">
        <f t="shared" si="47"/>
        <v>4827.898085921026</v>
      </c>
      <c r="H67" s="95">
        <f t="shared" si="48"/>
        <v>6940.1034985114757</v>
      </c>
      <c r="I67" s="95">
        <f t="shared" si="49"/>
        <v>9052.3089111019253</v>
      </c>
      <c r="J67" s="96">
        <f t="shared" si="50"/>
        <v>3832.2115589790492</v>
      </c>
      <c r="K67" s="95">
        <f t="shared" si="51"/>
        <v>5535.4166963030711</v>
      </c>
      <c r="L67" s="96">
        <f t="shared" si="52"/>
        <v>7238.6218336270931</v>
      </c>
      <c r="M67" s="95">
        <f t="shared" si="53"/>
        <v>6378.2287776281137</v>
      </c>
    </row>
    <row r="68" spans="1:21" ht="15.75" customHeight="1" x14ac:dyDescent="0.25">
      <c r="H68" s="99"/>
    </row>
    <row r="69" spans="1:21" ht="15.75" customHeight="1" x14ac:dyDescent="0.3">
      <c r="A69" s="1"/>
      <c r="B69" s="2" t="s">
        <v>141</v>
      </c>
      <c r="C69" s="2" t="s">
        <v>142</v>
      </c>
      <c r="D69" s="2" t="s">
        <v>143</v>
      </c>
      <c r="E69" s="2" t="s">
        <v>144</v>
      </c>
      <c r="F69" s="2" t="s">
        <v>145</v>
      </c>
    </row>
    <row r="70" spans="1:21" ht="15.75" customHeight="1" x14ac:dyDescent="0.3">
      <c r="A70" s="100"/>
      <c r="B70" s="2" t="s">
        <v>4</v>
      </c>
      <c r="C70" s="101">
        <f ca="1">IFERROR(__xludf.DUMMYFUNCTION("GOOGLEFINANCE(""NSE:""&amp;B70,""price"")"),3131.3)</f>
        <v>3131.3</v>
      </c>
      <c r="D70" s="102">
        <v>0.02</v>
      </c>
      <c r="E70" s="103">
        <f ca="1">IFERROR(MAX(0.5, MIN(1,0.75 - 0.3*((C70/M65)-1))),"")</f>
        <v>0.73295780015284673</v>
      </c>
      <c r="F70" s="104">
        <f ca="1">D70*E70</f>
        <v>1.4659156003056934E-2</v>
      </c>
    </row>
    <row r="71" spans="1:21" ht="15.75" customHeight="1" x14ac:dyDescent="0.25">
      <c r="A71" s="100"/>
      <c r="B71" s="105"/>
    </row>
    <row r="72" spans="1:21" ht="15.75" customHeight="1" x14ac:dyDescent="0.25">
      <c r="A72" s="100"/>
      <c r="B72" s="105"/>
    </row>
    <row r="73" spans="1:21" ht="15.75" customHeight="1" x14ac:dyDescent="0.25">
      <c r="A73" s="100"/>
      <c r="B73" s="105"/>
    </row>
    <row r="74" spans="1:21" ht="15.75" customHeight="1" x14ac:dyDescent="0.25">
      <c r="A74" s="100"/>
      <c r="B74" s="105"/>
    </row>
    <row r="75" spans="1:21" ht="15.75" customHeight="1" x14ac:dyDescent="0.25">
      <c r="A75" s="100"/>
      <c r="B75" s="105"/>
    </row>
    <row r="76" spans="1:21" ht="15.75" customHeight="1" x14ac:dyDescent="0.25">
      <c r="A76" s="100"/>
      <c r="B76" s="105"/>
    </row>
    <row r="77" spans="1:21" ht="15.75" customHeight="1" x14ac:dyDescent="0.25">
      <c r="A77" s="100"/>
      <c r="B77" s="105"/>
    </row>
    <row r="78" spans="1:21" ht="15.75" customHeight="1" x14ac:dyDescent="0.25">
      <c r="A78" s="100"/>
      <c r="B78" s="105"/>
    </row>
    <row r="79" spans="1:21" ht="15.75" customHeight="1" x14ac:dyDescent="0.25">
      <c r="A79" s="100"/>
      <c r="B79" s="105"/>
    </row>
    <row r="80" spans="1:21" ht="15.75" customHeight="1" x14ac:dyDescent="0.25">
      <c r="A80" s="100"/>
      <c r="B80" s="105"/>
    </row>
    <row r="81" spans="1:2" ht="15.75" customHeight="1" x14ac:dyDescent="0.25">
      <c r="A81" s="100"/>
      <c r="B81" s="105"/>
    </row>
    <row r="82" spans="1:2" ht="15.75" customHeight="1" x14ac:dyDescent="0.25">
      <c r="A82" s="100"/>
      <c r="B82" s="105"/>
    </row>
    <row r="83" spans="1:2" ht="15.75" customHeight="1" x14ac:dyDescent="0.25">
      <c r="A83" s="100"/>
      <c r="B83" s="99"/>
    </row>
    <row r="84" spans="1:2" ht="15.75" customHeight="1" x14ac:dyDescent="0.25">
      <c r="A84" s="100"/>
      <c r="B84" s="99"/>
    </row>
    <row r="85" spans="1:2" ht="15.75" customHeight="1" x14ac:dyDescent="0.25">
      <c r="A85" s="100"/>
      <c r="B85" s="99"/>
    </row>
    <row r="86" spans="1:2" ht="15.75" customHeight="1" x14ac:dyDescent="0.25"/>
    <row r="87" spans="1:2" ht="15.75" customHeight="1" x14ac:dyDescent="0.25"/>
    <row r="88" spans="1:2" ht="15.75" customHeight="1" x14ac:dyDescent="0.25"/>
    <row r="89" spans="1:2" ht="15.75" customHeight="1" x14ac:dyDescent="0.25"/>
    <row r="90" spans="1:2" ht="15.75" customHeight="1" x14ac:dyDescent="0.25"/>
    <row r="91" spans="1:2" ht="15.75" customHeight="1" x14ac:dyDescent="0.25"/>
    <row r="92" spans="1:2" ht="15.75" customHeight="1" x14ac:dyDescent="0.25"/>
    <row r="93" spans="1:2" ht="15.75" customHeight="1" x14ac:dyDescent="0.25"/>
    <row r="94" spans="1:2" ht="15.75" customHeight="1" x14ac:dyDescent="0.25"/>
    <row r="95" spans="1:2" ht="15.75" customHeight="1" x14ac:dyDescent="0.25"/>
    <row r="96" spans="1:2" ht="15.75" customHeight="1" x14ac:dyDescent="0.25"/>
    <row r="97" spans="1:2" ht="15.75" customHeight="1" x14ac:dyDescent="0.25"/>
    <row r="98" spans="1:2" ht="15.75" customHeight="1" x14ac:dyDescent="0.25"/>
    <row r="99" spans="1:2" ht="15.75" customHeight="1" x14ac:dyDescent="0.25"/>
    <row r="100" spans="1:2" ht="15.75" customHeight="1" x14ac:dyDescent="0.25"/>
    <row r="101" spans="1:2" ht="15.75" customHeight="1" x14ac:dyDescent="0.25"/>
    <row r="102" spans="1:2" ht="15.75" customHeight="1" x14ac:dyDescent="0.25"/>
    <row r="103" spans="1:2" ht="15.75" customHeight="1" x14ac:dyDescent="0.25"/>
    <row r="104" spans="1:2" ht="15.75" customHeight="1" x14ac:dyDescent="0.25"/>
    <row r="105" spans="1:2" ht="15.75" customHeight="1" x14ac:dyDescent="0.25"/>
    <row r="106" spans="1:2" ht="15.75" customHeight="1" x14ac:dyDescent="0.25"/>
    <row r="107" spans="1:2" ht="15.75" customHeight="1" x14ac:dyDescent="0.25"/>
    <row r="108" spans="1:2" ht="15.75" customHeight="1" x14ac:dyDescent="0.25"/>
    <row r="109" spans="1:2" ht="15.75" customHeight="1" x14ac:dyDescent="0.25"/>
    <row r="110" spans="1:2" ht="15.75" customHeight="1" x14ac:dyDescent="0.25">
      <c r="A110" s="1"/>
      <c r="B110" s="1"/>
    </row>
    <row r="111" spans="1:2" ht="15.75" customHeight="1" x14ac:dyDescent="0.25">
      <c r="A111" s="100"/>
      <c r="B111" s="105"/>
    </row>
    <row r="112" spans="1:2" ht="15.75" customHeight="1" x14ac:dyDescent="0.25">
      <c r="A112" s="100"/>
      <c r="B112" s="105"/>
    </row>
    <row r="113" spans="1:2" ht="15.75" customHeight="1" x14ac:dyDescent="0.25">
      <c r="A113" s="100"/>
      <c r="B113" s="105"/>
    </row>
    <row r="114" spans="1:2" ht="15.75" customHeight="1" x14ac:dyDescent="0.25">
      <c r="A114" s="100"/>
      <c r="B114" s="105"/>
    </row>
    <row r="115" spans="1:2" ht="15.75" customHeight="1" x14ac:dyDescent="0.25">
      <c r="A115" s="100"/>
      <c r="B115" s="105"/>
    </row>
    <row r="116" spans="1:2" ht="15.75" customHeight="1" x14ac:dyDescent="0.25">
      <c r="A116" s="100"/>
      <c r="B116" s="105"/>
    </row>
    <row r="117" spans="1:2" ht="15.75" customHeight="1" x14ac:dyDescent="0.25">
      <c r="A117" s="100"/>
      <c r="B117" s="105"/>
    </row>
    <row r="118" spans="1:2" ht="15.75" customHeight="1" x14ac:dyDescent="0.25">
      <c r="A118" s="100"/>
      <c r="B118" s="105"/>
    </row>
    <row r="119" spans="1:2" ht="15.75" customHeight="1" x14ac:dyDescent="0.25">
      <c r="A119" s="100"/>
      <c r="B119" s="105"/>
    </row>
    <row r="120" spans="1:2" ht="15.75" customHeight="1" x14ac:dyDescent="0.25">
      <c r="A120" s="100"/>
      <c r="B120" s="105"/>
    </row>
    <row r="121" spans="1:2" ht="15.75" customHeight="1" x14ac:dyDescent="0.25">
      <c r="A121" s="100"/>
      <c r="B121" s="105"/>
    </row>
    <row r="122" spans="1:2" ht="15.75" customHeight="1" x14ac:dyDescent="0.25">
      <c r="A122" s="100"/>
      <c r="B122" s="105"/>
    </row>
    <row r="123" spans="1:2" ht="15.75" customHeight="1" x14ac:dyDescent="0.25">
      <c r="A123" s="100"/>
      <c r="B123" s="105"/>
    </row>
    <row r="124" spans="1:2" ht="15.75" customHeight="1" x14ac:dyDescent="0.25">
      <c r="A124" s="100"/>
      <c r="B124" s="105"/>
    </row>
    <row r="125" spans="1:2" ht="15.75" customHeight="1" x14ac:dyDescent="0.25">
      <c r="A125" s="100"/>
      <c r="B125" s="105"/>
    </row>
    <row r="126" spans="1:2" ht="15.75" customHeight="1" x14ac:dyDescent="0.25">
      <c r="A126" s="100"/>
      <c r="B126" s="105"/>
    </row>
    <row r="127" spans="1:2" ht="15.75" customHeight="1" x14ac:dyDescent="0.25">
      <c r="A127" s="100"/>
      <c r="B127" s="105"/>
    </row>
    <row r="128" spans="1:2" ht="15.75" customHeight="1" x14ac:dyDescent="0.25">
      <c r="A128" s="100"/>
      <c r="B128" s="105"/>
    </row>
    <row r="129" spans="1:2" ht="15.75" customHeight="1" x14ac:dyDescent="0.25">
      <c r="A129" s="100"/>
      <c r="B129" s="105"/>
    </row>
    <row r="130" spans="1:2" ht="15.75" customHeight="1" x14ac:dyDescent="0.25">
      <c r="A130" s="100"/>
      <c r="B130" s="105"/>
    </row>
    <row r="131" spans="1:2" ht="15.75" customHeight="1" x14ac:dyDescent="0.25">
      <c r="A131" s="100"/>
      <c r="B131" s="105"/>
    </row>
    <row r="132" spans="1:2" ht="15.75" customHeight="1" x14ac:dyDescent="0.25">
      <c r="A132" s="1"/>
      <c r="B132" s="82"/>
    </row>
    <row r="133" spans="1:2" ht="15.75" customHeight="1" x14ac:dyDescent="0.25">
      <c r="A133" s="1"/>
      <c r="B133" s="82"/>
    </row>
    <row r="134" spans="1:2" ht="15.75" customHeight="1" x14ac:dyDescent="0.25">
      <c r="A134" s="1"/>
      <c r="B134" s="82"/>
    </row>
    <row r="135" spans="1:2" ht="15.75" customHeight="1" x14ac:dyDescent="0.25">
      <c r="A135" s="1"/>
      <c r="B135" s="82"/>
    </row>
    <row r="136" spans="1:2" ht="15.75" customHeight="1" x14ac:dyDescent="0.25"/>
    <row r="137" spans="1:2" ht="15.75" customHeight="1" x14ac:dyDescent="0.25"/>
    <row r="138" spans="1:2" ht="15.75" customHeight="1" x14ac:dyDescent="0.25"/>
    <row r="139" spans="1:2" ht="15.75" customHeight="1" x14ac:dyDescent="0.25"/>
    <row r="140" spans="1:2" ht="15.75" customHeight="1" x14ac:dyDescent="0.25"/>
    <row r="141" spans="1:2" ht="15.75" customHeight="1" x14ac:dyDescent="0.25"/>
    <row r="142" spans="1:2" ht="15.75" customHeight="1" x14ac:dyDescent="0.25"/>
    <row r="143" spans="1:2" ht="15.75" customHeight="1" x14ac:dyDescent="0.25"/>
    <row r="144" spans="1:2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</sheetData>
  <conditionalFormatting sqref="B49:B57 A49 C49:D49 H49 M49:N49 O49:O57 R49 T49:V49 E50:E58 J50:J57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2:C36">
    <cfRule type="colorScale" priority="6">
      <colorScale>
        <cfvo type="min"/>
        <cfvo type="max"/>
        <color rgb="FFFFFFFF"/>
        <color rgb="FF57BB8A"/>
      </colorScale>
    </cfRule>
  </conditionalFormatting>
  <conditionalFormatting sqref="C39:E43 G39:J43 L39:M42 O39:P42 K43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60:E62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5:F45">
    <cfRule type="colorScale" priority="2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6:F46">
    <cfRule type="colorScale" priority="2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7:F47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2:D36">
    <cfRule type="colorScale" priority="7">
      <colorScale>
        <cfvo type="min"/>
        <cfvo type="max"/>
        <color rgb="FFFFFFFF"/>
        <color rgb="FF57BB8A"/>
      </colorScale>
    </cfRule>
  </conditionalFormatting>
  <conditionalFormatting sqref="E12:E36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12:F36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39:F43">
    <cfRule type="colorScale" priority="2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60:F62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2:G36">
    <cfRule type="colorScale" priority="8">
      <colorScale>
        <cfvo type="min"/>
        <cfvo type="max"/>
        <color rgb="FFFFFFFF"/>
        <color rgb="FF57BB8A"/>
      </colorScale>
    </cfRule>
  </conditionalFormatting>
  <conditionalFormatting sqref="I12:J36 L12:L36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5:L45">
    <cfRule type="colorScale" priority="19">
      <colorScale>
        <cfvo type="min"/>
        <cfvo type="max"/>
        <color rgb="FFFFFFFF"/>
        <color rgb="FF57BB8A"/>
      </colorScale>
    </cfRule>
  </conditionalFormatting>
  <conditionalFormatting sqref="K12:L36">
    <cfRule type="colorScale" priority="12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K39:L43 M39:M40 N39:N43 O39:Q42 M43">
    <cfRule type="colorScale" priority="15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M12:M36">
    <cfRule type="colorScale" priority="2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M39:M40 P39:Q42 M43:N43">
    <cfRule type="colorScale" priority="16">
      <colorScale>
        <cfvo type="min"/>
        <cfvo type="max"/>
        <color rgb="FFFFFFFF"/>
        <color rgb="FF57BB8A"/>
      </colorScale>
    </cfRule>
  </conditionalFormatting>
  <conditionalFormatting sqref="N12:O36">
    <cfRule type="colorScale" priority="26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O45:Q45">
    <cfRule type="colorScale" priority="4">
      <colorScale>
        <cfvo type="min"/>
        <cfvo type="max"/>
        <color rgb="FFFFFFFF"/>
        <color rgb="FF57BB8A"/>
      </colorScale>
    </cfRule>
  </conditionalFormatting>
  <conditionalFormatting sqref="O47:Q47 H60">
    <cfRule type="colorScale" priority="5">
      <colorScale>
        <cfvo type="min"/>
        <cfvo type="max"/>
        <color rgb="FFFFFFFF"/>
        <color rgb="FFE67C73"/>
      </colorScale>
    </cfRule>
  </conditionalFormatting>
  <conditionalFormatting sqref="P12:P36">
    <cfRule type="colorScale" priority="13">
      <colorScale>
        <cfvo type="min"/>
        <cfvo type="max"/>
        <color rgb="FFFFFFFF"/>
        <color rgb="FF57BB8A"/>
      </colorScale>
    </cfRule>
  </conditionalFormatting>
  <conditionalFormatting sqref="R50:R56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W50:W56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X50:X56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Pidilitind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2025-09-02T08:28:58Z</dcterms:created>
  <dcterms:modified xsi:type="dcterms:W3CDTF">2025-09-02T08:29:18Z</dcterms:modified>
</cp:coreProperties>
</file>