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6E033C2B-6F4A-4DED-B62C-FE6C5935BE27}" xr6:coauthVersionLast="47" xr6:coauthVersionMax="47" xr10:uidLastSave="{00000000-0000-0000-0000-000000000000}"/>
  <bookViews>
    <workbookView xWindow="-108" yWindow="-108" windowWidth="23256" windowHeight="12456" xr2:uid="{BE664B74-98E5-4429-8762-E0B1F7EF615F}"/>
  </bookViews>
  <sheets>
    <sheet name="AUBANK" sheetId="2" r:id="rId1"/>
    <sheet name="SFB" sheetId="1" r:id="rId2"/>
  </sheets>
  <externalReferences>
    <externalReference r:id="rId3"/>
  </externalReferences>
  <definedNames>
    <definedName name="_xlnm._FilterDatabase" localSheetId="1" hidden="1">SFB!$B$69:$P$78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2" l="1"/>
  <c r="K53" i="2"/>
  <c r="M53" i="2" s="1"/>
  <c r="J53" i="2"/>
  <c r="M51" i="2"/>
  <c r="L51" i="2"/>
  <c r="M50" i="2"/>
  <c r="L50" i="2"/>
  <c r="M49" i="2"/>
  <c r="L49" i="2"/>
  <c r="M48" i="2"/>
  <c r="L48" i="2"/>
  <c r="K45" i="2"/>
  <c r="L45" i="2" s="1"/>
  <c r="J45" i="2"/>
  <c r="L44" i="2"/>
  <c r="L43" i="2"/>
  <c r="O42" i="2"/>
  <c r="L42" i="2"/>
  <c r="L41" i="2"/>
  <c r="K40" i="2"/>
  <c r="L40" i="2" s="1"/>
  <c r="J40" i="2"/>
  <c r="L39" i="2"/>
  <c r="L38" i="2"/>
  <c r="L37" i="2"/>
  <c r="P34" i="2"/>
  <c r="G34" i="2"/>
  <c r="F34" i="2"/>
  <c r="D34" i="2"/>
  <c r="E34" i="2" s="1"/>
  <c r="C34" i="2"/>
  <c r="C35" i="2" s="1"/>
  <c r="C36" i="2" s="1"/>
  <c r="L33" i="2"/>
  <c r="K33" i="2"/>
  <c r="L32" i="2"/>
  <c r="K32" i="2"/>
  <c r="L31" i="2"/>
  <c r="K31" i="2"/>
  <c r="L30" i="2"/>
  <c r="K30" i="2"/>
  <c r="U29" i="2"/>
  <c r="N27" i="2"/>
  <c r="M27" i="2"/>
  <c r="L27" i="2"/>
  <c r="J27" i="2"/>
  <c r="I27" i="2"/>
  <c r="F27" i="2"/>
  <c r="E27" i="2"/>
  <c r="D27" i="2"/>
  <c r="C27" i="2"/>
  <c r="M26" i="2"/>
  <c r="J26" i="2"/>
  <c r="I26" i="2"/>
  <c r="H26" i="2"/>
  <c r="F26" i="2"/>
  <c r="E26" i="2"/>
  <c r="D26" i="2"/>
  <c r="C26" i="2"/>
  <c r="M25" i="2"/>
  <c r="L25" i="2"/>
  <c r="J25" i="2"/>
  <c r="I25" i="2"/>
  <c r="H25" i="2"/>
  <c r="F25" i="2"/>
  <c r="E25" i="2"/>
  <c r="D25" i="2"/>
  <c r="C25" i="2"/>
  <c r="N22" i="2"/>
  <c r="L22" i="2"/>
  <c r="K22" i="2"/>
  <c r="K27" i="2" s="1"/>
  <c r="G22" i="2"/>
  <c r="G27" i="2" s="1"/>
  <c r="N21" i="2"/>
  <c r="L21" i="2"/>
  <c r="L26" i="2" s="1"/>
  <c r="K21" i="2"/>
  <c r="G21" i="2"/>
  <c r="G26" i="2" s="1"/>
  <c r="N20" i="2"/>
  <c r="N26" i="2" s="1"/>
  <c r="L20" i="2"/>
  <c r="K20" i="2"/>
  <c r="K26" i="2" s="1"/>
  <c r="G20" i="2"/>
  <c r="N19" i="2"/>
  <c r="L19" i="2"/>
  <c r="K19" i="2"/>
  <c r="G19" i="2"/>
  <c r="N18" i="2"/>
  <c r="L18" i="2"/>
  <c r="K18" i="2"/>
  <c r="G18" i="2"/>
  <c r="N17" i="2"/>
  <c r="N25" i="2" s="1"/>
  <c r="L17" i="2"/>
  <c r="K17" i="2"/>
  <c r="K25" i="2" s="1"/>
  <c r="G17" i="2"/>
  <c r="G25" i="2" s="1"/>
  <c r="G30" i="2" s="1"/>
  <c r="G16" i="2"/>
  <c r="G15" i="2"/>
  <c r="G14" i="2"/>
  <c r="G13" i="2"/>
  <c r="G12" i="2"/>
  <c r="G11" i="2"/>
  <c r="G8" i="2"/>
  <c r="D8" i="2"/>
  <c r="C8" i="2"/>
  <c r="B8" i="2"/>
  <c r="O6" i="2"/>
  <c r="L6" i="2"/>
  <c r="J6" i="2"/>
  <c r="R5" i="2"/>
  <c r="Q5" i="2"/>
  <c r="O5" i="2"/>
  <c r="N5" i="2"/>
  <c r="M5" i="2"/>
  <c r="L5" i="2"/>
  <c r="K5" i="2"/>
  <c r="J5" i="2"/>
  <c r="F8" i="2" s="1"/>
  <c r="I5" i="2"/>
  <c r="H5" i="2"/>
  <c r="G5" i="2"/>
  <c r="F4" i="2"/>
  <c r="E4" i="2"/>
  <c r="P3" i="2"/>
  <c r="P5" i="2" s="1"/>
  <c r="C3" i="2"/>
  <c r="K8" i="2" s="1"/>
  <c r="E188" i="1"/>
  <c r="D188" i="1"/>
  <c r="L156" i="1"/>
  <c r="H156" i="1"/>
  <c r="G156" i="1"/>
  <c r="O94" i="1"/>
  <c r="K94" i="1"/>
  <c r="D94" i="1"/>
  <c r="P80" i="1"/>
  <c r="O80" i="1"/>
  <c r="N80" i="1"/>
  <c r="M80" i="1"/>
  <c r="L80" i="1"/>
  <c r="K80" i="1"/>
  <c r="J80" i="1"/>
  <c r="I80" i="1"/>
  <c r="H80" i="1"/>
  <c r="G80" i="1"/>
  <c r="F80" i="1"/>
  <c r="J78" i="1"/>
  <c r="E78" i="1"/>
  <c r="D78" i="1"/>
  <c r="J77" i="1"/>
  <c r="D77" i="1"/>
  <c r="J76" i="1"/>
  <c r="E76" i="1"/>
  <c r="D76" i="1"/>
  <c r="J75" i="1"/>
  <c r="E75" i="1"/>
  <c r="D75" i="1"/>
  <c r="J74" i="1"/>
  <c r="D74" i="1"/>
  <c r="J73" i="1"/>
  <c r="E73" i="1"/>
  <c r="D73" i="1"/>
  <c r="J72" i="1"/>
  <c r="E72" i="1"/>
  <c r="D72" i="1"/>
  <c r="J71" i="1"/>
  <c r="E71" i="1"/>
  <c r="D71" i="1"/>
  <c r="J70" i="1"/>
  <c r="E70" i="1"/>
  <c r="D70" i="1"/>
  <c r="E19" i="1"/>
  <c r="D19" i="1"/>
  <c r="Q9" i="1"/>
  <c r="P9" i="1"/>
  <c r="O9" i="1"/>
  <c r="N9" i="1"/>
  <c r="L9" i="1"/>
  <c r="J9" i="1"/>
  <c r="G9" i="1"/>
  <c r="F9" i="1"/>
  <c r="B9" i="1"/>
  <c r="J7" i="1"/>
  <c r="F7" i="1"/>
  <c r="J6" i="1"/>
  <c r="F6" i="1"/>
  <c r="J5" i="1"/>
  <c r="F5" i="1"/>
  <c r="J4" i="1"/>
  <c r="F4" i="1"/>
  <c r="N8" i="2" l="1"/>
  <c r="D4" i="2"/>
  <c r="D5" i="2" s="1"/>
  <c r="E31" i="2"/>
  <c r="F3" i="2"/>
  <c r="C5" i="2"/>
  <c r="Q34" i="2"/>
  <c r="S32" i="2" s="1"/>
  <c r="L8" i="2" s="1"/>
  <c r="E3" i="2"/>
  <c r="E5" i="2" s="1"/>
  <c r="J8" i="2"/>
  <c r="R34" i="2"/>
  <c r="D35" i="2"/>
  <c r="E80" i="1"/>
  <c r="E35" i="2" l="1"/>
  <c r="D36" i="2"/>
  <c r="F5" i="2"/>
  <c r="I8" i="2"/>
  <c r="H8" i="2"/>
  <c r="F35" i="2" l="1"/>
  <c r="E36" i="2"/>
  <c r="F36" i="2" l="1"/>
  <c r="G36" i="2" s="1"/>
  <c r="G35" i="2"/>
</calcChain>
</file>

<file path=xl/sharedStrings.xml><?xml version="1.0" encoding="utf-8"?>
<sst xmlns="http://schemas.openxmlformats.org/spreadsheetml/2006/main" count="387" uniqueCount="187">
  <si>
    <t>FY_2018</t>
  </si>
  <si>
    <t>FY_2023</t>
  </si>
  <si>
    <t>BANKS_FY18</t>
  </si>
  <si>
    <t>ALL SCHEDULED BANKS</t>
  </si>
  <si>
    <t xml:space="preserve"> Advances</t>
  </si>
  <si>
    <t>GROWTH</t>
  </si>
  <si>
    <t>BANKS_FY23</t>
  </si>
  <si>
    <t>INCOME</t>
  </si>
  <si>
    <t>Net Profit</t>
  </si>
  <si>
    <t>MARGIN%</t>
  </si>
  <si>
    <t>NPA%_18</t>
  </si>
  <si>
    <t>NPA%_20</t>
  </si>
  <si>
    <t>NPA%_23</t>
  </si>
  <si>
    <t>Credit - Deposit Ratio</t>
  </si>
  <si>
    <t>Return on assets</t>
  </si>
  <si>
    <t>Return on equity</t>
  </si>
  <si>
    <t>MARKETCAP</t>
  </si>
  <si>
    <t>PUBLIC SECTOR BANKS</t>
  </si>
  <si>
    <t>PRIVATE SECTOR BANKS</t>
  </si>
  <si>
    <t>FOREIGN BANKS</t>
  </si>
  <si>
    <t>SMALL FINANCE BANKS</t>
  </si>
  <si>
    <t>ALL SCHEDULED COMMERCIAL BANKS</t>
  </si>
  <si>
    <t>BANKING</t>
  </si>
  <si>
    <t xml:space="preserve"> Advances_18</t>
  </si>
  <si>
    <t xml:space="preserve"> Advances_23</t>
  </si>
  <si>
    <t>ASCB</t>
  </si>
  <si>
    <t>SFB</t>
  </si>
  <si>
    <t>Banking licensees</t>
  </si>
  <si>
    <t>Sl.No.</t>
  </si>
  <si>
    <t>Original licensee/promoter</t>
  </si>
  <si>
    <t>Commenced</t>
  </si>
  <si>
    <t>Bank name</t>
  </si>
  <si>
    <t>Headquarters</t>
  </si>
  <si>
    <t>Ujjivan Financial Services Pvt Ltd</t>
  </si>
  <si>
    <t>Ujjivan Small Finance Bank</t>
  </si>
  <si>
    <t>Bangalore</t>
  </si>
  <si>
    <t>Janalakshmi Financial Services Pvt Ltd</t>
  </si>
  <si>
    <t>Jana Small Finance Bank</t>
  </si>
  <si>
    <t>Equitas Holdings Pvt Ltd</t>
  </si>
  <si>
    <t>Equitas Small Finance Bank</t>
  </si>
  <si>
    <t>Chennai</t>
  </si>
  <si>
    <t>Au Financiers India Ltd</t>
  </si>
  <si>
    <t>AU Small Finance Bank</t>
  </si>
  <si>
    <t>Jaipur</t>
  </si>
  <si>
    <t>Capital Local Area Bank Ltd</t>
  </si>
  <si>
    <t>Capital Small Finance Bank</t>
  </si>
  <si>
    <t>Jalandhar</t>
  </si>
  <si>
    <t>Disha Microfin Pvt Ltd</t>
  </si>
  <si>
    <t>Fincare Small Finance Bank</t>
  </si>
  <si>
    <t>ESAF Microfinance</t>
  </si>
  <si>
    <t>ESAF Small Finance Bank</t>
  </si>
  <si>
    <t>Thrissur</t>
  </si>
  <si>
    <t>RGVN North East Microfinance Ltd</t>
  </si>
  <si>
    <t>North East Small Finance Bank</t>
  </si>
  <si>
    <t>Guwahati</t>
  </si>
  <si>
    <t>Suryoday Microfinance Pvt Ltd</t>
  </si>
  <si>
    <t>Suryoday Small Finance Bank</t>
  </si>
  <si>
    <t>Navi Mumbai</t>
  </si>
  <si>
    <t>Utkarsh Microfinance Pvt Ltd</t>
  </si>
  <si>
    <t>Utkarsh Small Finance Bank</t>
  </si>
  <si>
    <t>Varanasi</t>
  </si>
  <si>
    <t>Shivalik Mercantile Co-operative Bank Ltd</t>
  </si>
  <si>
    <t>Shivalik Small Finance Bank</t>
  </si>
  <si>
    <t>Noida</t>
  </si>
  <si>
    <t>Centrum Financial Services Limited and BharatPe</t>
  </si>
  <si>
    <t>Unity Small Finance Bank</t>
  </si>
  <si>
    <t xml:space="preserve">Mumbai </t>
  </si>
  <si>
    <t>LISTED SFB</t>
  </si>
  <si>
    <t>FY_2020</t>
  </si>
  <si>
    <t>Security Code</t>
  </si>
  <si>
    <t>Security Name</t>
  </si>
  <si>
    <t>LTP</t>
  </si>
  <si>
    <t>MCAP</t>
  </si>
  <si>
    <t>CDR</t>
  </si>
  <si>
    <t>ROA</t>
  </si>
  <si>
    <t>ROE</t>
  </si>
  <si>
    <t>AUBANK</t>
  </si>
  <si>
    <t>EQUITASBNK</t>
  </si>
  <si>
    <t>UJJIVANSFB</t>
  </si>
  <si>
    <t>UTKARSHBNK</t>
  </si>
  <si>
    <t>JSFB</t>
  </si>
  <si>
    <t>ESAFSFB</t>
  </si>
  <si>
    <t>FINOPB</t>
  </si>
  <si>
    <t>CAPITALSFB</t>
  </si>
  <si>
    <t>SURYODAY</t>
  </si>
  <si>
    <t>TOTAL</t>
  </si>
  <si>
    <t>SIZE</t>
  </si>
  <si>
    <t>QUALITY</t>
  </si>
  <si>
    <t>PROFITABILITY</t>
  </si>
  <si>
    <t>COMPANY</t>
  </si>
  <si>
    <t>PRICE</t>
  </si>
  <si>
    <t>MARKETCAP IN CR</t>
  </si>
  <si>
    <t>SALES</t>
  </si>
  <si>
    <t>PROFIT</t>
  </si>
  <si>
    <t>EPS</t>
  </si>
  <si>
    <t>EQUITY</t>
  </si>
  <si>
    <t>RESERVE</t>
  </si>
  <si>
    <t>DEPOSITS</t>
  </si>
  <si>
    <t>BORROWING</t>
  </si>
  <si>
    <t>ADVANCES</t>
  </si>
  <si>
    <t>ASSETS</t>
  </si>
  <si>
    <t>FV</t>
  </si>
  <si>
    <t>BRANCHES</t>
  </si>
  <si>
    <t>EMPOYEES</t>
  </si>
  <si>
    <t>COSTOFFUND</t>
  </si>
  <si>
    <t>NIM</t>
  </si>
  <si>
    <t>PREVIOUS YEAR</t>
  </si>
  <si>
    <t>SALES GR</t>
  </si>
  <si>
    <t>P-MARGIN</t>
  </si>
  <si>
    <t>GNPA%</t>
  </si>
  <si>
    <t>CAR</t>
  </si>
  <si>
    <t>DEPOSIT GR</t>
  </si>
  <si>
    <t>ADVANCES%</t>
  </si>
  <si>
    <t>TRAIL_PE</t>
  </si>
  <si>
    <t>YIELD</t>
  </si>
  <si>
    <t>PEG</t>
  </si>
  <si>
    <t>BOOKVALUE</t>
  </si>
  <si>
    <t>PBV</t>
  </si>
  <si>
    <t>Year</t>
  </si>
  <si>
    <t>TOTAL INCOME</t>
  </si>
  <si>
    <t>NPM</t>
  </si>
  <si>
    <t>High Price</t>
  </si>
  <si>
    <t>Low Price</t>
  </si>
  <si>
    <t>High P/E</t>
  </si>
  <si>
    <t>Low P/E</t>
  </si>
  <si>
    <t>BOOVALUE</t>
  </si>
  <si>
    <t>A-PBV</t>
  </si>
  <si>
    <t>HFC</t>
  </si>
  <si>
    <t>FY_2012</t>
  </si>
  <si>
    <t>FY_2013</t>
  </si>
  <si>
    <t>FY_2014</t>
  </si>
  <si>
    <t>FY_2015</t>
  </si>
  <si>
    <t>FY_2016</t>
  </si>
  <si>
    <t>FY_2017</t>
  </si>
  <si>
    <t>FY_2019</t>
  </si>
  <si>
    <t>FY_2021</t>
  </si>
  <si>
    <t>FY_2022</t>
  </si>
  <si>
    <t>Revenue</t>
  </si>
  <si>
    <t>5 YEAR</t>
  </si>
  <si>
    <t>3 YEAR</t>
  </si>
  <si>
    <t>LAST YEAR</t>
  </si>
  <si>
    <t>Current Trend</t>
  </si>
  <si>
    <t>Q4_2023</t>
  </si>
  <si>
    <t>Q1_2024</t>
  </si>
  <si>
    <t>Q2_2024</t>
  </si>
  <si>
    <t>Q3_2024</t>
  </si>
  <si>
    <t>T_EPS</t>
  </si>
  <si>
    <t>Estimates</t>
  </si>
  <si>
    <t>Total Income</t>
  </si>
  <si>
    <t>MARGIN</t>
  </si>
  <si>
    <t>YEAR</t>
  </si>
  <si>
    <t>FY_23</t>
  </si>
  <si>
    <t>Q1_FY_24</t>
  </si>
  <si>
    <t>H1_FY_24</t>
  </si>
  <si>
    <t>9M_FY_24</t>
  </si>
  <si>
    <t>EST_FY24</t>
  </si>
  <si>
    <t>LongTerm</t>
  </si>
  <si>
    <t>FY_24</t>
  </si>
  <si>
    <t>EPS_23</t>
  </si>
  <si>
    <t>TRAIL EPS</t>
  </si>
  <si>
    <t>EPS_24</t>
  </si>
  <si>
    <t>FAIRVALUE</t>
  </si>
  <si>
    <t>F_PE</t>
  </si>
  <si>
    <t>FINCARE</t>
  </si>
  <si>
    <t>EST_2024</t>
  </si>
  <si>
    <t>EST_2030</t>
  </si>
  <si>
    <t>EST_2035</t>
  </si>
  <si>
    <t>RESULTS</t>
  </si>
  <si>
    <t>9M_FY_23</t>
  </si>
  <si>
    <t>Growth</t>
  </si>
  <si>
    <t>SHP</t>
  </si>
  <si>
    <t>9M_FY24</t>
  </si>
  <si>
    <t>Promoter</t>
  </si>
  <si>
    <t>COST</t>
  </si>
  <si>
    <t>MutualFunds</t>
  </si>
  <si>
    <t>PROVISONS</t>
  </si>
  <si>
    <t>FPI</t>
  </si>
  <si>
    <t>TOTAL COST</t>
  </si>
  <si>
    <t>Retail</t>
  </si>
  <si>
    <t>Profit</t>
  </si>
  <si>
    <t>GNPA</t>
  </si>
  <si>
    <t>Margin</t>
  </si>
  <si>
    <t>SHARE</t>
  </si>
  <si>
    <t>INTEREST</t>
  </si>
  <si>
    <t>EMPLOYEE</t>
  </si>
  <si>
    <t>OTHERCOST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</si>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</sst>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0#;\-#,#0#"/>
    <numFmt numFmtId="165" formatCode="#,#0#;\-#,#0#;0"/>
    <numFmt numFmtId="166" formatCode="0.0%"/>
    <numFmt numFmtId="167" formatCode="_ * #,##0.0_ ;_ * \-#,##0.0_ ;_ * &quot;-&quot;??_ ;_ @_ "/>
    <numFmt numFmtId="168" formatCode="0.0"/>
    <numFmt numFmtId="169" formatCode="dd&quot;/&quot;mm&quot;/&quot;yyyy"/>
    <numFmt numFmtId="170" formatCode="#,##0.0"/>
    <numFmt numFmtId="171" formatCode="_ * #,##0_ ;_ * \-#,##0_ ;_ * &quot;-&quot;??_ ;_ @_ "/>
    <numFmt numFmtId="172" formatCode="_-* #,##0_-;\-* #,##0_-;_-* &quot;-&quot;??_-;_-@"/>
  </numFmts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Source Code Pro"/>
    </font>
    <font>
      <sz val="9"/>
      <color rgb="FF333333"/>
      <name val="Source Code Pro"/>
    </font>
    <font>
      <sz val="10"/>
      <color rgb="FF000000"/>
      <name val="Source Code Pro"/>
    </font>
    <font>
      <sz val="11"/>
      <color rgb="FFFFFFFF"/>
      <name val="Source Code Pro"/>
    </font>
    <font>
      <i/>
      <u/>
      <sz val="10"/>
      <color rgb="FF000000"/>
      <name val="Source Code Pro"/>
    </font>
    <font>
      <i/>
      <u/>
      <sz val="9"/>
      <color rgb="FF333333"/>
      <name val="Source Code Pro"/>
    </font>
    <font>
      <sz val="11"/>
      <color theme="1"/>
      <name val="Arial"/>
    </font>
    <font>
      <i/>
      <u/>
      <sz val="11"/>
      <color theme="1"/>
      <name val="Source Code Pro"/>
    </font>
    <font>
      <b/>
      <sz val="11"/>
      <color rgb="FFFFFFFF"/>
      <name val="Source Code Pro"/>
    </font>
    <font>
      <sz val="11"/>
      <color theme="0"/>
      <name val="Source Code Pro"/>
    </font>
    <font>
      <i/>
      <sz val="11"/>
      <color theme="1"/>
      <name val="Source Code Pro"/>
    </font>
    <font>
      <sz val="11"/>
      <color rgb="FF000000"/>
      <name val="Source Code Pro"/>
    </font>
    <font>
      <sz val="11"/>
      <color rgb="FF3F3F3F"/>
      <name val="Source Code Pro"/>
    </font>
    <font>
      <b/>
      <sz val="11"/>
      <color rgb="FFFFFFFF"/>
      <name val="Arial"/>
    </font>
    <font>
      <b/>
      <sz val="11"/>
      <color rgb="FFFFFFFF"/>
      <name val="Calibri"/>
    </font>
    <font>
      <b/>
      <sz val="11"/>
      <color theme="0"/>
      <name val="Arial"/>
    </font>
    <font>
      <i/>
      <sz val="11"/>
      <color theme="1"/>
      <name val="Calibri"/>
    </font>
    <font>
      <b/>
      <sz val="14"/>
      <color rgb="FFFFFFFF"/>
      <name val="Arial"/>
    </font>
    <font>
      <b/>
      <sz val="22"/>
      <color theme="1"/>
      <name val="Calibri"/>
      <scheme val="minor"/>
    </font>
    <font>
      <b/>
      <sz val="11"/>
      <color theme="0"/>
      <name val="Calibri"/>
    </font>
    <font>
      <sz val="11"/>
      <name val="Arial"/>
    </font>
    <font>
      <sz val="11"/>
      <color rgb="FF000000"/>
      <name val="Arial"/>
    </font>
    <font>
      <sz val="11"/>
      <color theme="1"/>
      <name val="Calibri"/>
    </font>
    <font>
      <sz val="10"/>
      <color rgb="FF000000"/>
      <name val="Arial"/>
    </font>
    <font>
      <b/>
      <i/>
      <u/>
      <sz val="11"/>
      <color theme="1"/>
      <name val="Calibri"/>
    </font>
    <font>
      <b/>
      <i/>
      <u/>
      <sz val="11"/>
      <color theme="1"/>
      <name val="Arial"/>
    </font>
    <font>
      <b/>
      <i/>
      <u/>
      <sz val="11"/>
      <color rgb="FF000000"/>
      <name val="Arial"/>
    </font>
    <font>
      <b/>
      <u/>
      <sz val="20"/>
      <color rgb="FF0000FF"/>
      <name val="Calibri"/>
    </font>
  </fonts>
  <fills count="67">
    <fill>
      <patternFill patternType="none"/>
    </fill>
    <fill>
      <patternFill patternType="gray125"/>
    </fill>
    <fill>
      <patternFill patternType="solid">
        <fgColor rgb="FFD7EBFF"/>
        <bgColor rgb="FFD7EBFF"/>
      </patternFill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FFEB84"/>
        <bgColor rgb="FFFFEB84"/>
      </patternFill>
    </fill>
    <fill>
      <patternFill patternType="solid">
        <fgColor rgb="FFFA9D75"/>
        <bgColor rgb="FFFA9D75"/>
      </patternFill>
    </fill>
    <fill>
      <patternFill patternType="solid">
        <fgColor rgb="FF63BE7B"/>
        <bgColor rgb="FF63BE7B"/>
      </patternFill>
    </fill>
    <fill>
      <patternFill patternType="solid">
        <fgColor rgb="FF6AC07C"/>
        <bgColor rgb="FF6AC07C"/>
      </patternFill>
    </fill>
    <fill>
      <patternFill patternType="solid">
        <fgColor rgb="FFF8696B"/>
        <bgColor rgb="FFF8696B"/>
      </patternFill>
    </fill>
    <fill>
      <patternFill patternType="solid">
        <fgColor rgb="FFF88486"/>
        <bgColor rgb="FFF88486"/>
      </patternFill>
    </fill>
    <fill>
      <patternFill patternType="solid">
        <fgColor rgb="FFE6F3EC"/>
        <bgColor rgb="FFE6F3EC"/>
      </patternFill>
    </fill>
    <fill>
      <patternFill patternType="solid">
        <fgColor rgb="FF57BB8A"/>
        <bgColor rgb="FF57BB8A"/>
      </patternFill>
    </fill>
    <fill>
      <patternFill patternType="solid">
        <fgColor rgb="FFE67C73"/>
        <bgColor rgb="FFE67C73"/>
      </patternFill>
    </fill>
    <fill>
      <patternFill patternType="solid">
        <fgColor rgb="FFD1EDDF"/>
        <bgColor rgb="FFD1EDDF"/>
      </patternFill>
    </fill>
    <fill>
      <patternFill patternType="solid">
        <fgColor rgb="FFD7EFE3"/>
        <bgColor rgb="FFD7EFE3"/>
      </patternFill>
    </fill>
    <fill>
      <patternFill patternType="solid">
        <fgColor rgb="FFDDF2E7"/>
        <bgColor rgb="FFDDF2E7"/>
      </patternFill>
    </fill>
    <fill>
      <patternFill patternType="solid">
        <fgColor rgb="FFD3EEE1"/>
        <bgColor rgb="FFD3EEE1"/>
      </patternFill>
    </fill>
    <fill>
      <patternFill patternType="solid">
        <fgColor rgb="FF88CFAD"/>
        <bgColor rgb="FF88CFAD"/>
      </patternFill>
    </fill>
    <fill>
      <patternFill patternType="solid">
        <fgColor rgb="FFF3C0BB"/>
        <bgColor rgb="FFF3C0BB"/>
      </patternFill>
    </fill>
    <fill>
      <patternFill patternType="solid">
        <fgColor rgb="FFFBECEB"/>
        <bgColor rgb="FFFBECEB"/>
      </patternFill>
    </fill>
    <fill>
      <patternFill patternType="solid">
        <fgColor rgb="FFF0F9F5"/>
        <bgColor rgb="FFF0F9F5"/>
      </patternFill>
    </fill>
    <fill>
      <patternFill patternType="solid">
        <fgColor rgb="FFEC9C95"/>
        <bgColor rgb="FFEC9C95"/>
      </patternFill>
    </fill>
    <fill>
      <patternFill patternType="solid">
        <fgColor rgb="FFF9E3E2"/>
        <bgColor rgb="FFF9E3E2"/>
      </patternFill>
    </fill>
    <fill>
      <patternFill patternType="solid">
        <fgColor rgb="FFF2BFBB"/>
        <bgColor rgb="FFF2BFBB"/>
      </patternFill>
    </fill>
    <fill>
      <patternFill patternType="solid">
        <fgColor rgb="FFE88B83"/>
        <bgColor rgb="FFE88B83"/>
      </patternFill>
    </fill>
    <fill>
      <patternFill patternType="solid">
        <fgColor rgb="FFE2F4EB"/>
        <bgColor rgb="FFE2F4EB"/>
      </patternFill>
    </fill>
    <fill>
      <patternFill patternType="solid">
        <fgColor rgb="FFE7857C"/>
        <bgColor rgb="FFE7857C"/>
      </patternFill>
    </fill>
    <fill>
      <patternFill patternType="solid">
        <fgColor rgb="FFF8FDFB"/>
        <bgColor rgb="FFF8FDFB"/>
      </patternFill>
    </fill>
    <fill>
      <patternFill patternType="solid">
        <fgColor rgb="FFEB9A93"/>
        <bgColor rgb="FFEB9A93"/>
      </patternFill>
    </fill>
    <fill>
      <patternFill patternType="solid">
        <fgColor rgb="FFFBC868"/>
        <bgColor rgb="FFFBC868"/>
      </patternFill>
    </fill>
    <fill>
      <patternFill patternType="solid">
        <fgColor rgb="FF88C280"/>
        <bgColor rgb="FF88C280"/>
      </patternFill>
    </fill>
    <fill>
      <patternFill patternType="solid">
        <fgColor rgb="FF6ABE86"/>
        <bgColor rgb="FF6ABE86"/>
      </patternFill>
    </fill>
    <fill>
      <patternFill patternType="solid">
        <fgColor rgb="FFFFD666"/>
        <bgColor rgb="FFFFD666"/>
      </patternFill>
    </fill>
    <fill>
      <patternFill patternType="solid">
        <fgColor rgb="FFF8BC69"/>
        <bgColor rgb="FFF8BC69"/>
      </patternFill>
    </fill>
    <fill>
      <patternFill patternType="solid">
        <fgColor rgb="FF5EBC89"/>
        <bgColor rgb="FF5EBC89"/>
      </patternFill>
    </fill>
    <fill>
      <patternFill patternType="solid">
        <fgColor rgb="FF5FBC89"/>
        <bgColor rgb="FF5FBC89"/>
      </patternFill>
    </fill>
    <fill>
      <patternFill patternType="solid">
        <fgColor rgb="FF84C281"/>
        <bgColor rgb="FF84C281"/>
      </patternFill>
    </fill>
    <fill>
      <patternFill patternType="solid">
        <fgColor rgb="FFED936F"/>
        <bgColor rgb="FFED936F"/>
      </patternFill>
    </fill>
    <fill>
      <patternFill patternType="solid">
        <fgColor rgb="FFF09F6D"/>
        <bgColor rgb="FFF09F6D"/>
      </patternFill>
    </fill>
    <fill>
      <patternFill patternType="solid">
        <fgColor rgb="FFF09D6E"/>
        <bgColor rgb="FFF09D6E"/>
      </patternFill>
    </fill>
    <fill>
      <patternFill patternType="solid">
        <fgColor rgb="FFF3D469"/>
        <bgColor rgb="FFF3D469"/>
      </patternFill>
    </fill>
    <fill>
      <patternFill patternType="solid">
        <fgColor rgb="FFF9D568"/>
        <bgColor rgb="FFF9D568"/>
      </patternFill>
    </fill>
    <fill>
      <patternFill patternType="solid">
        <fgColor rgb="FFAAC879"/>
        <bgColor rgb="FFAAC879"/>
      </patternFill>
    </fill>
    <fill>
      <patternFill patternType="solid">
        <fgColor rgb="FFF09F6E"/>
        <bgColor rgb="FFF09F6E"/>
      </patternFill>
    </fill>
    <fill>
      <patternFill patternType="solid">
        <fgColor rgb="FFF1A16D"/>
        <bgColor rgb="FFF1A16D"/>
      </patternFill>
    </fill>
    <fill>
      <patternFill patternType="solid">
        <fgColor rgb="FFFED166"/>
        <bgColor rgb="FFFED166"/>
      </patternFill>
    </fill>
    <fill>
      <patternFill patternType="solid">
        <fgColor rgb="FFE5D16C"/>
        <bgColor rgb="FFE5D16C"/>
      </patternFill>
    </fill>
    <fill>
      <patternFill patternType="solid">
        <fgColor rgb="FFFCC967"/>
        <bgColor rgb="FFFCC967"/>
      </patternFill>
    </fill>
    <fill>
      <patternFill patternType="solid">
        <fgColor rgb="FFF4FBF8"/>
        <bgColor rgb="FFF4FBF8"/>
      </patternFill>
    </fill>
    <fill>
      <patternFill patternType="solid">
        <fgColor rgb="FFFCF1F0"/>
        <bgColor rgb="FFFCF1F0"/>
      </patternFill>
    </fill>
    <fill>
      <patternFill patternType="solid">
        <fgColor rgb="FFF2FAF6"/>
        <bgColor rgb="FFF2FAF6"/>
      </patternFill>
    </fill>
    <fill>
      <patternFill patternType="solid">
        <fgColor rgb="FFF5CDC9"/>
        <bgColor rgb="FFF5CDC9"/>
      </patternFill>
    </fill>
    <fill>
      <patternFill patternType="solid">
        <fgColor rgb="FFC6E8D8"/>
        <bgColor rgb="FFC6E8D8"/>
      </patternFill>
    </fill>
    <fill>
      <patternFill patternType="solid">
        <fgColor rgb="FFBBE4D0"/>
        <bgColor rgb="FFBBE4D0"/>
      </patternFill>
    </fill>
    <fill>
      <patternFill patternType="solid">
        <fgColor rgb="FFEDA49D"/>
        <bgColor rgb="FFEDA49D"/>
      </patternFill>
    </fill>
    <fill>
      <patternFill patternType="solid">
        <fgColor rgb="FFFAFDFC"/>
        <bgColor rgb="FFFAFDFC"/>
      </patternFill>
    </fill>
    <fill>
      <patternFill patternType="solid">
        <fgColor rgb="FFE1F3EA"/>
        <bgColor rgb="FFE1F3EA"/>
      </patternFill>
    </fill>
    <fill>
      <patternFill patternType="solid">
        <fgColor rgb="FFE7837A"/>
        <bgColor rgb="FFE7837A"/>
      </patternFill>
    </fill>
    <fill>
      <patternFill patternType="solid">
        <fgColor rgb="FFECA099"/>
        <bgColor rgb="FFECA099"/>
      </patternFill>
    </fill>
    <fill>
      <patternFill patternType="solid">
        <fgColor rgb="FFF0B4AF"/>
        <bgColor rgb="FFF0B4AF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5" fillId="3" borderId="0" xfId="0" applyFont="1" applyFill="1"/>
    <xf numFmtId="49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/>
    </xf>
    <xf numFmtId="166" fontId="4" fillId="0" borderId="1" xfId="0" applyNumberFormat="1" applyFont="1" applyBorder="1"/>
    <xf numFmtId="3" fontId="3" fillId="4" borderId="1" xfId="0" applyNumberFormat="1" applyFont="1" applyFill="1" applyBorder="1" applyAlignment="1">
      <alignment horizontal="right"/>
    </xf>
    <xf numFmtId="9" fontId="4" fillId="0" borderId="1" xfId="0" applyNumberFormat="1" applyFont="1" applyBorder="1"/>
    <xf numFmtId="167" fontId="4" fillId="0" borderId="1" xfId="0" applyNumberFormat="1" applyFont="1" applyBorder="1"/>
    <xf numFmtId="168" fontId="4" fillId="0" borderId="1" xfId="0" applyNumberFormat="1" applyFont="1" applyBorder="1"/>
    <xf numFmtId="0" fontId="4" fillId="0" borderId="2" xfId="0" applyFont="1" applyBorder="1"/>
    <xf numFmtId="49" fontId="3" fillId="2" borderId="2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6" fontId="4" fillId="0" borderId="2" xfId="0" applyNumberFormat="1" applyFont="1" applyBorder="1"/>
    <xf numFmtId="3" fontId="3" fillId="4" borderId="2" xfId="0" applyNumberFormat="1" applyFont="1" applyFill="1" applyBorder="1" applyAlignment="1">
      <alignment horizontal="right"/>
    </xf>
    <xf numFmtId="9" fontId="4" fillId="0" borderId="2" xfId="0" applyNumberFormat="1" applyFont="1" applyBorder="1"/>
    <xf numFmtId="0" fontId="2" fillId="0" borderId="3" xfId="0" applyFont="1" applyBorder="1"/>
    <xf numFmtId="168" fontId="4" fillId="0" borderId="2" xfId="0" applyNumberFormat="1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6" fillId="0" borderId="2" xfId="0" applyFont="1" applyBorder="1"/>
    <xf numFmtId="49" fontId="7" fillId="4" borderId="2" xfId="0" applyNumberFormat="1" applyFont="1" applyFill="1" applyBorder="1" applyAlignment="1">
      <alignment horizontal="left" wrapText="1"/>
    </xf>
    <xf numFmtId="164" fontId="7" fillId="4" borderId="2" xfId="0" applyNumberFormat="1" applyFont="1" applyFill="1" applyBorder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166" fontId="6" fillId="0" borderId="2" xfId="0" applyNumberFormat="1" applyFont="1" applyBorder="1"/>
    <xf numFmtId="3" fontId="7" fillId="4" borderId="2" xfId="0" applyNumberFormat="1" applyFont="1" applyFill="1" applyBorder="1" applyAlignment="1">
      <alignment horizontal="right"/>
    </xf>
    <xf numFmtId="9" fontId="6" fillId="0" borderId="2" xfId="0" applyNumberFormat="1" applyFont="1" applyBorder="1"/>
    <xf numFmtId="167" fontId="6" fillId="0" borderId="2" xfId="0" applyNumberFormat="1" applyFont="1" applyBorder="1"/>
    <xf numFmtId="0" fontId="5" fillId="3" borderId="5" xfId="0" applyFont="1" applyFill="1" applyBorder="1"/>
    <xf numFmtId="0" fontId="2" fillId="5" borderId="4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2" fillId="8" borderId="6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8" fillId="0" borderId="4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49" fontId="3" fillId="2" borderId="4" xfId="0" applyNumberFormat="1" applyFont="1" applyFill="1" applyBorder="1"/>
    <xf numFmtId="166" fontId="2" fillId="10" borderId="6" xfId="0" applyNumberFormat="1" applyFont="1" applyFill="1" applyBorder="1" applyAlignment="1">
      <alignment horizontal="right"/>
    </xf>
    <xf numFmtId="166" fontId="2" fillId="11" borderId="6" xfId="0" applyNumberFormat="1" applyFont="1" applyFill="1" applyBorder="1" applyAlignment="1">
      <alignment horizontal="right"/>
    </xf>
    <xf numFmtId="166" fontId="2" fillId="9" borderId="6" xfId="0" applyNumberFormat="1" applyFont="1" applyFill="1" applyBorder="1" applyAlignment="1">
      <alignment horizontal="right"/>
    </xf>
    <xf numFmtId="49" fontId="3" fillId="2" borderId="7" xfId="0" applyNumberFormat="1" applyFont="1" applyFill="1" applyBorder="1"/>
    <xf numFmtId="166" fontId="2" fillId="7" borderId="8" xfId="0" applyNumberFormat="1" applyFont="1" applyFill="1" applyBorder="1" applyAlignment="1">
      <alignment horizontal="right"/>
    </xf>
    <xf numFmtId="166" fontId="9" fillId="5" borderId="8" xfId="0" applyNumberFormat="1" applyFont="1" applyFill="1" applyBorder="1" applyAlignment="1">
      <alignment horizontal="right"/>
    </xf>
    <xf numFmtId="169" fontId="2" fillId="0" borderId="0" xfId="0" applyNumberFormat="1" applyFont="1"/>
    <xf numFmtId="169" fontId="2" fillId="0" borderId="3" xfId="0" applyNumberFormat="1" applyFont="1" applyBorder="1"/>
    <xf numFmtId="164" fontId="2" fillId="0" borderId="0" xfId="0" applyNumberFormat="1" applyFont="1"/>
    <xf numFmtId="164" fontId="5" fillId="3" borderId="0" xfId="0" applyNumberFormat="1" applyFont="1" applyFill="1"/>
    <xf numFmtId="1" fontId="2" fillId="4" borderId="9" xfId="0" applyNumberFormat="1" applyFont="1" applyFill="1" applyBorder="1"/>
    <xf numFmtId="165" fontId="2" fillId="0" borderId="0" xfId="0" applyNumberFormat="1" applyFont="1"/>
    <xf numFmtId="166" fontId="2" fillId="0" borderId="0" xfId="0" applyNumberFormat="1" applyFont="1"/>
    <xf numFmtId="3" fontId="2" fillId="0" borderId="0" xfId="0" applyNumberFormat="1" applyFont="1"/>
    <xf numFmtId="170" fontId="2" fillId="0" borderId="0" xfId="0" applyNumberFormat="1" applyFont="1"/>
    <xf numFmtId="4" fontId="2" fillId="0" borderId="0" xfId="0" applyNumberFormat="1" applyFont="1"/>
    <xf numFmtId="0" fontId="2" fillId="0" borderId="10" xfId="0" applyFont="1" applyBorder="1"/>
    <xf numFmtId="1" fontId="2" fillId="0" borderId="10" xfId="0" applyNumberFormat="1" applyFont="1" applyBorder="1"/>
    <xf numFmtId="165" fontId="2" fillId="0" borderId="10" xfId="0" applyNumberFormat="1" applyFont="1" applyBorder="1"/>
    <xf numFmtId="166" fontId="2" fillId="0" borderId="10" xfId="0" applyNumberFormat="1" applyFont="1" applyBorder="1"/>
    <xf numFmtId="3" fontId="2" fillId="0" borderId="10" xfId="0" applyNumberFormat="1" applyFont="1" applyBorder="1"/>
    <xf numFmtId="170" fontId="2" fillId="0" borderId="10" xfId="0" applyNumberFormat="1" applyFont="1" applyBorder="1"/>
    <xf numFmtId="4" fontId="2" fillId="0" borderId="10" xfId="0" applyNumberFormat="1" applyFont="1" applyBorder="1"/>
    <xf numFmtId="0" fontId="10" fillId="3" borderId="0" xfId="0" applyFont="1" applyFill="1"/>
    <xf numFmtId="0" fontId="2" fillId="0" borderId="11" xfId="0" applyFont="1" applyBorder="1"/>
    <xf numFmtId="1" fontId="2" fillId="12" borderId="12" xfId="0" applyNumberFormat="1" applyFont="1" applyFill="1" applyBorder="1" applyAlignment="1">
      <alignment horizontal="right"/>
    </xf>
    <xf numFmtId="3" fontId="2" fillId="12" borderId="0" xfId="0" applyNumberFormat="1" applyFont="1" applyFill="1" applyAlignment="1">
      <alignment horizontal="right"/>
    </xf>
    <xf numFmtId="1" fontId="2" fillId="13" borderId="12" xfId="0" applyNumberFormat="1" applyFont="1" applyFill="1" applyBorder="1" applyAlignment="1">
      <alignment horizontal="right"/>
    </xf>
    <xf numFmtId="3" fontId="2" fillId="14" borderId="0" xfId="0" applyNumberFormat="1" applyFont="1" applyFill="1" applyAlignment="1">
      <alignment horizontal="right"/>
    </xf>
    <xf numFmtId="3" fontId="2" fillId="15" borderId="0" xfId="0" applyNumberFormat="1" applyFont="1" applyFill="1" applyAlignment="1">
      <alignment horizontal="right"/>
    </xf>
    <xf numFmtId="1" fontId="2" fillId="16" borderId="12" xfId="0" applyNumberFormat="1" applyFont="1" applyFill="1" applyBorder="1" applyAlignment="1">
      <alignment horizontal="right"/>
    </xf>
    <xf numFmtId="3" fontId="2" fillId="17" borderId="0" xfId="0" applyNumberFormat="1" applyFont="1" applyFill="1" applyAlignment="1">
      <alignment horizontal="right"/>
    </xf>
    <xf numFmtId="3" fontId="2" fillId="18" borderId="0" xfId="0" applyNumberFormat="1" applyFont="1" applyFill="1" applyAlignment="1">
      <alignment horizontal="right"/>
    </xf>
    <xf numFmtId="1" fontId="2" fillId="19" borderId="12" xfId="0" applyNumberFormat="1" applyFont="1" applyFill="1" applyBorder="1" applyAlignment="1">
      <alignment horizontal="right"/>
    </xf>
    <xf numFmtId="3" fontId="2" fillId="20" borderId="0" xfId="0" applyNumberFormat="1" applyFont="1" applyFill="1" applyAlignment="1">
      <alignment horizontal="right"/>
    </xf>
    <xf numFmtId="3" fontId="2" fillId="21" borderId="0" xfId="0" applyNumberFormat="1" applyFont="1" applyFill="1" applyAlignment="1">
      <alignment horizontal="right"/>
    </xf>
    <xf numFmtId="1" fontId="2" fillId="22" borderId="12" xfId="0" applyNumberFormat="1" applyFont="1" applyFill="1" applyBorder="1" applyAlignment="1">
      <alignment horizontal="right"/>
    </xf>
    <xf numFmtId="3" fontId="2" fillId="23" borderId="0" xfId="0" applyNumberFormat="1" applyFont="1" applyFill="1" applyAlignment="1">
      <alignment horizontal="right"/>
    </xf>
    <xf numFmtId="1" fontId="2" fillId="4" borderId="12" xfId="0" applyNumberFormat="1" applyFont="1" applyFill="1" applyBorder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2" fillId="24" borderId="0" xfId="0" applyNumberFormat="1" applyFont="1" applyFill="1" applyAlignment="1">
      <alignment horizontal="right"/>
    </xf>
    <xf numFmtId="3" fontId="2" fillId="25" borderId="0" xfId="0" applyNumberFormat="1" applyFont="1" applyFill="1" applyAlignment="1">
      <alignment horizontal="right"/>
    </xf>
    <xf numFmtId="1" fontId="2" fillId="26" borderId="12" xfId="0" applyNumberFormat="1" applyFont="1" applyFill="1" applyBorder="1" applyAlignment="1">
      <alignment horizontal="right"/>
    </xf>
    <xf numFmtId="3" fontId="2" fillId="13" borderId="0" xfId="0" applyNumberFormat="1" applyFont="1" applyFill="1" applyAlignment="1">
      <alignment horizontal="right"/>
    </xf>
    <xf numFmtId="3" fontId="2" fillId="27" borderId="0" xfId="0" applyNumberFormat="1" applyFont="1" applyFill="1" applyAlignment="1">
      <alignment horizontal="right"/>
    </xf>
    <xf numFmtId="0" fontId="2" fillId="0" borderId="13" xfId="0" applyFont="1" applyBorder="1"/>
    <xf numFmtId="1" fontId="2" fillId="28" borderId="13" xfId="0" applyNumberFormat="1" applyFont="1" applyFill="1" applyBorder="1" applyAlignment="1">
      <alignment horizontal="right"/>
    </xf>
    <xf numFmtId="165" fontId="2" fillId="0" borderId="3" xfId="0" applyNumberFormat="1" applyFont="1" applyBorder="1"/>
    <xf numFmtId="3" fontId="2" fillId="29" borderId="0" xfId="0" applyNumberFormat="1" applyFont="1" applyFill="1" applyAlignment="1">
      <alignment horizontal="right"/>
    </xf>
    <xf numFmtId="0" fontId="8" fillId="0" borderId="3" xfId="0" applyFont="1" applyBorder="1"/>
    <xf numFmtId="1" fontId="2" fillId="0" borderId="1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2" fillId="0" borderId="3" xfId="0" applyNumberFormat="1" applyFont="1" applyBorder="1"/>
    <xf numFmtId="166" fontId="2" fillId="0" borderId="0" xfId="0" applyNumberFormat="1" applyFont="1" applyAlignment="1">
      <alignment horizontal="right"/>
    </xf>
    <xf numFmtId="4" fontId="2" fillId="30" borderId="0" xfId="0" applyNumberFormat="1" applyFont="1" applyFill="1" applyAlignment="1">
      <alignment horizontal="right"/>
    </xf>
    <xf numFmtId="170" fontId="2" fillId="31" borderId="0" xfId="0" applyNumberFormat="1" applyFont="1" applyFill="1" applyAlignment="1">
      <alignment horizontal="right"/>
    </xf>
    <xf numFmtId="170" fontId="2" fillId="32" borderId="0" xfId="0" applyNumberFormat="1" applyFont="1" applyFill="1" applyAlignment="1">
      <alignment horizontal="right"/>
    </xf>
    <xf numFmtId="4" fontId="2" fillId="13" borderId="0" xfId="0" applyNumberFormat="1" applyFont="1" applyFill="1" applyAlignment="1">
      <alignment horizontal="right"/>
    </xf>
    <xf numFmtId="170" fontId="2" fillId="33" borderId="0" xfId="0" applyNumberFormat="1" applyFont="1" applyFill="1" applyAlignment="1">
      <alignment horizontal="right"/>
    </xf>
    <xf numFmtId="170" fontId="2" fillId="34" borderId="0" xfId="0" applyNumberFormat="1" applyFont="1" applyFill="1" applyAlignment="1">
      <alignment horizontal="right"/>
    </xf>
    <xf numFmtId="4" fontId="2" fillId="35" borderId="0" xfId="0" applyNumberFormat="1" applyFont="1" applyFill="1" applyAlignment="1">
      <alignment horizontal="right"/>
    </xf>
    <xf numFmtId="170" fontId="2" fillId="12" borderId="0" xfId="0" applyNumberFormat="1" applyFont="1" applyFill="1" applyAlignment="1">
      <alignment horizontal="right"/>
    </xf>
    <xf numFmtId="170" fontId="2" fillId="36" borderId="0" xfId="0" applyNumberFormat="1" applyFont="1" applyFill="1" applyAlignment="1">
      <alignment horizontal="right"/>
    </xf>
    <xf numFmtId="4" fontId="2" fillId="12" borderId="0" xfId="0" applyNumberFormat="1" applyFont="1" applyFill="1" applyAlignment="1">
      <alignment horizontal="right"/>
    </xf>
    <xf numFmtId="170" fontId="2" fillId="37" borderId="0" xfId="0" applyNumberFormat="1" applyFont="1" applyFill="1" applyAlignment="1">
      <alignment horizontal="right"/>
    </xf>
    <xf numFmtId="4" fontId="2" fillId="38" borderId="0" xfId="0" applyNumberFormat="1" applyFont="1" applyFill="1" applyAlignment="1">
      <alignment horizontal="right"/>
    </xf>
    <xf numFmtId="170" fontId="2" fillId="39" borderId="0" xfId="0" applyNumberFormat="1" applyFont="1" applyFill="1" applyAlignment="1">
      <alignment horizontal="right"/>
    </xf>
    <xf numFmtId="170" fontId="2" fillId="40" borderId="0" xfId="0" applyNumberFormat="1" applyFont="1" applyFill="1" applyAlignment="1">
      <alignment horizontal="right"/>
    </xf>
    <xf numFmtId="4" fontId="2" fillId="33" borderId="0" xfId="0" applyNumberFormat="1" applyFont="1" applyFill="1" applyAlignment="1">
      <alignment horizontal="right"/>
    </xf>
    <xf numFmtId="170" fontId="2" fillId="41" borderId="0" xfId="0" applyNumberFormat="1" applyFont="1" applyFill="1" applyAlignment="1">
      <alignment horizontal="right"/>
    </xf>
    <xf numFmtId="170" fontId="2" fillId="42" borderId="0" xfId="0" applyNumberFormat="1" applyFont="1" applyFill="1" applyAlignment="1">
      <alignment horizontal="right"/>
    </xf>
    <xf numFmtId="4" fontId="2" fillId="43" borderId="0" xfId="0" applyNumberFormat="1" applyFont="1" applyFill="1" applyAlignment="1">
      <alignment horizontal="right"/>
    </xf>
    <xf numFmtId="170" fontId="2" fillId="13" borderId="0" xfId="0" applyNumberFormat="1" applyFont="1" applyFill="1" applyAlignment="1">
      <alignment horizontal="right"/>
    </xf>
    <xf numFmtId="170" fontId="2" fillId="44" borderId="0" xfId="0" applyNumberFormat="1" applyFont="1" applyFill="1" applyAlignment="1">
      <alignment horizontal="right"/>
    </xf>
    <xf numFmtId="4" fontId="2" fillId="45" borderId="0" xfId="0" applyNumberFormat="1" applyFont="1" applyFill="1" applyAlignment="1">
      <alignment horizontal="right"/>
    </xf>
    <xf numFmtId="170" fontId="2" fillId="46" borderId="0" xfId="0" applyNumberFormat="1" applyFont="1" applyFill="1" applyAlignment="1">
      <alignment horizontal="right"/>
    </xf>
    <xf numFmtId="4" fontId="2" fillId="47" borderId="0" xfId="0" applyNumberFormat="1" applyFont="1" applyFill="1" applyAlignment="1">
      <alignment horizontal="right"/>
    </xf>
    <xf numFmtId="170" fontId="2" fillId="48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2" fillId="49" borderId="0" xfId="0" applyNumberFormat="1" applyFont="1" applyFill="1" applyAlignment="1">
      <alignment horizontal="right"/>
    </xf>
    <xf numFmtId="170" fontId="2" fillId="50" borderId="0" xfId="0" applyNumberFormat="1" applyFont="1" applyFill="1" applyAlignment="1">
      <alignment horizontal="right"/>
    </xf>
    <xf numFmtId="170" fontId="2" fillId="51" borderId="0" xfId="0" applyNumberFormat="1" applyFont="1" applyFill="1" applyAlignment="1">
      <alignment horizontal="right"/>
    </xf>
    <xf numFmtId="170" fontId="2" fillId="52" borderId="0" xfId="0" applyNumberFormat="1" applyFont="1" applyFill="1" applyAlignment="1">
      <alignment horizontal="right"/>
    </xf>
    <xf numFmtId="170" fontId="2" fillId="53" borderId="0" xfId="0" applyNumberFormat="1" applyFont="1" applyFill="1" applyAlignment="1">
      <alignment horizontal="right"/>
    </xf>
    <xf numFmtId="170" fontId="2" fillId="54" borderId="0" xfId="0" applyNumberFormat="1" applyFont="1" applyFill="1" applyAlignment="1">
      <alignment horizontal="right"/>
    </xf>
    <xf numFmtId="170" fontId="2" fillId="55" borderId="0" xfId="0" applyNumberFormat="1" applyFont="1" applyFill="1" applyAlignment="1">
      <alignment horizontal="right"/>
    </xf>
    <xf numFmtId="170" fontId="2" fillId="56" borderId="0" xfId="0" applyNumberFormat="1" applyFont="1" applyFill="1" applyAlignment="1">
      <alignment horizontal="right"/>
    </xf>
    <xf numFmtId="170" fontId="2" fillId="4" borderId="0" xfId="0" applyNumberFormat="1" applyFont="1" applyFill="1" applyAlignment="1">
      <alignment horizontal="right"/>
    </xf>
    <xf numFmtId="170" fontId="2" fillId="57" borderId="0" xfId="0" applyNumberFormat="1" applyFont="1" applyFill="1" applyAlignment="1">
      <alignment horizontal="right"/>
    </xf>
    <xf numFmtId="170" fontId="2" fillId="58" borderId="0" xfId="0" applyNumberFormat="1" applyFont="1" applyFill="1" applyAlignment="1">
      <alignment horizontal="right"/>
    </xf>
    <xf numFmtId="170" fontId="2" fillId="59" borderId="0" xfId="0" applyNumberFormat="1" applyFont="1" applyFill="1" applyAlignment="1">
      <alignment horizontal="right"/>
    </xf>
    <xf numFmtId="170" fontId="2" fillId="60" borderId="0" xfId="0" applyNumberFormat="1" applyFont="1" applyFill="1" applyAlignment="1">
      <alignment horizontal="right"/>
    </xf>
    <xf numFmtId="0" fontId="11" fillId="61" borderId="1" xfId="0" applyFont="1" applyFill="1" applyBorder="1" applyAlignment="1">
      <alignment horizontal="center"/>
    </xf>
    <xf numFmtId="0" fontId="5" fillId="61" borderId="1" xfId="0" applyFont="1" applyFill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62" borderId="1" xfId="0" applyFont="1" applyFill="1" applyBorder="1" applyAlignment="1">
      <alignment horizontal="right"/>
    </xf>
    <xf numFmtId="10" fontId="1" fillId="0" borderId="1" xfId="0" applyNumberFormat="1" applyFont="1" applyBorder="1"/>
    <xf numFmtId="0" fontId="2" fillId="62" borderId="1" xfId="0" applyFont="1" applyFill="1" applyBorder="1" applyAlignment="1">
      <alignment horizontal="center"/>
    </xf>
    <xf numFmtId="0" fontId="2" fillId="62" borderId="1" xfId="0" applyFont="1" applyFill="1" applyBorder="1"/>
    <xf numFmtId="1" fontId="2" fillId="62" borderId="1" xfId="0" applyNumberFormat="1" applyFont="1" applyFill="1" applyBorder="1"/>
    <xf numFmtId="0" fontId="2" fillId="62" borderId="2" xfId="0" applyFont="1" applyFill="1" applyBorder="1" applyAlignment="1">
      <alignment horizontal="center"/>
    </xf>
    <xf numFmtId="166" fontId="12" fillId="63" borderId="2" xfId="0" applyNumberFormat="1" applyFont="1" applyFill="1" applyBorder="1"/>
    <xf numFmtId="3" fontId="12" fillId="63" borderId="2" xfId="0" applyNumberFormat="1" applyFont="1" applyFill="1" applyBorder="1"/>
    <xf numFmtId="166" fontId="12" fillId="63" borderId="1" xfId="0" applyNumberFormat="1" applyFont="1" applyFill="1" applyBorder="1"/>
    <xf numFmtId="0" fontId="2" fillId="62" borderId="0" xfId="0" applyFont="1" applyFill="1"/>
    <xf numFmtId="1" fontId="2" fillId="0" borderId="14" xfId="0" applyNumberFormat="1" applyFont="1" applyBorder="1" applyAlignment="1">
      <alignment horizontal="right"/>
    </xf>
    <xf numFmtId="0" fontId="11" fillId="61" borderId="15" xfId="0" applyFont="1" applyFill="1" applyBorder="1" applyAlignment="1">
      <alignment horizontal="center"/>
    </xf>
    <xf numFmtId="0" fontId="5" fillId="61" borderId="15" xfId="0" applyFont="1" applyFill="1" applyBorder="1" applyAlignment="1">
      <alignment horizontal="center"/>
    </xf>
    <xf numFmtId="9" fontId="2" fillId="64" borderId="1" xfId="0" applyNumberFormat="1" applyFont="1" applyFill="1" applyBorder="1" applyAlignment="1">
      <alignment horizontal="right"/>
    </xf>
    <xf numFmtId="166" fontId="2" fillId="64" borderId="1" xfId="0" applyNumberFormat="1" applyFont="1" applyFill="1" applyBorder="1" applyAlignment="1">
      <alignment horizontal="right"/>
    </xf>
    <xf numFmtId="10" fontId="2" fillId="64" borderId="0" xfId="0" applyNumberFormat="1" applyFont="1" applyFill="1"/>
    <xf numFmtId="3" fontId="2" fillId="64" borderId="1" xfId="0" applyNumberFormat="1" applyFont="1" applyFill="1" applyBorder="1" applyAlignment="1">
      <alignment horizontal="right"/>
    </xf>
    <xf numFmtId="170" fontId="2" fillId="64" borderId="1" xfId="0" applyNumberFormat="1" applyFont="1" applyFill="1" applyBorder="1" applyAlignment="1">
      <alignment horizontal="right"/>
    </xf>
    <xf numFmtId="9" fontId="2" fillId="0" borderId="0" xfId="0" applyNumberFormat="1" applyFont="1"/>
    <xf numFmtId="0" fontId="11" fillId="61" borderId="0" xfId="0" applyFont="1" applyFill="1" applyAlignment="1">
      <alignment horizontal="center"/>
    </xf>
    <xf numFmtId="0" fontId="5" fillId="61" borderId="0" xfId="0" applyFont="1" applyFill="1" applyAlignment="1">
      <alignment horizontal="center"/>
    </xf>
    <xf numFmtId="0" fontId="13" fillId="62" borderId="0" xfId="0" applyFont="1" applyFill="1" applyAlignment="1">
      <alignment horizontal="left"/>
    </xf>
    <xf numFmtId="171" fontId="2" fillId="0" borderId="0" xfId="0" applyNumberFormat="1" applyFont="1" applyAlignment="1">
      <alignment horizontal="right"/>
    </xf>
    <xf numFmtId="171" fontId="13" fillId="0" borderId="0" xfId="0" applyNumberFormat="1" applyFont="1" applyAlignment="1">
      <alignment horizontal="right"/>
    </xf>
    <xf numFmtId="166" fontId="2" fillId="62" borderId="0" xfId="0" applyNumberFormat="1" applyFont="1" applyFill="1"/>
    <xf numFmtId="1" fontId="2" fillId="62" borderId="0" xfId="0" applyNumberFormat="1" applyFont="1" applyFill="1"/>
    <xf numFmtId="0" fontId="13" fillId="62" borderId="3" xfId="0" applyFont="1" applyFill="1" applyBorder="1" applyAlignment="1">
      <alignment horizontal="left"/>
    </xf>
    <xf numFmtId="171" fontId="2" fillId="0" borderId="3" xfId="0" applyNumberFormat="1" applyFont="1" applyBorder="1" applyAlignment="1">
      <alignment horizontal="right"/>
    </xf>
    <xf numFmtId="171" fontId="13" fillId="0" borderId="3" xfId="0" applyNumberFormat="1" applyFont="1" applyBorder="1" applyAlignment="1">
      <alignment horizontal="right"/>
    </xf>
    <xf numFmtId="166" fontId="2" fillId="62" borderId="3" xfId="0" applyNumberFormat="1" applyFont="1" applyFill="1" applyBorder="1"/>
    <xf numFmtId="1" fontId="2" fillId="62" borderId="3" xfId="0" applyNumberFormat="1" applyFont="1" applyFill="1" applyBorder="1"/>
    <xf numFmtId="168" fontId="2" fillId="0" borderId="0" xfId="0" applyNumberFormat="1" applyFont="1"/>
    <xf numFmtId="171" fontId="2" fillId="0" borderId="0" xfId="0" applyNumberFormat="1" applyFont="1"/>
    <xf numFmtId="171" fontId="2" fillId="0" borderId="3" xfId="0" applyNumberFormat="1" applyFont="1" applyBorder="1"/>
    <xf numFmtId="0" fontId="5" fillId="61" borderId="0" xfId="0" applyFont="1" applyFill="1" applyAlignment="1">
      <alignment horizontal="left"/>
    </xf>
    <xf numFmtId="9" fontId="14" fillId="62" borderId="0" xfId="0" applyNumberFormat="1" applyFont="1" applyFill="1"/>
    <xf numFmtId="1" fontId="2" fillId="0" borderId="0" xfId="0" applyNumberFormat="1" applyFont="1"/>
    <xf numFmtId="3" fontId="2" fillId="62" borderId="0" xfId="0" applyNumberFormat="1" applyFont="1" applyFill="1"/>
    <xf numFmtId="0" fontId="5" fillId="61" borderId="3" xfId="0" applyFont="1" applyFill="1" applyBorder="1" applyAlignment="1">
      <alignment horizontal="left"/>
    </xf>
    <xf numFmtId="9" fontId="2" fillId="0" borderId="3" xfId="0" applyNumberFormat="1" applyFont="1" applyBorder="1"/>
    <xf numFmtId="1" fontId="2" fillId="0" borderId="3" xfId="0" applyNumberFormat="1" applyFont="1" applyBorder="1"/>
    <xf numFmtId="0" fontId="15" fillId="61" borderId="1" xfId="0" applyFont="1" applyFill="1" applyBorder="1"/>
    <xf numFmtId="0" fontId="16" fillId="65" borderId="0" xfId="0" applyFont="1" applyFill="1" applyAlignment="1">
      <alignment wrapText="1"/>
    </xf>
    <xf numFmtId="0" fontId="16" fillId="61" borderId="1" xfId="0" applyFont="1" applyFill="1" applyBorder="1" applyAlignment="1">
      <alignment horizontal="center"/>
    </xf>
    <xf numFmtId="0" fontId="16" fillId="65" borderId="1" xfId="0" applyFont="1" applyFill="1" applyBorder="1" applyAlignment="1">
      <alignment wrapText="1"/>
    </xf>
    <xf numFmtId="0" fontId="17" fillId="61" borderId="1" xfId="0" applyFont="1" applyFill="1" applyBorder="1"/>
    <xf numFmtId="0" fontId="8" fillId="0" borderId="1" xfId="0" applyFont="1" applyBorder="1" applyAlignment="1">
      <alignment horizontal="right"/>
    </xf>
    <xf numFmtId="168" fontId="8" fillId="0" borderId="1" xfId="0" applyNumberFormat="1" applyFont="1" applyBorder="1" applyAlignment="1">
      <alignment horizontal="right"/>
    </xf>
    <xf numFmtId="9" fontId="1" fillId="63" borderId="1" xfId="0" applyNumberFormat="1" applyFont="1" applyFill="1" applyBorder="1"/>
    <xf numFmtId="9" fontId="18" fillId="63" borderId="1" xfId="0" applyNumberFormat="1" applyFont="1" applyFill="1" applyBorder="1" applyAlignment="1">
      <alignment horizontal="right"/>
    </xf>
    <xf numFmtId="166" fontId="18" fillId="63" borderId="1" xfId="0" applyNumberFormat="1" applyFont="1" applyFill="1" applyBorder="1" applyAlignment="1">
      <alignment horizontal="right"/>
    </xf>
    <xf numFmtId="0" fontId="8" fillId="62" borderId="1" xfId="0" applyFont="1" applyFill="1" applyBorder="1"/>
    <xf numFmtId="9" fontId="1" fillId="0" borderId="1" xfId="0" applyNumberFormat="1" applyFont="1" applyBorder="1"/>
    <xf numFmtId="166" fontId="1" fillId="0" borderId="1" xfId="0" applyNumberFormat="1" applyFont="1" applyBorder="1"/>
    <xf numFmtId="0" fontId="19" fillId="3" borderId="1" xfId="0" applyFont="1" applyFill="1" applyBorder="1" applyAlignment="1">
      <alignment horizontal="center"/>
    </xf>
    <xf numFmtId="0" fontId="1" fillId="0" borderId="0" xfId="0" applyFont="1"/>
    <xf numFmtId="168" fontId="8" fillId="4" borderId="1" xfId="0" applyNumberFormat="1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168" fontId="20" fillId="63" borderId="16" xfId="0" applyNumberFormat="1" applyFont="1" applyFill="1" applyBorder="1" applyAlignment="1">
      <alignment horizontal="center" vertical="center"/>
    </xf>
    <xf numFmtId="0" fontId="21" fillId="61" borderId="1" xfId="0" applyFont="1" applyFill="1" applyBorder="1" applyAlignment="1">
      <alignment horizontal="left"/>
    </xf>
    <xf numFmtId="0" fontId="21" fillId="61" borderId="1" xfId="0" applyFont="1" applyFill="1" applyBorder="1" applyAlignment="1">
      <alignment horizontal="center"/>
    </xf>
    <xf numFmtId="0" fontId="16" fillId="61" borderId="1" xfId="0" applyFont="1" applyFill="1" applyBorder="1"/>
    <xf numFmtId="0" fontId="22" fillId="0" borderId="14" xfId="0" applyFont="1" applyBorder="1"/>
    <xf numFmtId="0" fontId="23" fillId="62" borderId="1" xfId="0" applyFont="1" applyFill="1" applyBorder="1" applyAlignment="1">
      <alignment horizontal="left"/>
    </xf>
    <xf numFmtId="172" fontId="24" fillId="66" borderId="1" xfId="0" applyNumberFormat="1" applyFont="1" applyFill="1" applyBorder="1"/>
    <xf numFmtId="1" fontId="8" fillId="4" borderId="1" xfId="0" applyNumberFormat="1" applyFont="1" applyFill="1" applyBorder="1" applyAlignment="1">
      <alignment horizontal="center"/>
    </xf>
    <xf numFmtId="0" fontId="22" fillId="0" borderId="4" xfId="0" applyFont="1" applyBorder="1"/>
    <xf numFmtId="0" fontId="8" fillId="62" borderId="1" xfId="0" applyFont="1" applyFill="1" applyBorder="1" applyAlignment="1">
      <alignment horizontal="left"/>
    </xf>
    <xf numFmtId="0" fontId="23" fillId="62" borderId="1" xfId="0" applyFont="1" applyFill="1" applyBorder="1"/>
    <xf numFmtId="1" fontId="25" fillId="62" borderId="1" xfId="0" applyNumberFormat="1" applyFont="1" applyFill="1" applyBorder="1"/>
    <xf numFmtId="166" fontId="24" fillId="62" borderId="1" xfId="0" applyNumberFormat="1" applyFont="1" applyFill="1" applyBorder="1"/>
    <xf numFmtId="166" fontId="23" fillId="62" borderId="1" xfId="0" applyNumberFormat="1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26" fillId="62" borderId="0" xfId="0" applyFont="1" applyFill="1"/>
    <xf numFmtId="166" fontId="26" fillId="62" borderId="0" xfId="0" applyNumberFormat="1" applyFont="1" applyFill="1"/>
    <xf numFmtId="10" fontId="23" fillId="62" borderId="1" xfId="0" applyNumberFormat="1" applyFont="1" applyFill="1" applyBorder="1"/>
    <xf numFmtId="10" fontId="24" fillId="62" borderId="1" xfId="0" applyNumberFormat="1" applyFont="1" applyFill="1" applyBorder="1"/>
    <xf numFmtId="0" fontId="27" fillId="62" borderId="1" xfId="0" applyFont="1" applyFill="1" applyBorder="1"/>
    <xf numFmtId="3" fontId="28" fillId="62" borderId="1" xfId="0" applyNumberFormat="1" applyFont="1" applyFill="1" applyBorder="1"/>
    <xf numFmtId="166" fontId="26" fillId="62" borderId="1" xfId="0" applyNumberFormat="1" applyFont="1" applyFill="1" applyBorder="1"/>
    <xf numFmtId="10" fontId="1" fillId="0" borderId="0" xfId="0" applyNumberFormat="1" applyFont="1"/>
    <xf numFmtId="166" fontId="1" fillId="0" borderId="0" xfId="0" applyNumberFormat="1" applyFont="1"/>
    <xf numFmtId="0" fontId="29" fillId="63" borderId="17" xfId="0" applyFont="1" applyFill="1" applyBorder="1" applyAlignment="1">
      <alignment horizontal="center" vertical="center"/>
    </xf>
    <xf numFmtId="0" fontId="22" fillId="0" borderId="18" xfId="0" applyFont="1" applyBorder="1"/>
    <xf numFmtId="0" fontId="22" fillId="0" borderId="19" xfId="0" applyFont="1" applyBorder="1"/>
    <xf numFmtId="0" fontId="22" fillId="0" borderId="20" xfId="0" applyFont="1" applyBorder="1"/>
    <xf numFmtId="0" fontId="0" fillId="0" borderId="0" xfId="0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FY_2018: 87.5 LAKH CR</a:t>
            </a:r>
          </a:p>
        </c:rich>
      </c:tx>
      <c:layout>
        <c:manualLayout>
          <c:xMode val="edge"/>
          <c:yMode val="edge"/>
          <c:x val="3.3014861995753715E-2"/>
          <c:y val="0.05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SFB!$D$2:$D$3</c:f>
              <c:strCache>
                <c:ptCount val="2"/>
                <c:pt idx="0">
                  <c:v>FY_2018</c:v>
                </c:pt>
                <c:pt idx="1">
                  <c:v> Advances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7CAE-481E-9652-8A98A3AF6E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7CAE-481E-9652-8A98A3AF6E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7CAE-481E-9652-8A98A3AF6E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7CAE-481E-9652-8A98A3AF6E6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SFB!$C$4:$C$7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SFB!$D$4:$D$7</c:f>
              <c:numCache>
                <c:formatCode>#,#0#;\-#,#0#</c:formatCode>
                <c:ptCount val="4"/>
                <c:pt idx="0">
                  <c:v>5697349.7121000001</c:v>
                </c:pt>
                <c:pt idx="1">
                  <c:v>2662753.0665620002</c:v>
                </c:pt>
                <c:pt idx="2" formatCode="#,#0#;\-#,#0#;0">
                  <c:v>351015.72100000002</c:v>
                </c:pt>
                <c:pt idx="3">
                  <c:v>34878.991600000001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E-481E-9652-8A98A3AF6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FY_2023/ Advances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SFB!$E$2:$E$3</c:f>
              <c:strCache>
                <c:ptCount val="2"/>
                <c:pt idx="0">
                  <c:v>FY_2023</c:v>
                </c:pt>
                <c:pt idx="1">
                  <c:v> Advances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638B-415B-8CF1-3786E296F5F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638B-415B-8CF1-3786E296F5F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638B-415B-8CF1-3786E296F5F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638B-415B-8CF1-3786E296F5F8}"/>
              </c:ext>
            </c:extLst>
          </c:dPt>
          <c:cat>
            <c:strRef>
              <c:f>SFB!$C$4:$C$7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SFB!$E$4:$E$7</c:f>
              <c:numCache>
                <c:formatCode>#,#0#;\-#,#0#;0</c:formatCode>
                <c:ptCount val="4"/>
                <c:pt idx="0">
                  <c:v>8283763.0861280002</c:v>
                </c:pt>
                <c:pt idx="1">
                  <c:v>5366675.2868760005</c:v>
                </c:pt>
                <c:pt idx="2">
                  <c:v>491029.37175599998</c:v>
                </c:pt>
                <c:pt idx="3">
                  <c:v>163963.05692900001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B-415B-8CF1-3786E296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BANKS_FY18 and BANKS_FY23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SFB!$D$13</c:f>
              <c:strCache>
                <c:ptCount val="1"/>
                <c:pt idx="0">
                  <c:v>BANKS_FY18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SFB!$C$14:$C$18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SFB!$D$14:$D$18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45</c:v>
                </c:pt>
                <c:pt idx="3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275-47EB-A76E-4CE4EFE9A985}"/>
            </c:ext>
          </c:extLst>
        </c:ser>
        <c:ser>
          <c:idx val="1"/>
          <c:order val="1"/>
          <c:tx>
            <c:strRef>
              <c:f>SFB!$E$13</c:f>
              <c:strCache>
                <c:ptCount val="1"/>
                <c:pt idx="0">
                  <c:v>BANKS_FY23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SFB!$C$14:$C$18</c:f>
              <c:strCache>
                <c:ptCount val="4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</c:strCache>
            </c:strRef>
          </c:cat>
          <c:val>
            <c:numRef>
              <c:f>SFB!$E$14:$E$18</c:f>
              <c:numCache>
                <c:formatCode>General</c:formatCode>
                <c:ptCount val="5"/>
                <c:pt idx="0">
                  <c:v>12</c:v>
                </c:pt>
                <c:pt idx="1">
                  <c:v>21</c:v>
                </c:pt>
                <c:pt idx="2">
                  <c:v>44</c:v>
                </c:pt>
                <c:pt idx="3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275-47EB-A76E-4CE4EFE9A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870265"/>
        <c:axId val="944134037"/>
      </c:barChart>
      <c:catAx>
        <c:axId val="16798702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SCHEDULED BANKS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44134037"/>
        <c:crosses val="autoZero"/>
        <c:auto val="1"/>
        <c:lblAlgn val="ctr"/>
        <c:lblOffset val="100"/>
        <c:noMultiLvlLbl val="1"/>
      </c:catAx>
      <c:valAx>
        <c:axId val="9441340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98702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 vs ALL SCHEDULED BANKS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SFB!$D$37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C6-4E88-B1C4-8D87A64E7468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AC6-4E88-B1C4-8D87A64E74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SFB!$C$38:$C$43</c:f>
              <c:strCache>
                <c:ptCount val="6"/>
                <c:pt idx="0">
                  <c:v>PUBLIC SECTOR BANKS</c:v>
                </c:pt>
                <c:pt idx="1">
                  <c:v>PRIVATE SECTOR BANKS</c:v>
                </c:pt>
                <c:pt idx="2">
                  <c:v>FOREIGN BANKS</c:v>
                </c:pt>
                <c:pt idx="3">
                  <c:v>SMALL FINANCE BANKS</c:v>
                </c:pt>
                <c:pt idx="5">
                  <c:v>ASCB</c:v>
                </c:pt>
              </c:strCache>
            </c:strRef>
          </c:cat>
          <c:val>
            <c:numRef>
              <c:f>SFB!$D$38:$D$43</c:f>
              <c:numCache>
                <c:formatCode>0.0%</c:formatCode>
                <c:ptCount val="6"/>
                <c:pt idx="0">
                  <c:v>7.7732447261077642E-2</c:v>
                </c:pt>
                <c:pt idx="1">
                  <c:v>0.15046890519219835</c:v>
                </c:pt>
                <c:pt idx="2">
                  <c:v>6.9439401054201877E-2</c:v>
                </c:pt>
                <c:pt idx="3">
                  <c:v>0.3628134693616718</c:v>
                </c:pt>
                <c:pt idx="5">
                  <c:v>0.10341356637164489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AC6-4E88-B1C4-8D87A64E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98161"/>
        <c:axId val="1363249584"/>
      </c:barChart>
      <c:catAx>
        <c:axId val="4877981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ALL SCHEDULED BANKS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3249584"/>
        <c:crosses val="autoZero"/>
        <c:auto val="1"/>
        <c:lblAlgn val="ctr"/>
        <c:lblOffset val="100"/>
        <c:noMultiLvlLbl val="1"/>
      </c:catAx>
      <c:valAx>
        <c:axId val="13632495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877981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SFB!$D$83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F6FA-4F71-9047-973310DD692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F6FA-4F71-9047-973310DD692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F6FA-4F71-9047-973310DD692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F6FA-4F71-9047-973310DD6920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F6FA-4F71-9047-973310DD6920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F6FA-4F71-9047-973310DD6920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F6FA-4F71-9047-973310DD6920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F6FA-4F71-9047-973310DD6920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F6FA-4F71-9047-973310DD692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SFB!$C$84:$C$92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SFB!$D$84:$D$92</c:f>
              <c:numCache>
                <c:formatCode>0</c:formatCode>
                <c:ptCount val="9"/>
                <c:pt idx="0">
                  <c:v>40096.048383499998</c:v>
                </c:pt>
                <c:pt idx="1">
                  <c:v>11911.497816999999</c:v>
                </c:pt>
                <c:pt idx="2">
                  <c:v>10788.1829812</c:v>
                </c:pt>
                <c:pt idx="3">
                  <c:v>6110.0974825000003</c:v>
                </c:pt>
                <c:pt idx="4">
                  <c:v>4627</c:v>
                </c:pt>
                <c:pt idx="5">
                  <c:v>3312.6085779</c:v>
                </c:pt>
                <c:pt idx="6">
                  <c:v>2564.6645192999999</c:v>
                </c:pt>
                <c:pt idx="7">
                  <c:v>1896</c:v>
                </c:pt>
                <c:pt idx="8">
                  <c:v>1883.3404252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FA-4F71-9047-973310DD6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 Advances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SFB!$G$83</c:f>
              <c:strCache>
                <c:ptCount val="1"/>
                <c:pt idx="0">
                  <c:v> Advances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3012-4993-AE6D-7774AE058A24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3012-4993-AE6D-7774AE058A24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3012-4993-AE6D-7774AE058A24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3012-4993-AE6D-7774AE058A24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3012-4993-AE6D-7774AE058A24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3012-4993-AE6D-7774AE058A24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3012-4993-AE6D-7774AE058A24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3012-4993-AE6D-7774AE058A24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3012-4993-AE6D-7774AE058A2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SFB!$F$84:$F$92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SFB!$G$84:$G$92</c:f>
              <c:numCache>
                <c:formatCode>#,#0#;\-#,#0#;0</c:formatCode>
                <c:ptCount val="9"/>
                <c:pt idx="0">
                  <c:v>58421.544071999997</c:v>
                </c:pt>
                <c:pt idx="1">
                  <c:v>25798.5566</c:v>
                </c:pt>
                <c:pt idx="2">
                  <c:v>21289.661100000001</c:v>
                </c:pt>
                <c:pt idx="3">
                  <c:v>13068.7655</c:v>
                </c:pt>
                <c:pt idx="4">
                  <c:v>17759.555400000001</c:v>
                </c:pt>
                <c:pt idx="5">
                  <c:v>18149</c:v>
                </c:pt>
                <c:pt idx="6">
                  <c:v>8702.4142859999993</c:v>
                </c:pt>
                <c:pt idx="7">
                  <c:v>5428.6882999999998</c:v>
                </c:pt>
                <c:pt idx="8">
                  <c:v>6015.0510709999999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12-4993-AE6D-7774AE058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GROWTH: 29%</a:t>
            </a:r>
          </a:p>
        </c:rich>
      </c:tx>
      <c:layout>
        <c:manualLayout>
          <c:xMode val="edge"/>
          <c:yMode val="edge"/>
          <c:x val="3.0813953488372094E-2"/>
          <c:y val="4.3710691823899375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SFB!$D$115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216-484D-BB76-059A8E825892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216-484D-BB76-059A8E8258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SFB!$C$116:$C$126</c:f>
              <c:strCache>
                <c:ptCount val="11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  <c:pt idx="10">
                  <c:v>SFB</c:v>
                </c:pt>
              </c:strCache>
            </c:strRef>
          </c:cat>
          <c:val>
            <c:numRef>
              <c:f>SFB!$D$116:$D$126</c:f>
              <c:numCache>
                <c:formatCode>0.0%</c:formatCode>
                <c:ptCount val="11"/>
                <c:pt idx="0">
                  <c:v>0.3442037159490845</c:v>
                </c:pt>
                <c:pt idx="1">
                  <c:v>0.27334320289979597</c:v>
                </c:pt>
                <c:pt idx="2">
                  <c:v>0.23748340074935115</c:v>
                </c:pt>
                <c:pt idx="3">
                  <c:v>0.33329556400121407</c:v>
                </c:pt>
                <c:pt idx="7">
                  <c:v>0.24060039100584496</c:v>
                </c:pt>
                <c:pt idx="8">
                  <c:v>0.30735840732794673</c:v>
                </c:pt>
                <c:pt idx="10">
                  <c:v>0.29035080511387135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E216-484D-BB76-059A8E825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557917"/>
        <c:axId val="372849973"/>
      </c:barChart>
      <c:catAx>
        <c:axId val="12085579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72849973"/>
        <c:crosses val="autoZero"/>
        <c:auto val="1"/>
        <c:lblAlgn val="ctr"/>
        <c:lblOffset val="100"/>
        <c:noMultiLvlLbl val="1"/>
      </c:catAx>
      <c:valAx>
        <c:axId val="3728499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855791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INCOME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SFB!$K$83</c:f>
              <c:strCache>
                <c:ptCount val="1"/>
                <c:pt idx="0">
                  <c:v>INCOME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2DEF-4220-ADF6-F643AF98822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2DEF-4220-ADF6-F643AF98822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DEF-4220-ADF6-F643AF98822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2DEF-4220-ADF6-F643AF988227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2DEF-4220-ADF6-F643AF988227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2DEF-4220-ADF6-F643AF988227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2DEF-4220-ADF6-F643AF988227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2DEF-4220-ADF6-F643AF988227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2DEF-4220-ADF6-F643AF9882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SFB!$J$84:$J$92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SFB!$K$84:$K$92</c:f>
              <c:numCache>
                <c:formatCode>#,##0</c:formatCode>
                <c:ptCount val="9"/>
                <c:pt idx="0">
                  <c:v>9239.8724810000003</c:v>
                </c:pt>
                <c:pt idx="1">
                  <c:v>4831.4638000000004</c:v>
                </c:pt>
                <c:pt idx="2">
                  <c:v>4754.1855999999998</c:v>
                </c:pt>
                <c:pt idx="3">
                  <c:v>2804.2860000000001</c:v>
                </c:pt>
                <c:pt idx="4">
                  <c:v>3699.875</c:v>
                </c:pt>
                <c:pt idx="5">
                  <c:v>3141.5722000000001</c:v>
                </c:pt>
                <c:pt idx="6">
                  <c:v>1970.797615</c:v>
                </c:pt>
                <c:pt idx="7">
                  <c:v>725.48230000000001</c:v>
                </c:pt>
                <c:pt idx="8">
                  <c:v>1281.104495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EF-4220-ADF6-F643AF98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Net Profit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SFB!$O$83</c:f>
              <c:strCache>
                <c:ptCount val="1"/>
                <c:pt idx="0">
                  <c:v>Net Profit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595C-4A8C-B6CE-C398FE332D0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595C-4A8C-B6CE-C398FE332D0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595C-4A8C-B6CE-C398FE332D0D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595C-4A8C-B6CE-C398FE332D0D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595C-4A8C-B6CE-C398FE332D0D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595C-4A8C-B6CE-C398FE332D0D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595C-4A8C-B6CE-C398FE332D0D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595C-4A8C-B6CE-C398FE332D0D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595C-4A8C-B6CE-C398FE332D0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SFB!$N$84:$N$92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SFB!$O$84:$O$92</c:f>
              <c:numCache>
                <c:formatCode>#,##0</c:formatCode>
                <c:ptCount val="9"/>
                <c:pt idx="0">
                  <c:v>1427.925262</c:v>
                </c:pt>
                <c:pt idx="1">
                  <c:v>573.59050000000002</c:v>
                </c:pt>
                <c:pt idx="2">
                  <c:v>1099.9217000000001</c:v>
                </c:pt>
                <c:pt idx="3">
                  <c:v>404.50189999999998</c:v>
                </c:pt>
                <c:pt idx="4">
                  <c:v>255.97130000000001</c:v>
                </c:pt>
                <c:pt idx="5">
                  <c:v>302.3331</c:v>
                </c:pt>
                <c:pt idx="6">
                  <c:v>103.64195599999999</c:v>
                </c:pt>
                <c:pt idx="7">
                  <c:v>93.596199999999996</c:v>
                </c:pt>
                <c:pt idx="8">
                  <c:v>77.690877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95C-4A8C-B6CE-C398FE332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MARGIN%: INDUSTRY 13.4%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SFB!$C$145</c:f>
              <c:strCache>
                <c:ptCount val="1"/>
                <c:pt idx="0">
                  <c:v>MARGIN%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F4-473A-AB52-55E46CFC622D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F4-473A-AB52-55E46CFC622D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BF4-473A-AB52-55E46CFC622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BF4-473A-AB52-55E46CFC622D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BF4-473A-AB52-55E46CFC622D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BF4-473A-AB52-55E46CFC62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SFB!$B$146:$B$154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SFB!$C$146:$C$154</c:f>
              <c:numCache>
                <c:formatCode>0.0%</c:formatCode>
                <c:ptCount val="9"/>
                <c:pt idx="0">
                  <c:v>0.15453949877947454</c:v>
                </c:pt>
                <c:pt idx="1">
                  <c:v>0.11871981737708559</c:v>
                </c:pt>
                <c:pt idx="2">
                  <c:v>0.23135859483483356</c:v>
                </c:pt>
                <c:pt idx="3">
                  <c:v>0.14424416767761919</c:v>
                </c:pt>
                <c:pt idx="4">
                  <c:v>6.9183769721950075E-2</c:v>
                </c:pt>
                <c:pt idx="5">
                  <c:v>9.6236241204324377E-2</c:v>
                </c:pt>
                <c:pt idx="6">
                  <c:v>5.2588837743240316E-2</c:v>
                </c:pt>
                <c:pt idx="7">
                  <c:v>0.12901238252125516</c:v>
                </c:pt>
                <c:pt idx="8">
                  <c:v>6.0643669039659405E-2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ABF4-473A-AB52-55E46CFC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76305"/>
        <c:axId val="2020074379"/>
      </c:barChart>
      <c:catAx>
        <c:axId val="798763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0074379"/>
        <c:crosses val="autoZero"/>
        <c:auto val="1"/>
        <c:lblAlgn val="ctr"/>
        <c:lblOffset val="100"/>
        <c:noMultiLvlLbl val="1"/>
      </c:catAx>
      <c:valAx>
        <c:axId val="20200743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8763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NPA%_23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SFB!$H$145</c:f>
              <c:strCache>
                <c:ptCount val="1"/>
                <c:pt idx="0">
                  <c:v>NPA%_23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C7F-4DD9-BF76-86ABE7B63D5A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C7F-4DD9-BF76-86ABE7B63D5A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C7F-4DD9-BF76-86ABE7B63D5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C7F-4DD9-BF76-86ABE7B63D5A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C7F-4DD9-BF76-86ABE7B63D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SFB!$F$146:$F$156</c:f>
              <c:strCache>
                <c:ptCount val="11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  <c:pt idx="10">
                  <c:v>SFB</c:v>
                </c:pt>
              </c:strCache>
            </c:strRef>
          </c:cat>
          <c:val>
            <c:numRef>
              <c:f>SFB!$H$146:$H$156</c:f>
              <c:numCache>
                <c:formatCode>#,##0.0</c:formatCode>
                <c:ptCount val="11"/>
                <c:pt idx="0">
                  <c:v>0.42</c:v>
                </c:pt>
                <c:pt idx="1">
                  <c:v>1.21</c:v>
                </c:pt>
                <c:pt idx="2">
                  <c:v>0.09</c:v>
                </c:pt>
                <c:pt idx="3">
                  <c:v>0.39</c:v>
                </c:pt>
                <c:pt idx="4">
                  <c:v>2.64</c:v>
                </c:pt>
                <c:pt idx="5">
                  <c:v>1.1299999999999999</c:v>
                </c:pt>
                <c:pt idx="6">
                  <c:v>3.55</c:v>
                </c:pt>
                <c:pt idx="7">
                  <c:v>1.36</c:v>
                </c:pt>
                <c:pt idx="8">
                  <c:v>1.55</c:v>
                </c:pt>
                <c:pt idx="10">
                  <c:v>1.21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4C7F-4DD9-BF76-86ABE7B6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266361"/>
        <c:axId val="577008630"/>
      </c:barChart>
      <c:catAx>
        <c:axId val="18772663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7008630"/>
        <c:crosses val="autoZero"/>
        <c:auto val="1"/>
        <c:lblAlgn val="ctr"/>
        <c:lblOffset val="100"/>
        <c:noMultiLvlLbl val="1"/>
      </c:catAx>
      <c:valAx>
        <c:axId val="5770086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NPA%_23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72663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CDR: INDUSTRY 95.3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SFB!$L$145</c:f>
              <c:strCache>
                <c:ptCount val="1"/>
                <c:pt idx="0">
                  <c:v>CDR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93-457C-B95C-E62E5206FFA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293-457C-B95C-E62E5206FFAD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293-457C-B95C-E62E5206FFAD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93-457C-B95C-E62E5206FF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SFB!$K$146:$K$154</c:f>
              <c:strCache>
                <c:ptCount val="9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</c:strCache>
            </c:strRef>
          </c:cat>
          <c:val>
            <c:numRef>
              <c:f>SFB!$L$146:$L$154</c:f>
              <c:numCache>
                <c:formatCode>#,##0.0</c:formatCode>
                <c:ptCount val="9"/>
                <c:pt idx="0">
                  <c:v>84.223391000000007</c:v>
                </c:pt>
                <c:pt idx="1">
                  <c:v>101.646933</c:v>
                </c:pt>
                <c:pt idx="2">
                  <c:v>83.365674999999996</c:v>
                </c:pt>
                <c:pt idx="3">
                  <c:v>95.321897000000007</c:v>
                </c:pt>
                <c:pt idx="4">
                  <c:v>108.727429</c:v>
                </c:pt>
                <c:pt idx="5">
                  <c:v>94.945369999999997</c:v>
                </c:pt>
                <c:pt idx="6">
                  <c:v>108.33075599999999</c:v>
                </c:pt>
                <c:pt idx="7">
                  <c:v>82.746559000000005</c:v>
                </c:pt>
                <c:pt idx="8">
                  <c:v>116.419145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293-457C-B95C-E62E5206F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54171"/>
        <c:axId val="449693822"/>
      </c:barChart>
      <c:catAx>
        <c:axId val="13907541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9693822"/>
        <c:crosses val="autoZero"/>
        <c:auto val="1"/>
        <c:lblAlgn val="ctr"/>
        <c:lblOffset val="100"/>
        <c:noMultiLvlLbl val="1"/>
      </c:catAx>
      <c:valAx>
        <c:axId val="4496938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CDR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07541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SFB!$D$177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73C-428D-80D6-573E6159E0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SFB!$C$178:$C$188</c:f>
              <c:strCache>
                <c:ptCount val="11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  <c:pt idx="10">
                  <c:v>SFB</c:v>
                </c:pt>
              </c:strCache>
            </c:strRef>
          </c:cat>
          <c:val>
            <c:numRef>
              <c:f>SFB!$D$178:$D$188</c:f>
              <c:numCache>
                <c:formatCode>#,##0.0</c:formatCode>
                <c:ptCount val="11"/>
                <c:pt idx="0">
                  <c:v>1.79</c:v>
                </c:pt>
                <c:pt idx="1">
                  <c:v>1.82</c:v>
                </c:pt>
                <c:pt idx="2">
                  <c:v>4.04</c:v>
                </c:pt>
                <c:pt idx="3">
                  <c:v>2.4500000000000002</c:v>
                </c:pt>
                <c:pt idx="4">
                  <c:v>1.1299999999999999</c:v>
                </c:pt>
                <c:pt idx="5">
                  <c:v>1.63</c:v>
                </c:pt>
                <c:pt idx="6">
                  <c:v>0.95</c:v>
                </c:pt>
                <c:pt idx="7">
                  <c:v>1.22</c:v>
                </c:pt>
                <c:pt idx="8">
                  <c:v>0.91</c:v>
                </c:pt>
                <c:pt idx="10">
                  <c:v>1.63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73C-428D-80D6-573E6159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510507"/>
        <c:axId val="1658427544"/>
      </c:barChart>
      <c:catAx>
        <c:axId val="20185105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8427544"/>
        <c:crosses val="autoZero"/>
        <c:auto val="1"/>
        <c:lblAlgn val="ctr"/>
        <c:lblOffset val="100"/>
        <c:noMultiLvlLbl val="1"/>
      </c:catAx>
      <c:valAx>
        <c:axId val="1658427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851050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SFB!$E$177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39-4357-B580-3624CD63C9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SFB!$C$178:$C$188</c:f>
              <c:strCache>
                <c:ptCount val="11"/>
                <c:pt idx="0">
                  <c:v>AUBANK</c:v>
                </c:pt>
                <c:pt idx="1">
                  <c:v>EQUITASBNK</c:v>
                </c:pt>
                <c:pt idx="2">
                  <c:v>UJJIVANSFB</c:v>
                </c:pt>
                <c:pt idx="3">
                  <c:v>UTKARSHBNK</c:v>
                </c:pt>
                <c:pt idx="4">
                  <c:v>JSFB</c:v>
                </c:pt>
                <c:pt idx="5">
                  <c:v>ESAFSFB</c:v>
                </c:pt>
                <c:pt idx="6">
                  <c:v>FINOPB</c:v>
                </c:pt>
                <c:pt idx="7">
                  <c:v>CAPITALSFB</c:v>
                </c:pt>
                <c:pt idx="8">
                  <c:v>SURYODAY</c:v>
                </c:pt>
                <c:pt idx="10">
                  <c:v>SFB</c:v>
                </c:pt>
              </c:strCache>
            </c:strRef>
          </c:cat>
          <c:val>
            <c:numRef>
              <c:f>SFB!$E$178:$E$188</c:f>
              <c:numCache>
                <c:formatCode>#,##0.0</c:formatCode>
                <c:ptCount val="11"/>
                <c:pt idx="0">
                  <c:v>15.444245</c:v>
                </c:pt>
                <c:pt idx="1">
                  <c:v>12.198710999999999</c:v>
                </c:pt>
                <c:pt idx="2">
                  <c:v>31.373712000000001</c:v>
                </c:pt>
                <c:pt idx="3">
                  <c:v>22.644569000000001</c:v>
                </c:pt>
                <c:pt idx="4">
                  <c:v>17.076398000000001</c:v>
                </c:pt>
                <c:pt idx="5">
                  <c:v>19.339389000000001</c:v>
                </c:pt>
                <c:pt idx="6">
                  <c:v>8.2400280000000006</c:v>
                </c:pt>
                <c:pt idx="7">
                  <c:v>16.618759000000001</c:v>
                </c:pt>
                <c:pt idx="8">
                  <c:v>5.0287879999999996</c:v>
                </c:pt>
                <c:pt idx="10">
                  <c:v>16.618759000000001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839-4357-B580-3624CD63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323666"/>
        <c:axId val="861660381"/>
      </c:barChart>
      <c:catAx>
        <c:axId val="12803236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61660381"/>
        <c:crosses val="autoZero"/>
        <c:auto val="1"/>
        <c:lblAlgn val="ctr"/>
        <c:lblOffset val="100"/>
        <c:noMultiLvlLbl val="1"/>
      </c:catAx>
      <c:valAx>
        <c:axId val="8616603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03236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37</xdr:row>
      <xdr:rowOff>-180975</xdr:rowOff>
    </xdr:from>
    <xdr:ext cx="6829425" cy="68294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4B65F185-541C-4FFF-9DB2-CC2B6C5EA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6837045"/>
          <a:ext cx="6829425" cy="68294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428625</xdr:colOff>
      <xdr:row>19</xdr:row>
      <xdr:rowOff>38100</xdr:rowOff>
    </xdr:from>
    <xdr:ext cx="4486275" cy="2771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DC4EE834-9A03-479E-82CD-FB72FC842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1038225</xdr:colOff>
      <xdr:row>19</xdr:row>
      <xdr:rowOff>38100</xdr:rowOff>
    </xdr:from>
    <xdr:ext cx="4486275" cy="2771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30619382-58EA-4323-882A-C0014A141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19</xdr:row>
      <xdr:rowOff>38100</xdr:rowOff>
    </xdr:from>
    <xdr:ext cx="4486275" cy="27717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F00160B7-BA35-4858-8FBA-AC2B3F50E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428625</xdr:colOff>
      <xdr:row>34</xdr:row>
      <xdr:rowOff>19050</xdr:rowOff>
    </xdr:from>
    <xdr:ext cx="4486275" cy="2771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D46D1716-453D-4CA1-B5D4-D0511DD69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371475</xdr:colOff>
      <xdr:row>96</xdr:row>
      <xdr:rowOff>9525</xdr:rowOff>
    </xdr:from>
    <xdr:ext cx="4743450" cy="29241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220952C0-C135-4C5A-8FAE-29ADF6CFA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1057275</xdr:colOff>
      <xdr:row>96</xdr:row>
      <xdr:rowOff>9525</xdr:rowOff>
    </xdr:from>
    <xdr:ext cx="4743450" cy="29241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13A79FA6-22C8-4846-83F0-B9F4EF99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200025</xdr:colOff>
      <xdr:row>126</xdr:row>
      <xdr:rowOff>0</xdr:rowOff>
    </xdr:from>
    <xdr:ext cx="4914900" cy="30289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3CA2F845-31E5-4145-9259-7F0D1D2A6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9525</xdr:colOff>
      <xdr:row>95</xdr:row>
      <xdr:rowOff>180975</xdr:rowOff>
    </xdr:from>
    <xdr:ext cx="4791075" cy="29241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9CAE504A-D5F6-4742-A34F-AF8950A5C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16</xdr:col>
      <xdr:colOff>361950</xdr:colOff>
      <xdr:row>95</xdr:row>
      <xdr:rowOff>180975</xdr:rowOff>
    </xdr:from>
    <xdr:ext cx="4791075" cy="29432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C2A570DE-99E0-47A2-B9AE-FED7DE249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76200</xdr:colOff>
      <xdr:row>156</xdr:row>
      <xdr:rowOff>95250</xdr:rowOff>
    </xdr:from>
    <xdr:ext cx="5038725" cy="31242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F846FA49-9CF1-4D40-B365-145906DDD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4</xdr:col>
      <xdr:colOff>1057275</xdr:colOff>
      <xdr:row>156</xdr:row>
      <xdr:rowOff>95250</xdr:rowOff>
    </xdr:from>
    <xdr:ext cx="5095875" cy="31242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71F1BB17-897D-4759-B69E-C4EC3D42D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10</xdr:col>
      <xdr:colOff>352425</xdr:colOff>
      <xdr:row>156</xdr:row>
      <xdr:rowOff>95250</xdr:rowOff>
    </xdr:from>
    <xdr:ext cx="5038725" cy="31242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B7B5D277-0366-4885-9612-B69A492D3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200025</xdr:colOff>
      <xdr:row>188</xdr:row>
      <xdr:rowOff>38100</xdr:rowOff>
    </xdr:from>
    <xdr:ext cx="5038725" cy="3124200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6B9672A8-694B-4632-A0D7-E55707224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5</xdr:col>
      <xdr:colOff>104775</xdr:colOff>
      <xdr:row>188</xdr:row>
      <xdr:rowOff>38100</xdr:rowOff>
    </xdr:from>
    <xdr:ext cx="5095875" cy="312420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427E57D8-292A-4330-811D-52F8B0F24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RIVATE%20BANKS%20(10).xlsx" TargetMode="External"/><Relationship Id="rId1" Type="http://schemas.openxmlformats.org/officeDocument/2006/relationships/externalLinkPath" Target="/Users/profi/Downloads/PRIVATE%20BANKS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KING DATA"/>
      <sheetName val="SFB"/>
      <sheetName val="SmallFinanceBank"/>
      <sheetName val="PVTBANK DASHBOARD"/>
      <sheetName val="PSUBANK DASHBOARD"/>
      <sheetName val="PSUBANK"/>
      <sheetName val="PVTBANK"/>
      <sheetName val="BANKING IN INDIA"/>
      <sheetName val="PRIVATE BANK"/>
      <sheetName val="HDFCBANK"/>
      <sheetName val="AUBANK"/>
      <sheetName val="AUSMALL"/>
      <sheetName val="Bank"/>
      <sheetName val="Pivot Table 1"/>
      <sheetName val="DashBoard"/>
      <sheetName val="DB"/>
      <sheetName val="Sheet4"/>
      <sheetName val="SBIN"/>
      <sheetName val="PRIVATE_BANK_DASHBOARD"/>
      <sheetName val="NPA"/>
      <sheetName val="ASSETS &amp; ADVANCES"/>
      <sheetName val="ICICI"/>
      <sheetName val="RBLBANK"/>
      <sheetName val="INDUSINDBK"/>
      <sheetName val="Yesbank"/>
      <sheetName val="BANDHANBNK"/>
      <sheetName val="IDFCBANK"/>
      <sheetName val="PNB"/>
      <sheetName val="AXISBANK"/>
      <sheetName val="IDBI"/>
      <sheetName val="DCBBANK"/>
      <sheetName val="Ujjivan"/>
      <sheetName val="BANKBARODA"/>
      <sheetName val="KOTAKBANK"/>
      <sheetName val="KotakInt"/>
      <sheetName val="INDIANB"/>
      <sheetName val="SOUTHBANK"/>
      <sheetName val="ktkbank"/>
      <sheetName val="MAHABANK"/>
      <sheetName val="Sheet1"/>
    </sheetNames>
    <sheetDataSet>
      <sheetData sheetId="0"/>
      <sheetData sheetId="1">
        <row r="2">
          <cell r="D2" t="str">
            <v>FY_2018</v>
          </cell>
          <cell r="E2" t="str">
            <v>FY_2023</v>
          </cell>
        </row>
        <row r="3">
          <cell r="D3" t="str">
            <v xml:space="preserve"> Advances</v>
          </cell>
          <cell r="E3" t="str">
            <v xml:space="preserve"> Advances</v>
          </cell>
        </row>
        <row r="4">
          <cell r="C4" t="str">
            <v>PUBLIC SECTOR BANKS</v>
          </cell>
          <cell r="D4">
            <v>5697349.7121000001</v>
          </cell>
          <cell r="E4">
            <v>8283763.0861280002</v>
          </cell>
        </row>
        <row r="5">
          <cell r="C5" t="str">
            <v>PRIVATE SECTOR BANKS</v>
          </cell>
          <cell r="D5">
            <v>2662753.0665620002</v>
          </cell>
          <cell r="E5">
            <v>5366675.2868760005</v>
          </cell>
        </row>
        <row r="6">
          <cell r="C6" t="str">
            <v>FOREIGN BANKS</v>
          </cell>
          <cell r="D6">
            <v>351015.72100000002</v>
          </cell>
          <cell r="E6">
            <v>491029.37175599998</v>
          </cell>
        </row>
        <row r="7">
          <cell r="C7" t="str">
            <v>SMALL FINANCE BANKS</v>
          </cell>
          <cell r="D7">
            <v>34878.991600000001</v>
          </cell>
          <cell r="E7">
            <v>163963.05692900001</v>
          </cell>
        </row>
        <row r="13">
          <cell r="D13" t="str">
            <v>BANKS_FY18</v>
          </cell>
          <cell r="E13" t="str">
            <v>BANKS_FY23</v>
          </cell>
        </row>
        <row r="14">
          <cell r="C14" t="str">
            <v>PUBLIC SECTOR BANKS</v>
          </cell>
          <cell r="D14">
            <v>21</v>
          </cell>
          <cell r="E14">
            <v>12</v>
          </cell>
        </row>
        <row r="15">
          <cell r="C15" t="str">
            <v>PRIVATE SECTOR BANKS</v>
          </cell>
          <cell r="D15">
            <v>21</v>
          </cell>
          <cell r="E15">
            <v>21</v>
          </cell>
        </row>
        <row r="16">
          <cell r="C16" t="str">
            <v>FOREIGN BANKS</v>
          </cell>
          <cell r="D16">
            <v>45</v>
          </cell>
          <cell r="E16">
            <v>44</v>
          </cell>
        </row>
        <row r="17">
          <cell r="C17" t="str">
            <v>SMALL FINANCE BANKS</v>
          </cell>
          <cell r="D17">
            <v>6</v>
          </cell>
          <cell r="E17">
            <v>12</v>
          </cell>
        </row>
        <row r="37">
          <cell r="D37" t="str">
            <v>GROWTH</v>
          </cell>
        </row>
        <row r="38">
          <cell r="C38" t="str">
            <v>PUBLIC SECTOR BANKS</v>
          </cell>
          <cell r="D38">
            <v>7.7732447261077642E-2</v>
          </cell>
        </row>
        <row r="39">
          <cell r="C39" t="str">
            <v>PRIVATE SECTOR BANKS</v>
          </cell>
          <cell r="D39">
            <v>0.15046890519219835</v>
          </cell>
        </row>
        <row r="40">
          <cell r="C40" t="str">
            <v>FOREIGN BANKS</v>
          </cell>
          <cell r="D40">
            <v>6.9439401054201877E-2</v>
          </cell>
        </row>
        <row r="41">
          <cell r="C41" t="str">
            <v>SMALL FINANCE BANKS</v>
          </cell>
          <cell r="D41">
            <v>0.3628134693616718</v>
          </cell>
        </row>
        <row r="43">
          <cell r="C43" t="str">
            <v>ASCB</v>
          </cell>
          <cell r="D43">
            <v>0.10341356637164489</v>
          </cell>
        </row>
        <row r="83">
          <cell r="D83" t="str">
            <v>MARKETCAP</v>
          </cell>
          <cell r="G83" t="str">
            <v xml:space="preserve"> Advances</v>
          </cell>
          <cell r="K83" t="str">
            <v>INCOME</v>
          </cell>
          <cell r="O83" t="str">
            <v>Net Profit</v>
          </cell>
        </row>
        <row r="84">
          <cell r="C84" t="str">
            <v>AUBANK</v>
          </cell>
          <cell r="D84">
            <v>40096.048383499998</v>
          </cell>
          <cell r="F84" t="str">
            <v>AUBANK</v>
          </cell>
          <cell r="G84">
            <v>58421.544071999997</v>
          </cell>
          <cell r="J84" t="str">
            <v>AUBANK</v>
          </cell>
          <cell r="K84">
            <v>9239.8724810000003</v>
          </cell>
          <cell r="N84" t="str">
            <v>AUBANK</v>
          </cell>
          <cell r="O84">
            <v>1427.925262</v>
          </cell>
        </row>
        <row r="85">
          <cell r="C85" t="str">
            <v>EQUITASBNK</v>
          </cell>
          <cell r="D85">
            <v>11911.497816999999</v>
          </cell>
          <cell r="F85" t="str">
            <v>EQUITASBNK</v>
          </cell>
          <cell r="G85">
            <v>25798.5566</v>
          </cell>
          <cell r="J85" t="str">
            <v>EQUITASBNK</v>
          </cell>
          <cell r="K85">
            <v>4831.4638000000004</v>
          </cell>
          <cell r="N85" t="str">
            <v>EQUITASBNK</v>
          </cell>
          <cell r="O85">
            <v>573.59050000000002</v>
          </cell>
        </row>
        <row r="86">
          <cell r="C86" t="str">
            <v>UJJIVANSFB</v>
          </cell>
          <cell r="D86">
            <v>10788.1829812</v>
          </cell>
          <cell r="F86" t="str">
            <v>UJJIVANSFB</v>
          </cell>
          <cell r="G86">
            <v>21289.661100000001</v>
          </cell>
          <cell r="J86" t="str">
            <v>UJJIVANSFB</v>
          </cell>
          <cell r="K86">
            <v>4754.1855999999998</v>
          </cell>
          <cell r="N86" t="str">
            <v>UJJIVANSFB</v>
          </cell>
          <cell r="O86">
            <v>1099.9217000000001</v>
          </cell>
        </row>
        <row r="87">
          <cell r="C87" t="str">
            <v>UTKARSHBNK</v>
          </cell>
          <cell r="D87">
            <v>6110.0974825000003</v>
          </cell>
          <cell r="F87" t="str">
            <v>UTKARSHBNK</v>
          </cell>
          <cell r="G87">
            <v>13068.7655</v>
          </cell>
          <cell r="J87" t="str">
            <v>UTKARSHBNK</v>
          </cell>
          <cell r="K87">
            <v>2804.2860000000001</v>
          </cell>
          <cell r="N87" t="str">
            <v>UTKARSHBNK</v>
          </cell>
          <cell r="O87">
            <v>404.50189999999998</v>
          </cell>
        </row>
        <row r="88">
          <cell r="C88" t="str">
            <v>JSFB</v>
          </cell>
          <cell r="D88">
            <v>4627</v>
          </cell>
          <cell r="F88" t="str">
            <v>JSFB</v>
          </cell>
          <cell r="G88">
            <v>17759.555400000001</v>
          </cell>
          <cell r="J88" t="str">
            <v>JSFB</v>
          </cell>
          <cell r="K88">
            <v>3699.875</v>
          </cell>
          <cell r="N88" t="str">
            <v>JSFB</v>
          </cell>
          <cell r="O88">
            <v>255.97130000000001</v>
          </cell>
        </row>
        <row r="89">
          <cell r="C89" t="str">
            <v>ESAFSFB</v>
          </cell>
          <cell r="D89">
            <v>3312.6085779</v>
          </cell>
          <cell r="F89" t="str">
            <v>ESAFSFB</v>
          </cell>
          <cell r="G89">
            <v>18149</v>
          </cell>
          <cell r="J89" t="str">
            <v>ESAFSFB</v>
          </cell>
          <cell r="K89">
            <v>3141.5722000000001</v>
          </cell>
          <cell r="N89" t="str">
            <v>ESAFSFB</v>
          </cell>
          <cell r="O89">
            <v>302.3331</v>
          </cell>
        </row>
        <row r="90">
          <cell r="C90" t="str">
            <v>FINOPB</v>
          </cell>
          <cell r="D90">
            <v>2564.6645192999999</v>
          </cell>
          <cell r="F90" t="str">
            <v>FINOPB</v>
          </cell>
          <cell r="G90">
            <v>8702.4142859999993</v>
          </cell>
          <cell r="J90" t="str">
            <v>FINOPB</v>
          </cell>
          <cell r="K90">
            <v>1970.797615</v>
          </cell>
          <cell r="N90" t="str">
            <v>FINOPB</v>
          </cell>
          <cell r="O90">
            <v>103.64195599999999</v>
          </cell>
        </row>
        <row r="91">
          <cell r="C91" t="str">
            <v>CAPITALSFB</v>
          </cell>
          <cell r="D91">
            <v>1896</v>
          </cell>
          <cell r="F91" t="str">
            <v>CAPITALSFB</v>
          </cell>
          <cell r="G91">
            <v>5428.6882999999998</v>
          </cell>
          <cell r="J91" t="str">
            <v>CAPITALSFB</v>
          </cell>
          <cell r="K91">
            <v>725.48230000000001</v>
          </cell>
          <cell r="N91" t="str">
            <v>CAPITALSFB</v>
          </cell>
          <cell r="O91">
            <v>93.596199999999996</v>
          </cell>
        </row>
        <row r="92">
          <cell r="C92" t="str">
            <v>SURYODAY</v>
          </cell>
          <cell r="D92">
            <v>1883.3404252</v>
          </cell>
          <cell r="F92" t="str">
            <v>SURYODAY</v>
          </cell>
          <cell r="G92">
            <v>6015.0510709999999</v>
          </cell>
          <cell r="J92" t="str">
            <v>SURYODAY</v>
          </cell>
          <cell r="K92">
            <v>1281.104495</v>
          </cell>
          <cell r="N92" t="str">
            <v>SURYODAY</v>
          </cell>
          <cell r="O92">
            <v>77.690877</v>
          </cell>
        </row>
        <row r="115">
          <cell r="D115" t="str">
            <v>GROWTH</v>
          </cell>
        </row>
        <row r="116">
          <cell r="C116" t="str">
            <v>AUBANK</v>
          </cell>
          <cell r="D116">
            <v>0.3442037159490845</v>
          </cell>
        </row>
        <row r="117">
          <cell r="C117" t="str">
            <v>EQUITASBNK</v>
          </cell>
          <cell r="D117">
            <v>0.27334320289979597</v>
          </cell>
        </row>
        <row r="118">
          <cell r="C118" t="str">
            <v>UJJIVANSFB</v>
          </cell>
          <cell r="D118">
            <v>0.23748340074935115</v>
          </cell>
        </row>
        <row r="119">
          <cell r="C119" t="str">
            <v>UTKARSHBNK</v>
          </cell>
          <cell r="D119">
            <v>0.33329556400121407</v>
          </cell>
        </row>
        <row r="120">
          <cell r="C120" t="str">
            <v>JSFB</v>
          </cell>
        </row>
        <row r="121">
          <cell r="C121" t="str">
            <v>ESAFSFB</v>
          </cell>
        </row>
        <row r="122">
          <cell r="C122" t="str">
            <v>FINOPB</v>
          </cell>
        </row>
        <row r="123">
          <cell r="C123" t="str">
            <v>CAPITALSFB</v>
          </cell>
          <cell r="D123">
            <v>0.24060039100584496</v>
          </cell>
        </row>
        <row r="124">
          <cell r="C124" t="str">
            <v>SURYODAY</v>
          </cell>
          <cell r="D124">
            <v>0.30735840732794673</v>
          </cell>
        </row>
        <row r="126">
          <cell r="C126" t="str">
            <v>SFB</v>
          </cell>
          <cell r="D126">
            <v>0.29035080511387135</v>
          </cell>
        </row>
        <row r="145">
          <cell r="C145" t="str">
            <v>MARGIN%</v>
          </cell>
          <cell r="H145" t="str">
            <v>NPA%_23</v>
          </cell>
          <cell r="L145" t="str">
            <v>CDR</v>
          </cell>
        </row>
        <row r="146">
          <cell r="B146" t="str">
            <v>AUBANK</v>
          </cell>
          <cell r="C146">
            <v>0.15453949877947454</v>
          </cell>
          <cell r="F146" t="str">
            <v>AUBANK</v>
          </cell>
          <cell r="H146">
            <v>0.42</v>
          </cell>
          <cell r="K146" t="str">
            <v>AUBANK</v>
          </cell>
          <cell r="L146">
            <v>84.223391000000007</v>
          </cell>
        </row>
        <row r="147">
          <cell r="B147" t="str">
            <v>EQUITASBNK</v>
          </cell>
          <cell r="C147">
            <v>0.11871981737708559</v>
          </cell>
          <cell r="F147" t="str">
            <v>EQUITASBNK</v>
          </cell>
          <cell r="H147">
            <v>1.21</v>
          </cell>
          <cell r="K147" t="str">
            <v>EQUITASBNK</v>
          </cell>
          <cell r="L147">
            <v>101.646933</v>
          </cell>
        </row>
        <row r="148">
          <cell r="B148" t="str">
            <v>UJJIVANSFB</v>
          </cell>
          <cell r="C148">
            <v>0.23135859483483356</v>
          </cell>
          <cell r="F148" t="str">
            <v>UJJIVANSFB</v>
          </cell>
          <cell r="H148">
            <v>0.09</v>
          </cell>
          <cell r="K148" t="str">
            <v>UJJIVANSFB</v>
          </cell>
          <cell r="L148">
            <v>83.365674999999996</v>
          </cell>
        </row>
        <row r="149">
          <cell r="B149" t="str">
            <v>UTKARSHBNK</v>
          </cell>
          <cell r="C149">
            <v>0.14424416767761919</v>
          </cell>
          <cell r="F149" t="str">
            <v>UTKARSHBNK</v>
          </cell>
          <cell r="H149">
            <v>0.39</v>
          </cell>
          <cell r="K149" t="str">
            <v>UTKARSHBNK</v>
          </cell>
          <cell r="L149">
            <v>95.321897000000007</v>
          </cell>
        </row>
        <row r="150">
          <cell r="B150" t="str">
            <v>JSFB</v>
          </cell>
          <cell r="C150">
            <v>6.9183769721950075E-2</v>
          </cell>
          <cell r="F150" t="str">
            <v>JSFB</v>
          </cell>
          <cell r="H150">
            <v>2.64</v>
          </cell>
          <cell r="K150" t="str">
            <v>JSFB</v>
          </cell>
          <cell r="L150">
            <v>108.727429</v>
          </cell>
        </row>
        <row r="151">
          <cell r="B151" t="str">
            <v>ESAFSFB</v>
          </cell>
          <cell r="C151">
            <v>9.6236241204324377E-2</v>
          </cell>
          <cell r="F151" t="str">
            <v>ESAFSFB</v>
          </cell>
          <cell r="H151">
            <v>1.1299999999999999</v>
          </cell>
          <cell r="K151" t="str">
            <v>ESAFSFB</v>
          </cell>
          <cell r="L151">
            <v>94.945369999999997</v>
          </cell>
        </row>
        <row r="152">
          <cell r="B152" t="str">
            <v>FINOPB</v>
          </cell>
          <cell r="C152">
            <v>5.2588837743240316E-2</v>
          </cell>
          <cell r="F152" t="str">
            <v>FINOPB</v>
          </cell>
          <cell r="H152">
            <v>3.55</v>
          </cell>
          <cell r="K152" t="str">
            <v>FINOPB</v>
          </cell>
          <cell r="L152">
            <v>108.33075599999999</v>
          </cell>
        </row>
        <row r="153">
          <cell r="B153" t="str">
            <v>CAPITALSFB</v>
          </cell>
          <cell r="C153">
            <v>0.12901238252125516</v>
          </cell>
          <cell r="F153" t="str">
            <v>CAPITALSFB</v>
          </cell>
          <cell r="H153">
            <v>1.36</v>
          </cell>
          <cell r="K153" t="str">
            <v>CAPITALSFB</v>
          </cell>
          <cell r="L153">
            <v>82.746559000000005</v>
          </cell>
        </row>
        <row r="154">
          <cell r="B154" t="str">
            <v>SURYODAY</v>
          </cell>
          <cell r="C154">
            <v>6.0643669039659405E-2</v>
          </cell>
          <cell r="F154" t="str">
            <v>SURYODAY</v>
          </cell>
          <cell r="H154">
            <v>1.55</v>
          </cell>
          <cell r="K154" t="str">
            <v>SURYODAY</v>
          </cell>
          <cell r="L154">
            <v>116.419145</v>
          </cell>
        </row>
        <row r="156">
          <cell r="F156" t="str">
            <v>SFB</v>
          </cell>
          <cell r="H156">
            <v>1.21</v>
          </cell>
        </row>
        <row r="177">
          <cell r="D177" t="str">
            <v>ROA</v>
          </cell>
          <cell r="E177" t="str">
            <v>ROE</v>
          </cell>
        </row>
        <row r="178">
          <cell r="C178" t="str">
            <v>AUBANK</v>
          </cell>
          <cell r="D178">
            <v>1.79</v>
          </cell>
          <cell r="E178">
            <v>15.444245</v>
          </cell>
        </row>
        <row r="179">
          <cell r="C179" t="str">
            <v>EQUITASBNK</v>
          </cell>
          <cell r="D179">
            <v>1.82</v>
          </cell>
          <cell r="E179">
            <v>12.198710999999999</v>
          </cell>
        </row>
        <row r="180">
          <cell r="C180" t="str">
            <v>UJJIVANSFB</v>
          </cell>
          <cell r="D180">
            <v>4.04</v>
          </cell>
          <cell r="E180">
            <v>31.373712000000001</v>
          </cell>
        </row>
        <row r="181">
          <cell r="C181" t="str">
            <v>UTKARSHBNK</v>
          </cell>
          <cell r="D181">
            <v>2.4500000000000002</v>
          </cell>
          <cell r="E181">
            <v>22.644569000000001</v>
          </cell>
        </row>
        <row r="182">
          <cell r="C182" t="str">
            <v>JSFB</v>
          </cell>
          <cell r="D182">
            <v>1.1299999999999999</v>
          </cell>
          <cell r="E182">
            <v>17.076398000000001</v>
          </cell>
        </row>
        <row r="183">
          <cell r="C183" t="str">
            <v>ESAFSFB</v>
          </cell>
          <cell r="D183">
            <v>1.63</v>
          </cell>
          <cell r="E183">
            <v>19.339389000000001</v>
          </cell>
        </row>
        <row r="184">
          <cell r="C184" t="str">
            <v>FINOPB</v>
          </cell>
          <cell r="D184">
            <v>0.95</v>
          </cell>
          <cell r="E184">
            <v>8.2400280000000006</v>
          </cell>
        </row>
        <row r="185">
          <cell r="C185" t="str">
            <v>CAPITALSFB</v>
          </cell>
          <cell r="D185">
            <v>1.22</v>
          </cell>
          <cell r="E185">
            <v>16.618759000000001</v>
          </cell>
        </row>
        <row r="186">
          <cell r="C186" t="str">
            <v>SURYODAY</v>
          </cell>
          <cell r="D186">
            <v>0.91</v>
          </cell>
          <cell r="E186">
            <v>5.0287879999999996</v>
          </cell>
        </row>
        <row r="188">
          <cell r="C188" t="str">
            <v>SFB</v>
          </cell>
          <cell r="D188">
            <v>1.63</v>
          </cell>
          <cell r="E188">
            <v>16.618759000000001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0459-ED4C-488F-9E6A-41C224CC0935}">
  <sheetPr>
    <outlinePr summaryBelow="0" summaryRight="0"/>
  </sheetPr>
  <dimension ref="A1:Z1006"/>
  <sheetViews>
    <sheetView showGridLines="0" tabSelected="1" workbookViewId="0"/>
  </sheetViews>
  <sheetFormatPr defaultColWidth="14" defaultRowHeight="15" customHeight="1" x14ac:dyDescent="0.3"/>
  <cols>
    <col min="1" max="1" width="6.5546875" customWidth="1"/>
  </cols>
  <sheetData>
    <row r="1" spans="1:26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"/>
      <c r="B2" s="137" t="s">
        <v>89</v>
      </c>
      <c r="C2" s="137" t="s">
        <v>90</v>
      </c>
      <c r="D2" s="137" t="s">
        <v>91</v>
      </c>
      <c r="E2" s="137" t="s">
        <v>92</v>
      </c>
      <c r="F2" s="137" t="s">
        <v>93</v>
      </c>
      <c r="G2" s="138" t="s">
        <v>94</v>
      </c>
      <c r="H2" s="137" t="s">
        <v>95</v>
      </c>
      <c r="I2" s="137" t="s">
        <v>96</v>
      </c>
      <c r="J2" s="137" t="s">
        <v>97</v>
      </c>
      <c r="K2" s="138" t="s">
        <v>98</v>
      </c>
      <c r="L2" s="137" t="s">
        <v>99</v>
      </c>
      <c r="M2" s="137" t="s">
        <v>100</v>
      </c>
      <c r="N2" s="137" t="s">
        <v>101</v>
      </c>
      <c r="O2" s="137" t="s">
        <v>102</v>
      </c>
      <c r="P2" s="137" t="s">
        <v>103</v>
      </c>
      <c r="Q2" s="138" t="s">
        <v>104</v>
      </c>
      <c r="R2" s="138" t="s">
        <v>105</v>
      </c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138" t="s">
        <v>76</v>
      </c>
      <c r="C3" s="139">
        <f ca="1">IFERROR(__xludf.DUMMYFUNCTION("googlefinance(""nse:""&amp;B3,C2)"),599.05)</f>
        <v>599.04999999999995</v>
      </c>
      <c r="D3" s="140">
        <v>1154748</v>
      </c>
      <c r="E3" s="141">
        <f t="shared" ref="E3:F3" si="0">D34</f>
        <v>12196.800000000001</v>
      </c>
      <c r="F3" s="141">
        <f t="shared" si="0"/>
        <v>1597.7808000000002</v>
      </c>
      <c r="G3" s="141">
        <v>28</v>
      </c>
      <c r="H3" s="140">
        <v>669</v>
      </c>
      <c r="I3" s="142">
        <v>12167</v>
      </c>
      <c r="J3" s="142">
        <v>80120</v>
      </c>
      <c r="K3" s="143">
        <v>5414</v>
      </c>
      <c r="L3" s="143">
        <v>67624</v>
      </c>
      <c r="M3" s="143">
        <v>101176</v>
      </c>
      <c r="N3" s="142">
        <v>10</v>
      </c>
      <c r="O3" s="144">
        <v>476</v>
      </c>
      <c r="P3" s="144">
        <f>28.9*1000</f>
        <v>28900</v>
      </c>
      <c r="Q3" s="145">
        <v>6.9000000000000006E-2</v>
      </c>
      <c r="R3" s="145">
        <v>5.5E-2</v>
      </c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1"/>
      <c r="B4" s="146" t="s">
        <v>106</v>
      </c>
      <c r="C4" s="147">
        <v>579</v>
      </c>
      <c r="D4" s="148">
        <f ca="1">(C4*D3)/C3</f>
        <v>1116098.9767131293</v>
      </c>
      <c r="E4" s="147">
        <f t="shared" ref="E4:F4" si="1">D22</f>
        <v>9240</v>
      </c>
      <c r="F4" s="147">
        <f t="shared" si="1"/>
        <v>1428</v>
      </c>
      <c r="G4" s="148">
        <v>22</v>
      </c>
      <c r="H4" s="147">
        <v>667</v>
      </c>
      <c r="I4" s="147">
        <v>10540</v>
      </c>
      <c r="J4" s="142">
        <v>61101</v>
      </c>
      <c r="K4" s="147">
        <v>6191</v>
      </c>
      <c r="L4" s="147">
        <v>56335</v>
      </c>
      <c r="M4" s="143">
        <v>80703</v>
      </c>
      <c r="N4" s="143">
        <v>10</v>
      </c>
      <c r="O4" s="143"/>
      <c r="P4" s="143">
        <v>27800</v>
      </c>
      <c r="Q4" s="145">
        <v>0.06</v>
      </c>
      <c r="R4" s="145">
        <v>6.2E-2</v>
      </c>
      <c r="S4" s="1"/>
      <c r="T4" s="1"/>
      <c r="U4" s="1"/>
      <c r="V4" s="1"/>
      <c r="W4" s="1"/>
      <c r="X4" s="1"/>
      <c r="Y4" s="1"/>
      <c r="Z4" s="1"/>
    </row>
    <row r="5" spans="1:26" ht="15" customHeight="1" thickBot="1" x14ac:dyDescent="0.35">
      <c r="A5" s="1"/>
      <c r="B5" s="149" t="s">
        <v>5</v>
      </c>
      <c r="C5" s="150">
        <f t="shared" ref="C5:O5" ca="1" si="2">(C3/C4)-1</f>
        <v>3.4628670120897986E-2</v>
      </c>
      <c r="D5" s="150">
        <f t="shared" ca="1" si="2"/>
        <v>3.4628670120897986E-2</v>
      </c>
      <c r="E5" s="150">
        <f t="shared" si="2"/>
        <v>0.32000000000000006</v>
      </c>
      <c r="F5" s="150">
        <f t="shared" si="2"/>
        <v>0.11889411764705904</v>
      </c>
      <c r="G5" s="150">
        <f t="shared" si="2"/>
        <v>0.27272727272727271</v>
      </c>
      <c r="H5" s="150">
        <f t="shared" si="2"/>
        <v>2.9985007496251548E-3</v>
      </c>
      <c r="I5" s="150">
        <f t="shared" si="2"/>
        <v>0.15436432637571151</v>
      </c>
      <c r="J5" s="150">
        <f t="shared" si="2"/>
        <v>0.311271501284758</v>
      </c>
      <c r="K5" s="150">
        <f t="shared" si="2"/>
        <v>-0.1255047649814246</v>
      </c>
      <c r="L5" s="150">
        <f t="shared" si="2"/>
        <v>0.20039052099050325</v>
      </c>
      <c r="M5" s="150">
        <f t="shared" si="2"/>
        <v>0.25368325836709915</v>
      </c>
      <c r="N5" s="150">
        <f t="shared" si="2"/>
        <v>0</v>
      </c>
      <c r="O5" s="150" t="e">
        <f t="shared" si="2"/>
        <v>#DIV/0!</v>
      </c>
      <c r="P5" s="151">
        <f t="shared" ref="P5:R5" si="3">P3-P4</f>
        <v>1100</v>
      </c>
      <c r="Q5" s="152">
        <f t="shared" si="3"/>
        <v>9.000000000000008E-3</v>
      </c>
      <c r="R5" s="152">
        <f t="shared" si="3"/>
        <v>-6.9999999999999993E-3</v>
      </c>
      <c r="S5" s="1"/>
      <c r="T5" s="1"/>
      <c r="U5" s="1"/>
      <c r="V5" s="1"/>
      <c r="W5" s="1"/>
      <c r="X5" s="1"/>
      <c r="Y5" s="1"/>
      <c r="Z5" s="1"/>
    </row>
    <row r="6" spans="1:26" ht="15" customHeight="1" thickTop="1" thickBot="1" x14ac:dyDescent="0.35">
      <c r="A6" s="1"/>
      <c r="B6" s="153"/>
      <c r="C6" s="153"/>
      <c r="D6" s="154"/>
      <c r="E6" s="153"/>
      <c r="F6" s="153"/>
      <c r="G6" s="153"/>
      <c r="H6" s="153"/>
      <c r="I6" s="153"/>
      <c r="J6" s="153">
        <f>J3-J4</f>
        <v>19019</v>
      </c>
      <c r="L6" s="153">
        <f>L3-L4</f>
        <v>11289</v>
      </c>
      <c r="M6" s="1"/>
      <c r="N6" s="1"/>
      <c r="O6" s="153">
        <f>O3-O4</f>
        <v>476</v>
      </c>
      <c r="P6" s="153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thickTop="1" x14ac:dyDescent="0.3">
      <c r="A7" s="1"/>
      <c r="B7" s="155" t="s">
        <v>107</v>
      </c>
      <c r="C7" s="155" t="s">
        <v>108</v>
      </c>
      <c r="D7" s="155" t="s">
        <v>109</v>
      </c>
      <c r="E7" s="155" t="s">
        <v>110</v>
      </c>
      <c r="F7" s="155" t="s">
        <v>111</v>
      </c>
      <c r="G7" s="155" t="s">
        <v>112</v>
      </c>
      <c r="H7" s="155" t="s">
        <v>75</v>
      </c>
      <c r="I7" s="155" t="s">
        <v>74</v>
      </c>
      <c r="J7" s="156" t="s">
        <v>113</v>
      </c>
      <c r="K7" s="155" t="s">
        <v>114</v>
      </c>
      <c r="L7" s="155" t="s">
        <v>115</v>
      </c>
      <c r="M7" s="155" t="s">
        <v>116</v>
      </c>
      <c r="N7" s="155" t="s">
        <v>117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1"/>
      <c r="B8" s="157">
        <f>M30</f>
        <v>0.34</v>
      </c>
      <c r="C8" s="157">
        <f>J45</f>
        <v>0.13055181695827725</v>
      </c>
      <c r="D8" s="158">
        <f>J44</f>
        <v>1.9800000000000002E-2</v>
      </c>
      <c r="E8" s="158">
        <v>0.187</v>
      </c>
      <c r="F8" s="157">
        <f>J5</f>
        <v>0.311271501284758</v>
      </c>
      <c r="G8" s="159">
        <f>L5</f>
        <v>0.20039052099050325</v>
      </c>
      <c r="H8" s="159">
        <f>F3/(H3+I3)</f>
        <v>0.12447653474602682</v>
      </c>
      <c r="I8" s="159">
        <f>F3/M3</f>
        <v>1.579209298647901E-2</v>
      </c>
      <c r="J8" s="160">
        <f ca="1">C3/G3</f>
        <v>21.394642857142856</v>
      </c>
      <c r="K8" s="158">
        <f ca="1">G3/C3</f>
        <v>4.6740672731825396E-2</v>
      </c>
      <c r="L8" s="161">
        <f ca="1">S32</f>
        <v>1.9361667744020683</v>
      </c>
      <c r="M8" s="160">
        <v>165</v>
      </c>
      <c r="N8" s="160">
        <f ca="1">C3/M8</f>
        <v>3.6306060606060604</v>
      </c>
      <c r="O8" s="1"/>
      <c r="P8" s="16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1"/>
      <c r="B10" s="163" t="s">
        <v>118</v>
      </c>
      <c r="C10" s="164" t="s">
        <v>99</v>
      </c>
      <c r="D10" s="164" t="s">
        <v>119</v>
      </c>
      <c r="E10" s="163" t="s">
        <v>8</v>
      </c>
      <c r="F10" s="163" t="s">
        <v>94</v>
      </c>
      <c r="G10" s="163" t="s">
        <v>120</v>
      </c>
      <c r="H10" s="163" t="s">
        <v>109</v>
      </c>
      <c r="I10" s="163" t="s">
        <v>121</v>
      </c>
      <c r="J10" s="163" t="s">
        <v>122</v>
      </c>
      <c r="K10" s="163" t="s">
        <v>123</v>
      </c>
      <c r="L10" s="163" t="s">
        <v>124</v>
      </c>
      <c r="M10" s="164" t="s">
        <v>125</v>
      </c>
      <c r="N10" s="164" t="s">
        <v>126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165" t="s">
        <v>127</v>
      </c>
      <c r="B11" s="165" t="s">
        <v>128</v>
      </c>
      <c r="C11" s="1"/>
      <c r="D11" s="166">
        <v>249</v>
      </c>
      <c r="E11" s="166">
        <v>50</v>
      </c>
      <c r="F11" s="167"/>
      <c r="G11" s="168">
        <f t="shared" ref="G11:G22" si="4">E11/D11</f>
        <v>0.20080321285140562</v>
      </c>
      <c r="H11" s="168"/>
      <c r="I11" s="169"/>
      <c r="J11" s="169"/>
      <c r="K11" s="169"/>
      <c r="L11" s="1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65"/>
      <c r="B12" s="165" t="s">
        <v>129</v>
      </c>
      <c r="C12" s="1"/>
      <c r="D12" s="166">
        <v>438</v>
      </c>
      <c r="E12" s="166">
        <v>80</v>
      </c>
      <c r="F12" s="167"/>
      <c r="G12" s="168">
        <f t="shared" si="4"/>
        <v>0.18264840182648401</v>
      </c>
      <c r="H12" s="168"/>
      <c r="I12" s="169"/>
      <c r="J12" s="169"/>
      <c r="K12" s="169"/>
      <c r="L12" s="16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165"/>
      <c r="B13" s="165" t="s">
        <v>130</v>
      </c>
      <c r="C13" s="1"/>
      <c r="D13" s="166">
        <v>611</v>
      </c>
      <c r="E13" s="166">
        <v>92</v>
      </c>
      <c r="F13" s="167"/>
      <c r="G13" s="168">
        <f t="shared" si="4"/>
        <v>0.15057283142389524</v>
      </c>
      <c r="H13" s="168"/>
      <c r="I13" s="169"/>
      <c r="J13" s="169"/>
      <c r="K13" s="169"/>
      <c r="L13" s="16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165"/>
      <c r="B14" s="165" t="s">
        <v>131</v>
      </c>
      <c r="C14" s="1"/>
      <c r="D14" s="166">
        <v>704</v>
      </c>
      <c r="E14" s="166">
        <v>140</v>
      </c>
      <c r="F14" s="167"/>
      <c r="G14" s="168">
        <f t="shared" si="4"/>
        <v>0.19886363636363635</v>
      </c>
      <c r="H14" s="168"/>
      <c r="I14" s="169"/>
      <c r="J14" s="169"/>
      <c r="K14" s="169"/>
      <c r="L14" s="16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165"/>
      <c r="B15" s="165" t="s">
        <v>132</v>
      </c>
      <c r="C15" s="1"/>
      <c r="D15" s="166">
        <v>1010</v>
      </c>
      <c r="E15" s="166">
        <v>212</v>
      </c>
      <c r="F15" s="167"/>
      <c r="G15" s="168">
        <f t="shared" si="4"/>
        <v>0.20990099009900989</v>
      </c>
      <c r="H15" s="168"/>
      <c r="I15" s="169"/>
      <c r="J15" s="169"/>
      <c r="K15" s="169"/>
      <c r="L15" s="16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thickBot="1" x14ac:dyDescent="0.35">
      <c r="A16" s="165"/>
      <c r="B16" s="170" t="s">
        <v>133</v>
      </c>
      <c r="C16" s="19"/>
      <c r="D16" s="171">
        <v>1280</v>
      </c>
      <c r="E16" s="171">
        <v>322</v>
      </c>
      <c r="F16" s="172"/>
      <c r="G16" s="173">
        <f t="shared" si="4"/>
        <v>0.25156250000000002</v>
      </c>
      <c r="H16" s="173"/>
      <c r="I16" s="174"/>
      <c r="J16" s="174"/>
      <c r="K16" s="174"/>
      <c r="L16" s="174"/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thickTop="1" x14ac:dyDescent="0.3">
      <c r="A17" s="165" t="s">
        <v>26</v>
      </c>
      <c r="B17" s="165" t="s">
        <v>0</v>
      </c>
      <c r="C17" s="1">
        <v>13312</v>
      </c>
      <c r="D17" s="166">
        <v>2155</v>
      </c>
      <c r="E17" s="166">
        <v>292</v>
      </c>
      <c r="F17" s="167">
        <v>5</v>
      </c>
      <c r="G17" s="168">
        <f t="shared" si="4"/>
        <v>0.13549883990719258</v>
      </c>
      <c r="H17" s="168">
        <v>0.02</v>
      </c>
      <c r="I17" s="169">
        <v>371</v>
      </c>
      <c r="J17" s="169">
        <v>248</v>
      </c>
      <c r="K17" s="169">
        <f t="shared" ref="K17:K22" si="5">I17/F17</f>
        <v>74.2</v>
      </c>
      <c r="L17" s="169">
        <f t="shared" ref="L17:L22" si="6">J17/F17</f>
        <v>49.6</v>
      </c>
      <c r="M17" s="1">
        <v>40</v>
      </c>
      <c r="N17" s="175">
        <f t="shared" ref="N17:N22" si="7">AVERAGE(I17:J17)/M17</f>
        <v>7.7374999999999998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1"/>
      <c r="B18" s="165" t="s">
        <v>134</v>
      </c>
      <c r="C18" s="1">
        <v>22819</v>
      </c>
      <c r="D18" s="1">
        <v>3411</v>
      </c>
      <c r="E18" s="1">
        <v>382</v>
      </c>
      <c r="F18" s="176">
        <v>7</v>
      </c>
      <c r="G18" s="168">
        <f t="shared" si="4"/>
        <v>0.11199061858692466</v>
      </c>
      <c r="H18" s="56">
        <v>0.02</v>
      </c>
      <c r="I18" s="1">
        <v>374</v>
      </c>
      <c r="J18" s="1">
        <v>250</v>
      </c>
      <c r="K18" s="169">
        <f t="shared" si="5"/>
        <v>53.428571428571431</v>
      </c>
      <c r="L18" s="169">
        <f t="shared" si="6"/>
        <v>35.714285714285715</v>
      </c>
      <c r="M18" s="1">
        <v>54</v>
      </c>
      <c r="N18" s="175">
        <f t="shared" si="7"/>
        <v>5.7777777777777777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1"/>
      <c r="B19" s="165" t="s">
        <v>68</v>
      </c>
      <c r="C19" s="1">
        <v>26992</v>
      </c>
      <c r="D19" s="1">
        <v>4992</v>
      </c>
      <c r="E19" s="1">
        <v>675</v>
      </c>
      <c r="F19" s="176">
        <v>11</v>
      </c>
      <c r="G19" s="168">
        <f t="shared" si="4"/>
        <v>0.13521634615384615</v>
      </c>
      <c r="H19" s="56">
        <v>1.7000000000000001E-2</v>
      </c>
      <c r="I19" s="1">
        <v>609</v>
      </c>
      <c r="J19" s="1">
        <v>236</v>
      </c>
      <c r="K19" s="169">
        <f t="shared" si="5"/>
        <v>55.363636363636367</v>
      </c>
      <c r="L19" s="169">
        <f t="shared" si="6"/>
        <v>21.454545454545453</v>
      </c>
      <c r="M19" s="1">
        <v>72</v>
      </c>
      <c r="N19" s="175">
        <f t="shared" si="7"/>
        <v>5.8680555555555554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1"/>
      <c r="B20" s="165" t="s">
        <v>135</v>
      </c>
      <c r="C20" s="1">
        <v>34609</v>
      </c>
      <c r="D20" s="1">
        <v>6371</v>
      </c>
      <c r="E20" s="1">
        <v>1171</v>
      </c>
      <c r="F20" s="176">
        <v>19</v>
      </c>
      <c r="G20" s="168">
        <f t="shared" si="4"/>
        <v>0.18380160100455187</v>
      </c>
      <c r="H20" s="56">
        <v>4.2999999999999997E-2</v>
      </c>
      <c r="I20" s="1">
        <v>677</v>
      </c>
      <c r="J20" s="1">
        <v>183</v>
      </c>
      <c r="K20" s="169">
        <f t="shared" si="5"/>
        <v>35.631578947368418</v>
      </c>
      <c r="L20" s="169">
        <f t="shared" si="6"/>
        <v>9.6315789473684212</v>
      </c>
      <c r="M20" s="1">
        <v>100</v>
      </c>
      <c r="N20" s="175">
        <f t="shared" si="7"/>
        <v>4.3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1"/>
      <c r="B21" s="165" t="s">
        <v>136</v>
      </c>
      <c r="C21" s="1">
        <v>46095</v>
      </c>
      <c r="D21" s="1">
        <v>6915</v>
      </c>
      <c r="E21" s="1">
        <v>1130</v>
      </c>
      <c r="F21" s="176">
        <v>18</v>
      </c>
      <c r="G21" s="168">
        <f t="shared" si="4"/>
        <v>0.16341287057122197</v>
      </c>
      <c r="H21" s="56">
        <v>0.02</v>
      </c>
      <c r="I21" s="1">
        <v>711</v>
      </c>
      <c r="J21" s="1">
        <v>455</v>
      </c>
      <c r="K21" s="169">
        <f t="shared" si="5"/>
        <v>39.5</v>
      </c>
      <c r="L21" s="169">
        <f t="shared" si="6"/>
        <v>25.277777777777779</v>
      </c>
      <c r="M21" s="1">
        <v>119</v>
      </c>
      <c r="N21" s="175">
        <f t="shared" si="7"/>
        <v>4.8991596638655466</v>
      </c>
      <c r="V21" s="1"/>
      <c r="W21" s="1"/>
      <c r="X21" s="1"/>
      <c r="Y21" s="1"/>
      <c r="Z21" s="1"/>
    </row>
    <row r="22" spans="1:26" ht="15" customHeight="1" thickBot="1" x14ac:dyDescent="0.35">
      <c r="A22" s="1"/>
      <c r="B22" s="170" t="s">
        <v>1</v>
      </c>
      <c r="C22" s="19">
        <v>58422</v>
      </c>
      <c r="D22" s="19">
        <v>9240</v>
      </c>
      <c r="E22" s="19">
        <v>1428</v>
      </c>
      <c r="F22" s="177">
        <v>22</v>
      </c>
      <c r="G22" s="173">
        <f t="shared" si="4"/>
        <v>0.15454545454545454</v>
      </c>
      <c r="H22" s="96">
        <v>1.66E-2</v>
      </c>
      <c r="I22" s="19">
        <v>733</v>
      </c>
      <c r="J22" s="19">
        <v>539</v>
      </c>
      <c r="K22" s="174">
        <f t="shared" si="5"/>
        <v>33.31818181818182</v>
      </c>
      <c r="L22" s="174">
        <f t="shared" si="6"/>
        <v>24.5</v>
      </c>
      <c r="M22" s="1">
        <v>165</v>
      </c>
      <c r="N22" s="175">
        <f t="shared" si="7"/>
        <v>3.8545454545454545</v>
      </c>
      <c r="V22" s="1"/>
      <c r="W22" s="1"/>
      <c r="X22" s="1"/>
      <c r="Y22" s="1"/>
      <c r="Z22" s="1"/>
    </row>
    <row r="23" spans="1:26" ht="15" customHeight="1" thickTop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V23" s="1"/>
      <c r="W23" s="1"/>
      <c r="X23" s="1"/>
      <c r="Y23" s="1"/>
      <c r="Z23" s="1"/>
    </row>
    <row r="24" spans="1:26" ht="15" customHeight="1" x14ac:dyDescent="0.3">
      <c r="A24" s="1"/>
      <c r="B24" s="178" t="s">
        <v>5</v>
      </c>
      <c r="C24" s="164" t="s">
        <v>99</v>
      </c>
      <c r="D24" s="163" t="s">
        <v>137</v>
      </c>
      <c r="E24" s="163" t="s">
        <v>8</v>
      </c>
      <c r="F24" s="163" t="s">
        <v>94</v>
      </c>
      <c r="G24" s="163" t="s">
        <v>120</v>
      </c>
      <c r="H24" s="163" t="s">
        <v>109</v>
      </c>
      <c r="I24" s="163" t="s">
        <v>121</v>
      </c>
      <c r="J24" s="163" t="s">
        <v>122</v>
      </c>
      <c r="K24" s="163" t="s">
        <v>123</v>
      </c>
      <c r="L24" s="163" t="s">
        <v>124</v>
      </c>
      <c r="M24" s="164" t="s">
        <v>125</v>
      </c>
      <c r="N24" s="164" t="s">
        <v>126</v>
      </c>
      <c r="V24" s="1"/>
      <c r="W24" s="1"/>
      <c r="X24" s="1"/>
      <c r="Y24" s="1"/>
      <c r="Z24" s="1"/>
    </row>
    <row r="25" spans="1:26" ht="15" customHeight="1" x14ac:dyDescent="0.3">
      <c r="A25" s="1"/>
      <c r="B25" s="178" t="s">
        <v>138</v>
      </c>
      <c r="C25" s="179">
        <f t="shared" ref="C25:F25" si="8">(C22/C17)^(1/5)-1</f>
        <v>0.34420845353294238</v>
      </c>
      <c r="D25" s="179">
        <f t="shared" si="8"/>
        <v>0.33796557465758781</v>
      </c>
      <c r="E25" s="179">
        <f t="shared" si="8"/>
        <v>0.37362779854579187</v>
      </c>
      <c r="F25" s="179">
        <f t="shared" si="8"/>
        <v>0.34490167754521872</v>
      </c>
      <c r="G25" s="168">
        <f t="shared" ref="G25:H25" si="9">MEDIAN(G17:G22)</f>
        <v>0.14502214722632356</v>
      </c>
      <c r="H25" s="168">
        <f t="shared" si="9"/>
        <v>0.02</v>
      </c>
      <c r="I25" s="179">
        <f t="shared" ref="I25:J25" si="10">(I22/I17)^(1/5)-1</f>
        <v>0.14589813608696756</v>
      </c>
      <c r="J25" s="179">
        <f t="shared" si="10"/>
        <v>0.16795851401073691</v>
      </c>
      <c r="K25" s="180">
        <f t="shared" ref="K25:L25" si="11">MEDIAN(K17:K22)</f>
        <v>46.464285714285715</v>
      </c>
      <c r="L25" s="180">
        <f t="shared" si="11"/>
        <v>24.888888888888889</v>
      </c>
      <c r="M25" s="179">
        <f>(M22/M17)^(1/5)-1</f>
        <v>0.32765364023073329</v>
      </c>
      <c r="N25" s="175">
        <f>AVERAGE(N17:N22)</f>
        <v>5.4061730752907229</v>
      </c>
      <c r="V25" s="1"/>
      <c r="W25" s="1"/>
      <c r="X25" s="1"/>
      <c r="Y25" s="1"/>
      <c r="Z25" s="1"/>
    </row>
    <row r="26" spans="1:26" ht="15" customHeight="1" x14ac:dyDescent="0.3">
      <c r="A26" s="1"/>
      <c r="B26" s="178" t="s">
        <v>139</v>
      </c>
      <c r="C26" s="179">
        <f t="shared" ref="C26:F26" si="12">(C22/C19)^(1/3)-1</f>
        <v>0.29354175377132075</v>
      </c>
      <c r="D26" s="179">
        <f t="shared" si="12"/>
        <v>0.22781367144604525</v>
      </c>
      <c r="E26" s="179">
        <f t="shared" si="12"/>
        <v>0.28373331360291587</v>
      </c>
      <c r="F26" s="179">
        <f t="shared" si="12"/>
        <v>0.25992104989487319</v>
      </c>
      <c r="G26" s="168">
        <f t="shared" ref="G26:H26" si="13">AVERAGE(G20:G22)</f>
        <v>0.16725330870707614</v>
      </c>
      <c r="H26" s="168">
        <f t="shared" si="13"/>
        <v>2.6533333333333336E-2</v>
      </c>
      <c r="I26" s="179">
        <f t="shared" ref="I26:J26" si="14">(I22/I19)^(1/3)-1</f>
        <v>6.3723843226930921E-2</v>
      </c>
      <c r="J26" s="179">
        <f t="shared" si="14"/>
        <v>0.31691856696407683</v>
      </c>
      <c r="K26" s="181">
        <f t="shared" ref="K26:L26" si="15">AVERAGE(K20:K22)</f>
        <v>36.14992025518341</v>
      </c>
      <c r="L26" s="181">
        <f t="shared" si="15"/>
        <v>19.803118908382064</v>
      </c>
      <c r="M26" s="179">
        <f>(M22/M19)^(1/3)-1</f>
        <v>0.31840998224420014</v>
      </c>
      <c r="N26" s="175">
        <f>AVERAGE(N20:N22)</f>
        <v>4.3512350394703345</v>
      </c>
      <c r="V26" s="1"/>
      <c r="W26" s="1"/>
      <c r="X26" s="1"/>
      <c r="Y26" s="1"/>
      <c r="Z26" s="1"/>
    </row>
    <row r="27" spans="1:26" ht="15" customHeight="1" thickBot="1" x14ac:dyDescent="0.35">
      <c r="A27" s="1"/>
      <c r="B27" s="182" t="s">
        <v>140</v>
      </c>
      <c r="C27" s="183">
        <f t="shared" ref="C27:F27" si="16">(C22/C21)-1</f>
        <v>0.26742596810933938</v>
      </c>
      <c r="D27" s="183">
        <f t="shared" si="16"/>
        <v>0.33622559652928419</v>
      </c>
      <c r="E27" s="183">
        <f t="shared" si="16"/>
        <v>0.26371681415929205</v>
      </c>
      <c r="F27" s="183">
        <f t="shared" si="16"/>
        <v>0.22222222222222232</v>
      </c>
      <c r="G27" s="96">
        <f>G22</f>
        <v>0.15454545454545454</v>
      </c>
      <c r="H27" s="96">
        <v>1.66E-2</v>
      </c>
      <c r="I27" s="183">
        <f t="shared" ref="I27:J27" si="17">(I22/I21)-1</f>
        <v>3.0942334739803012E-2</v>
      </c>
      <c r="J27" s="183">
        <f t="shared" si="17"/>
        <v>0.18461538461538463</v>
      </c>
      <c r="K27" s="184">
        <f t="shared" ref="K27:L27" si="18">K22</f>
        <v>33.31818181818182</v>
      </c>
      <c r="L27" s="184">
        <f t="shared" si="18"/>
        <v>24.5</v>
      </c>
      <c r="M27" s="183">
        <f>(M22/M21)-1</f>
        <v>0.38655462184873945</v>
      </c>
      <c r="N27" s="175">
        <f>N22</f>
        <v>3.8545454545454545</v>
      </c>
      <c r="V27" s="1"/>
      <c r="W27" s="1"/>
      <c r="X27" s="1"/>
      <c r="Y27" s="1"/>
      <c r="Z27" s="1"/>
    </row>
    <row r="28" spans="1:26" ht="15" customHeight="1" thickTop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85" t="s">
        <v>141</v>
      </c>
      <c r="Q28" s="185" t="s">
        <v>142</v>
      </c>
      <c r="R28" s="185" t="s">
        <v>143</v>
      </c>
      <c r="S28" s="185" t="s">
        <v>144</v>
      </c>
      <c r="T28" s="185" t="s">
        <v>145</v>
      </c>
      <c r="U28" s="185" t="s">
        <v>146</v>
      </c>
      <c r="V28" s="1"/>
      <c r="W28" s="1"/>
      <c r="X28" s="1"/>
      <c r="Y28" s="1"/>
      <c r="Z28" s="1"/>
    </row>
    <row r="29" spans="1:26" ht="15" customHeight="1" x14ac:dyDescent="0.3">
      <c r="A29" s="1"/>
      <c r="B29" s="186" t="s">
        <v>147</v>
      </c>
      <c r="C29" s="187" t="s">
        <v>99</v>
      </c>
      <c r="D29" s="188" t="s">
        <v>148</v>
      </c>
      <c r="E29" s="188" t="s">
        <v>8</v>
      </c>
      <c r="F29" s="188" t="s">
        <v>94</v>
      </c>
      <c r="G29" s="188" t="s">
        <v>149</v>
      </c>
      <c r="H29" s="1"/>
      <c r="I29" s="189" t="s">
        <v>150</v>
      </c>
      <c r="J29" s="185" t="s">
        <v>151</v>
      </c>
      <c r="K29" s="185" t="s">
        <v>152</v>
      </c>
      <c r="L29" s="185" t="s">
        <v>153</v>
      </c>
      <c r="M29" s="185" t="s">
        <v>154</v>
      </c>
      <c r="N29" s="185" t="s">
        <v>155</v>
      </c>
      <c r="O29" s="1"/>
      <c r="P29" s="185" t="s">
        <v>94</v>
      </c>
      <c r="Q29" s="190">
        <v>6.37</v>
      </c>
      <c r="R29" s="190">
        <v>5.8</v>
      </c>
      <c r="S29" s="190">
        <v>6.02</v>
      </c>
      <c r="T29" s="190">
        <v>5.61</v>
      </c>
      <c r="U29" s="191">
        <f>SUM(Q29:T29)</f>
        <v>23.799999999999997</v>
      </c>
      <c r="V29" s="1"/>
      <c r="W29" s="1"/>
      <c r="X29" s="1"/>
      <c r="Y29" s="1"/>
      <c r="Z29" s="1"/>
    </row>
    <row r="30" spans="1:26" ht="15" customHeight="1" x14ac:dyDescent="0.3">
      <c r="A30" s="1"/>
      <c r="B30" s="188" t="s">
        <v>156</v>
      </c>
      <c r="C30" s="192">
        <v>0.25</v>
      </c>
      <c r="D30" s="193">
        <v>0.25</v>
      </c>
      <c r="E30" s="193">
        <v>0.25</v>
      </c>
      <c r="F30" s="193">
        <v>0.25</v>
      </c>
      <c r="G30" s="194">
        <f>AVERAGE(G25:G26)</f>
        <v>0.15613772796669984</v>
      </c>
      <c r="H30" s="1"/>
      <c r="I30" s="195" t="s">
        <v>92</v>
      </c>
      <c r="J30" s="196">
        <v>0.34</v>
      </c>
      <c r="K30" s="196">
        <f>(2774/1979)-1</f>
        <v>0.40171803941384532</v>
      </c>
      <c r="L30" s="196">
        <f>(5730/4219)-1</f>
        <v>0.35814173974875563</v>
      </c>
      <c r="M30" s="196">
        <v>0.34</v>
      </c>
      <c r="N30" s="197">
        <v>0.32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1"/>
      <c r="B31" s="188" t="s">
        <v>157</v>
      </c>
      <c r="C31" s="192">
        <v>0.25</v>
      </c>
      <c r="D31" s="193">
        <v>0.32</v>
      </c>
      <c r="E31" s="193">
        <f>(E34/E22)-1</f>
        <v>0.11889411764705904</v>
      </c>
      <c r="F31" s="193">
        <v>0.12</v>
      </c>
      <c r="G31" s="193">
        <v>0.13100000000000001</v>
      </c>
      <c r="H31" s="1"/>
      <c r="I31" s="195" t="s">
        <v>93</v>
      </c>
      <c r="J31" s="196">
        <v>0.26</v>
      </c>
      <c r="K31" s="196">
        <f>(387/268)-1</f>
        <v>0.44402985074626855</v>
      </c>
      <c r="L31" s="196">
        <f>(789/611)-1</f>
        <v>0.29132569558101462</v>
      </c>
      <c r="M31" s="196">
        <v>0.16</v>
      </c>
      <c r="N31" s="197">
        <v>0.12</v>
      </c>
      <c r="O31" s="1"/>
      <c r="P31" s="198" t="s">
        <v>158</v>
      </c>
      <c r="Q31" s="198" t="s">
        <v>159</v>
      </c>
      <c r="R31" s="198" t="s">
        <v>160</v>
      </c>
      <c r="S31" s="198" t="s">
        <v>115</v>
      </c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"/>
      <c r="G32" s="199"/>
      <c r="H32" s="1"/>
      <c r="I32" s="195" t="s">
        <v>94</v>
      </c>
      <c r="J32" s="196">
        <v>0.22</v>
      </c>
      <c r="K32" s="196">
        <f>(5.8/4.25)-1</f>
        <v>0.36470588235294121</v>
      </c>
      <c r="L32" s="196">
        <f>(11.82/9.54)-1</f>
        <v>0.23899371069182407</v>
      </c>
      <c r="M32" s="196">
        <v>0.127</v>
      </c>
      <c r="N32" s="197">
        <v>0.12</v>
      </c>
      <c r="O32" s="1"/>
      <c r="P32" s="200">
        <v>22</v>
      </c>
      <c r="Q32" s="200">
        <v>23.8</v>
      </c>
      <c r="R32" s="201">
        <v>28</v>
      </c>
      <c r="S32" s="202">
        <f ca="1">Q34/13</f>
        <v>1.9361667744020683</v>
      </c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1"/>
      <c r="B33" s="203" t="s">
        <v>118</v>
      </c>
      <c r="C33" s="187" t="s">
        <v>99</v>
      </c>
      <c r="D33" s="204" t="s">
        <v>137</v>
      </c>
      <c r="E33" s="204" t="s">
        <v>8</v>
      </c>
      <c r="F33" s="204" t="s">
        <v>94</v>
      </c>
      <c r="G33" s="205" t="s">
        <v>161</v>
      </c>
      <c r="H33" s="1"/>
      <c r="I33" s="195" t="s">
        <v>149</v>
      </c>
      <c r="J33" s="197">
        <v>0.155</v>
      </c>
      <c r="K33" s="197">
        <f>387/2774</f>
        <v>0.13950973323720259</v>
      </c>
      <c r="L33" s="197">
        <f>789/5730</f>
        <v>0.13769633507853404</v>
      </c>
      <c r="M33" s="197">
        <v>0.13100000000000001</v>
      </c>
      <c r="N33" s="197">
        <v>0.13100000000000001</v>
      </c>
      <c r="O33" s="1"/>
      <c r="P33" s="198" t="s">
        <v>113</v>
      </c>
      <c r="Q33" s="198" t="s">
        <v>113</v>
      </c>
      <c r="R33" s="198" t="s">
        <v>162</v>
      </c>
      <c r="S33" s="206"/>
      <c r="T33" s="1"/>
      <c r="U33" s="1"/>
      <c r="V33" s="1"/>
      <c r="W33" s="1"/>
      <c r="X33" s="1"/>
      <c r="Y33" s="1"/>
      <c r="Z33" s="1"/>
    </row>
    <row r="34" spans="1:26" ht="14.4" x14ac:dyDescent="0.3">
      <c r="A34" s="1" t="s">
        <v>163</v>
      </c>
      <c r="B34" s="207" t="s">
        <v>164</v>
      </c>
      <c r="C34" s="208">
        <f t="shared" ref="C34:D34" si="19">FV(C31,1,0,-C22,0)</f>
        <v>73027.5</v>
      </c>
      <c r="D34" s="208">
        <f t="shared" si="19"/>
        <v>12196.800000000001</v>
      </c>
      <c r="E34" s="208">
        <f>D34*G31</f>
        <v>1597.7808000000002</v>
      </c>
      <c r="F34" s="208">
        <f>FV(F30,1,0,-F22,0)</f>
        <v>27.5</v>
      </c>
      <c r="G34" s="208">
        <f t="shared" ref="G34:G36" si="20">F34*25</f>
        <v>687.5</v>
      </c>
      <c r="H34" s="1"/>
      <c r="I34" s="195" t="s">
        <v>109</v>
      </c>
      <c r="J34" s="197">
        <v>1.67E-2</v>
      </c>
      <c r="K34" s="197">
        <v>1.7600000000000001E-2</v>
      </c>
      <c r="L34" s="197">
        <v>1.9099999999999999E-2</v>
      </c>
      <c r="M34" s="197">
        <v>1.9800000000000002E-2</v>
      </c>
      <c r="N34" s="197">
        <v>0.02</v>
      </c>
      <c r="O34" s="1"/>
      <c r="P34" s="209">
        <f>C4/P32</f>
        <v>26.318181818181817</v>
      </c>
      <c r="Q34" s="209">
        <f ca="1">C3/Q32</f>
        <v>25.170168067226889</v>
      </c>
      <c r="R34" s="209">
        <f ca="1">$C$3/R32</f>
        <v>21.394642857142856</v>
      </c>
      <c r="S34" s="210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211" t="s">
        <v>165</v>
      </c>
      <c r="C35" s="208">
        <f t="shared" ref="C35:D35" si="21">FV(C30,6,0,-C34,0)</f>
        <v>278577.80456542969</v>
      </c>
      <c r="D35" s="208">
        <f t="shared" si="21"/>
        <v>46527.099609375007</v>
      </c>
      <c r="E35" s="208">
        <f>D35*G30</f>
        <v>7264.635621888141</v>
      </c>
      <c r="F35" s="208">
        <f>(E35*F34)/E34</f>
        <v>125.03434739103376</v>
      </c>
      <c r="G35" s="208">
        <f t="shared" si="20"/>
        <v>3125.8586847758443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211" t="s">
        <v>166</v>
      </c>
      <c r="C36" s="208">
        <f t="shared" ref="C36:F36" si="22">FV(15%,5,0,(-C35),0)</f>
        <v>560319.46949064708</v>
      </c>
      <c r="D36" s="208">
        <f t="shared" si="22"/>
        <v>93582.616212844834</v>
      </c>
      <c r="E36" s="208">
        <f t="shared" si="22"/>
        <v>14611.77707265324</v>
      </c>
      <c r="F36" s="208">
        <f t="shared" si="22"/>
        <v>251.48873330932756</v>
      </c>
      <c r="G36" s="208">
        <f t="shared" si="20"/>
        <v>6287.2183327331886</v>
      </c>
      <c r="H36" s="1"/>
      <c r="I36" s="185" t="s">
        <v>167</v>
      </c>
      <c r="J36" s="185" t="s">
        <v>154</v>
      </c>
      <c r="K36" s="185" t="s">
        <v>168</v>
      </c>
      <c r="L36" s="189" t="s">
        <v>169</v>
      </c>
      <c r="N36" s="189" t="s">
        <v>170</v>
      </c>
      <c r="O36" s="185" t="s">
        <v>171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1"/>
      <c r="E37" s="1"/>
      <c r="F37" s="1"/>
      <c r="G37" s="1"/>
      <c r="H37" s="1"/>
      <c r="I37" s="212" t="s">
        <v>137</v>
      </c>
      <c r="J37" s="213">
        <v>8916</v>
      </c>
      <c r="K37" s="213">
        <v>6632</v>
      </c>
      <c r="L37" s="214">
        <f t="shared" ref="L37:L43" si="23">(J37/K37)^(1/1)-1</f>
        <v>0.34439083232810619</v>
      </c>
      <c r="N37" s="212" t="s">
        <v>172</v>
      </c>
      <c r="O37" s="215">
        <v>0.25459999999999999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1"/>
      <c r="E38" s="1"/>
      <c r="F38" s="1"/>
      <c r="G38" s="1"/>
      <c r="H38" s="1"/>
      <c r="I38" s="212" t="s">
        <v>173</v>
      </c>
      <c r="J38" s="213">
        <v>7065</v>
      </c>
      <c r="K38" s="213">
        <v>5183</v>
      </c>
      <c r="L38" s="214">
        <f t="shared" si="23"/>
        <v>0.36311016785645389</v>
      </c>
      <c r="M38" s="1"/>
      <c r="N38" s="212" t="s">
        <v>174</v>
      </c>
      <c r="O38" s="215">
        <v>0.20810000000000001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1"/>
      <c r="E39" s="1"/>
      <c r="F39" s="1"/>
      <c r="G39" s="1"/>
      <c r="H39" s="1"/>
      <c r="I39" s="212" t="s">
        <v>175</v>
      </c>
      <c r="J39" s="213">
        <v>306</v>
      </c>
      <c r="K39" s="213">
        <v>114</v>
      </c>
      <c r="L39" s="214">
        <f t="shared" si="23"/>
        <v>1.6842105263157894</v>
      </c>
      <c r="M39" s="1"/>
      <c r="N39" s="212" t="s">
        <v>176</v>
      </c>
      <c r="O39" s="215">
        <v>0.41120000000000001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1"/>
      <c r="E40" s="1"/>
      <c r="F40" s="1"/>
      <c r="G40" s="1"/>
      <c r="H40" s="1"/>
      <c r="I40" s="216" t="s">
        <v>177</v>
      </c>
      <c r="J40" s="217">
        <f t="shared" ref="J40:K40" si="24">SUM(J38:J39)</f>
        <v>7371</v>
      </c>
      <c r="K40" s="217">
        <f t="shared" si="24"/>
        <v>5297</v>
      </c>
      <c r="L40" s="214">
        <f t="shared" si="23"/>
        <v>0.39154238248064943</v>
      </c>
      <c r="M40" s="1"/>
      <c r="N40" s="212" t="s">
        <v>178</v>
      </c>
      <c r="O40" s="215">
        <v>0.12609999999999999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1"/>
      <c r="E41" s="1"/>
      <c r="F41" s="1"/>
      <c r="G41" s="1"/>
      <c r="H41" s="1"/>
      <c r="I41" s="195" t="s">
        <v>179</v>
      </c>
      <c r="J41" s="213">
        <v>1164</v>
      </c>
      <c r="K41" s="213">
        <v>1003</v>
      </c>
      <c r="L41" s="214">
        <f t="shared" si="23"/>
        <v>0.16051844466600196</v>
      </c>
      <c r="M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1"/>
      <c r="E42" s="1"/>
      <c r="F42" s="1"/>
      <c r="G42" s="1"/>
      <c r="H42" s="1"/>
      <c r="I42" s="195" t="s">
        <v>95</v>
      </c>
      <c r="J42" s="213">
        <v>669</v>
      </c>
      <c r="K42" s="213">
        <v>667</v>
      </c>
      <c r="L42" s="214">
        <f t="shared" si="23"/>
        <v>2.9985007496251548E-3</v>
      </c>
      <c r="M42" s="1"/>
      <c r="N42" s="218" t="s">
        <v>85</v>
      </c>
      <c r="O42" s="219">
        <f>SUM(O37:O40)</f>
        <v>1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1"/>
      <c r="E43" s="1"/>
      <c r="F43" s="1"/>
      <c r="G43" s="1"/>
      <c r="H43" s="1"/>
      <c r="I43" s="195" t="s">
        <v>94</v>
      </c>
      <c r="J43" s="212">
        <v>17.43</v>
      </c>
      <c r="K43" s="212">
        <v>15.46</v>
      </c>
      <c r="L43" s="214">
        <f t="shared" si="23"/>
        <v>0.1274256144890038</v>
      </c>
      <c r="M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1"/>
      <c r="E44" s="1"/>
      <c r="F44" s="1"/>
      <c r="G44" s="1"/>
      <c r="H44" s="1"/>
      <c r="I44" s="195" t="s">
        <v>180</v>
      </c>
      <c r="J44" s="220">
        <v>1.9800000000000002E-2</v>
      </c>
      <c r="K44" s="220">
        <v>1.8100000000000002E-2</v>
      </c>
      <c r="L44" s="221">
        <f t="shared" ref="L44:L45" si="25">J44-K44</f>
        <v>1.7000000000000001E-3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95" t="s">
        <v>181</v>
      </c>
      <c r="J45" s="214">
        <f t="shared" ref="J45:K45" si="26">J41/J37</f>
        <v>0.13055181695827725</v>
      </c>
      <c r="K45" s="214">
        <f t="shared" si="26"/>
        <v>0.15123642943305188</v>
      </c>
      <c r="L45" s="221">
        <f t="shared" si="25"/>
        <v>-2.0684612474774627E-2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85" t="s">
        <v>173</v>
      </c>
      <c r="J47" s="185" t="s">
        <v>154</v>
      </c>
      <c r="K47" s="185" t="s">
        <v>168</v>
      </c>
      <c r="L47" s="185" t="s">
        <v>182</v>
      </c>
      <c r="M47" s="189" t="s">
        <v>169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212" t="s">
        <v>183</v>
      </c>
      <c r="J48" s="213">
        <v>3905</v>
      </c>
      <c r="K48" s="213">
        <v>2719</v>
      </c>
      <c r="L48" s="196">
        <f t="shared" ref="L48:L51" si="27">J48/$J$53</f>
        <v>0.52977886311219646</v>
      </c>
      <c r="M48" s="214">
        <f t="shared" ref="M48:M51" si="28">(J48/K48)^(1/1)-1</f>
        <v>0.43618977565281347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212" t="s">
        <v>184</v>
      </c>
      <c r="J49" s="213">
        <v>1548</v>
      </c>
      <c r="K49" s="213">
        <v>1311</v>
      </c>
      <c r="L49" s="196">
        <f t="shared" si="27"/>
        <v>0.21001221001221002</v>
      </c>
      <c r="M49" s="214">
        <f t="shared" si="28"/>
        <v>0.18077803203661325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212" t="s">
        <v>185</v>
      </c>
      <c r="J50" s="213">
        <v>1612</v>
      </c>
      <c r="K50" s="213">
        <v>1154</v>
      </c>
      <c r="L50" s="196">
        <f t="shared" si="27"/>
        <v>0.21869488536155202</v>
      </c>
      <c r="M50" s="214">
        <f t="shared" si="28"/>
        <v>0.39688041594454071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216" t="s">
        <v>175</v>
      </c>
      <c r="J51" s="213">
        <v>306</v>
      </c>
      <c r="K51" s="213">
        <v>114</v>
      </c>
      <c r="L51" s="196">
        <f t="shared" si="27"/>
        <v>4.1514041514041512E-2</v>
      </c>
      <c r="M51" s="214">
        <f t="shared" si="28"/>
        <v>1.6842105263157894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222" t="s">
        <v>85</v>
      </c>
      <c r="J53" s="223">
        <f t="shared" ref="J53:K53" si="29">SUM(J48:J51)</f>
        <v>7371</v>
      </c>
      <c r="K53" s="223">
        <f t="shared" si="29"/>
        <v>5298</v>
      </c>
      <c r="L53" s="196">
        <f>J53/$J$53</f>
        <v>1</v>
      </c>
      <c r="M53" s="224">
        <f>(J53/K53)^(1/1)-1</f>
        <v>0.39127972819932055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99"/>
      <c r="J55" s="225"/>
      <c r="K55" s="225"/>
      <c r="L55" s="2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99"/>
      <c r="J56" s="226"/>
      <c r="K56" s="226"/>
      <c r="L56" s="2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227" t="s">
        <v>186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230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233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2">
    <mergeCell ref="S32:S34"/>
    <mergeCell ref="B75:N77"/>
  </mergeCells>
  <conditionalFormatting sqref="C11:C22 I33">
    <cfRule type="colorScale" priority="2">
      <colorScale>
        <cfvo type="min"/>
        <cfvo type="max"/>
        <color rgb="FFFFFFFF"/>
        <color rgb="FF57BB8A"/>
      </colorScale>
    </cfRule>
  </conditionalFormatting>
  <conditionalFormatting sqref="C25:F27 I25:J27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:D22">
    <cfRule type="colorScale" priority="3">
      <colorScale>
        <cfvo type="min"/>
        <cfvo type="max"/>
        <color rgb="FFFFFFFF"/>
        <color rgb="FF57BB8A"/>
      </colorScale>
    </cfRule>
  </conditionalFormatting>
  <conditionalFormatting sqref="G11:G22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5:G27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1:H22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25:H27">
    <cfRule type="colorScale" priority="1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34">
    <cfRule type="colorScale" priority="1">
      <colorScale>
        <cfvo type="min"/>
        <cfvo type="max"/>
        <color rgb="FF57BB8A"/>
        <color rgb="FFFFFFFF"/>
      </colorScale>
    </cfRule>
  </conditionalFormatting>
  <conditionalFormatting sqref="I11:J22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30:M3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33:M33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34:M34">
    <cfRule type="colorScale" priority="2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5:L27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37:L54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1:M22">
    <cfRule type="colorScale" priority="7">
      <colorScale>
        <cfvo type="min"/>
        <cfvo type="max"/>
        <color rgb="FFFFFFFF"/>
        <color rgb="FF57BB8A"/>
      </colorScale>
    </cfRule>
  </conditionalFormatting>
  <conditionalFormatting sqref="M25:M27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7:N22">
    <cfRule type="colorScale" priority="1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25:N27">
    <cfRule type="colorScale" priority="1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37:O4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32:R32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34:R34">
    <cfRule type="colorScale" priority="2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29:T29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75" r:id="rId1" xr:uid="{68A58E7D-3E45-42ED-B5EB-D0D757549AD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1C31-43EF-4DE8-82F3-FEC46CEA8FA5}">
  <sheetPr>
    <outlinePr summaryBelow="0" summaryRight="0"/>
  </sheetPr>
  <dimension ref="A1:Z972"/>
  <sheetViews>
    <sheetView workbookViewId="0"/>
  </sheetViews>
  <sheetFormatPr defaultColWidth="14" defaultRowHeight="15" customHeight="1" x14ac:dyDescent="0.3"/>
  <cols>
    <col min="1" max="1" width="6.6640625" customWidth="1"/>
    <col min="2" max="2" width="11.88671875" customWidth="1"/>
    <col min="3" max="3" width="25.5546875" customWidth="1"/>
    <col min="4" max="4" width="14.88671875" customWidth="1"/>
    <col min="5" max="5" width="15.6640625" customWidth="1"/>
    <col min="6" max="6" width="13.77734375" customWidth="1"/>
    <col min="7" max="7" width="11.88671875" customWidth="1"/>
    <col min="8" max="8" width="15.109375" customWidth="1"/>
    <col min="9" max="9" width="15.21875" customWidth="1"/>
    <col min="10" max="10" width="12.6640625" customWidth="1"/>
    <col min="11" max="11" width="14" customWidth="1"/>
    <col min="12" max="12" width="11" customWidth="1"/>
    <col min="13" max="13" width="11.77734375" customWidth="1"/>
    <col min="14" max="14" width="13.44140625" customWidth="1"/>
    <col min="15" max="16" width="9" customWidth="1"/>
    <col min="17" max="17" width="11.77734375" customWidth="1"/>
  </cols>
  <sheetData>
    <row r="1" spans="1:26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"/>
      <c r="B2" s="2" t="s">
        <v>0</v>
      </c>
      <c r="C2" s="3"/>
      <c r="D2" s="2" t="s">
        <v>0</v>
      </c>
      <c r="E2" s="2" t="s">
        <v>1</v>
      </c>
      <c r="F2" s="3"/>
      <c r="G2" s="2" t="s">
        <v>1</v>
      </c>
      <c r="H2" s="3"/>
      <c r="I2" s="3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4" t="s">
        <v>2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1"/>
      <c r="B4" s="3">
        <v>21</v>
      </c>
      <c r="C4" s="5" t="s">
        <v>17</v>
      </c>
      <c r="D4" s="2">
        <v>5697349.7121000001</v>
      </c>
      <c r="E4" s="6">
        <v>8283763.0861280002</v>
      </c>
      <c r="F4" s="7">
        <f t="shared" ref="F4:F7" si="0">(E4/D4)^(1/5)-1</f>
        <v>7.7732447261077642E-2</v>
      </c>
      <c r="G4" s="3">
        <v>12</v>
      </c>
      <c r="H4" s="8">
        <v>971421.1139</v>
      </c>
      <c r="I4" s="8">
        <v>104649.35097</v>
      </c>
      <c r="J4" s="9">
        <f t="shared" ref="J4:J7" si="1">I4/H4</f>
        <v>0.10772810007171905</v>
      </c>
      <c r="K4" s="10">
        <v>8.35</v>
      </c>
      <c r="L4" s="1">
        <v>5.0999999999999996</v>
      </c>
      <c r="M4" s="10">
        <v>1.7</v>
      </c>
      <c r="N4" s="11">
        <v>70.25</v>
      </c>
      <c r="O4" s="3">
        <v>0.8</v>
      </c>
      <c r="P4" s="3">
        <v>10.199999999999999</v>
      </c>
      <c r="Q4" s="3">
        <v>1310743</v>
      </c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1"/>
      <c r="B5" s="3">
        <v>21</v>
      </c>
      <c r="C5" s="5" t="s">
        <v>18</v>
      </c>
      <c r="D5" s="2">
        <v>2662753.0665620002</v>
      </c>
      <c r="E5" s="6">
        <v>5366675.2868760005</v>
      </c>
      <c r="F5" s="7">
        <f t="shared" si="0"/>
        <v>0.15046890519219835</v>
      </c>
      <c r="G5" s="3">
        <v>21</v>
      </c>
      <c r="H5" s="8">
        <v>690556.997859</v>
      </c>
      <c r="I5" s="8">
        <v>124135.607045</v>
      </c>
      <c r="J5" s="9">
        <f t="shared" si="1"/>
        <v>0.17976156556210351</v>
      </c>
      <c r="K5" s="10">
        <v>1.93</v>
      </c>
      <c r="L5" s="1">
        <v>1.9</v>
      </c>
      <c r="M5" s="10">
        <v>0.86</v>
      </c>
      <c r="N5" s="11">
        <v>82.7</v>
      </c>
      <c r="O5" s="3">
        <v>1.2</v>
      </c>
      <c r="P5" s="3">
        <v>13.5</v>
      </c>
      <c r="Q5" s="3">
        <v>3174942</v>
      </c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1"/>
      <c r="B6" s="3">
        <v>45</v>
      </c>
      <c r="C6" s="5" t="s">
        <v>19</v>
      </c>
      <c r="D6" s="6">
        <v>351015.72100000002</v>
      </c>
      <c r="E6" s="6">
        <v>491029.37175599998</v>
      </c>
      <c r="F6" s="7">
        <f t="shared" si="0"/>
        <v>6.9439401054201877E-2</v>
      </c>
      <c r="G6" s="3">
        <v>44</v>
      </c>
      <c r="H6" s="8">
        <v>108268.45200200001</v>
      </c>
      <c r="I6" s="8">
        <v>30145.167127000001</v>
      </c>
      <c r="J6" s="9">
        <f t="shared" si="1"/>
        <v>0.27842983407985866</v>
      </c>
      <c r="K6" s="3">
        <v>0.8</v>
      </c>
      <c r="L6" s="1">
        <v>1.3</v>
      </c>
      <c r="M6" s="3">
        <v>0.6</v>
      </c>
      <c r="N6" s="11">
        <v>74.900000000000006</v>
      </c>
      <c r="O6" s="3">
        <v>0.9</v>
      </c>
      <c r="P6" s="3">
        <v>3.6</v>
      </c>
      <c r="Q6" s="3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thickBot="1" x14ac:dyDescent="0.35">
      <c r="A7" s="1"/>
      <c r="B7" s="12">
        <v>6</v>
      </c>
      <c r="C7" s="13" t="s">
        <v>20</v>
      </c>
      <c r="D7" s="14">
        <v>34878.991600000001</v>
      </c>
      <c r="E7" s="15">
        <v>163963.05692900001</v>
      </c>
      <c r="F7" s="16">
        <f t="shared" si="0"/>
        <v>0.3628134693616718</v>
      </c>
      <c r="G7" s="12">
        <v>12</v>
      </c>
      <c r="H7" s="17">
        <v>33805.952891000001</v>
      </c>
      <c r="I7" s="17">
        <v>4162.3202950000004</v>
      </c>
      <c r="J7" s="18">
        <f t="shared" si="1"/>
        <v>0.123123886151664</v>
      </c>
      <c r="K7" s="12">
        <v>1.2</v>
      </c>
      <c r="L7" s="19">
        <v>0.7</v>
      </c>
      <c r="M7" s="12">
        <v>1.2</v>
      </c>
      <c r="N7" s="20">
        <v>95.13</v>
      </c>
      <c r="O7" s="12">
        <v>1.2</v>
      </c>
      <c r="P7" s="12">
        <v>13.8</v>
      </c>
      <c r="Q7" s="12">
        <v>87979</v>
      </c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thickTop="1" x14ac:dyDescent="0.3">
      <c r="A8" s="1"/>
      <c r="B8" s="21"/>
      <c r="C8" s="21"/>
      <c r="D8" s="22"/>
      <c r="E8" s="21"/>
      <c r="F8" s="21"/>
      <c r="G8" s="21"/>
      <c r="H8" s="21"/>
      <c r="I8" s="21"/>
      <c r="J8" s="21"/>
      <c r="K8" s="21"/>
      <c r="L8" s="1"/>
      <c r="M8" s="21"/>
      <c r="N8" s="21"/>
      <c r="O8" s="21"/>
      <c r="P8" s="21"/>
      <c r="Q8" s="2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thickBot="1" x14ac:dyDescent="0.35">
      <c r="A9" s="1"/>
      <c r="B9" s="23">
        <f>SUM(B4:B7)</f>
        <v>93</v>
      </c>
      <c r="C9" s="24" t="s">
        <v>21</v>
      </c>
      <c r="D9" s="25">
        <v>8745997.4912620001</v>
      </c>
      <c r="E9" s="26">
        <v>14305430.928289</v>
      </c>
      <c r="F9" s="27">
        <f>(E9/D9)^(1/5)-1</f>
        <v>0.10341356637164489</v>
      </c>
      <c r="G9" s="23">
        <f>SUM(G4:G7)</f>
        <v>89</v>
      </c>
      <c r="H9" s="28">
        <v>1810017.9001519999</v>
      </c>
      <c r="I9" s="28">
        <v>263213.872737</v>
      </c>
      <c r="J9" s="29">
        <f>I9/H9</f>
        <v>0.1454205909869157</v>
      </c>
      <c r="K9" s="30">
        <v>5.5</v>
      </c>
      <c r="L9" s="30">
        <f>AVERAGE(L4:L7)</f>
        <v>2.25</v>
      </c>
      <c r="M9" s="30">
        <v>0.8</v>
      </c>
      <c r="N9" s="30">
        <f t="shared" ref="N9:P9" si="2">AVERAGE(N4:N7)</f>
        <v>80.745000000000005</v>
      </c>
      <c r="O9" s="30">
        <f t="shared" si="2"/>
        <v>1.0249999999999999</v>
      </c>
      <c r="P9" s="30">
        <f t="shared" si="2"/>
        <v>10.275</v>
      </c>
      <c r="Q9" s="12">
        <f>SUM(Q4:Q7)</f>
        <v>4573664</v>
      </c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thickTop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4" t="s">
        <v>22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1"/>
      <c r="B13" s="1"/>
      <c r="C13" s="4" t="s">
        <v>3</v>
      </c>
      <c r="D13" s="31" t="s">
        <v>2</v>
      </c>
      <c r="E13" s="31" t="s">
        <v>6</v>
      </c>
      <c r="F13" s="1"/>
      <c r="H13" s="4" t="s">
        <v>3</v>
      </c>
      <c r="I13" s="4" t="s">
        <v>23</v>
      </c>
      <c r="J13" s="4" t="s">
        <v>24</v>
      </c>
      <c r="K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1"/>
      <c r="B14" s="1"/>
      <c r="C14" s="5" t="s">
        <v>17</v>
      </c>
      <c r="D14" s="32">
        <v>21</v>
      </c>
      <c r="E14" s="33">
        <v>12</v>
      </c>
      <c r="F14" s="1"/>
      <c r="H14" s="5" t="s">
        <v>17</v>
      </c>
      <c r="I14" s="2">
        <v>5697349.7121000001</v>
      </c>
      <c r="J14" s="6">
        <v>8283763.0861280002</v>
      </c>
      <c r="K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1"/>
      <c r="C15" s="5" t="s">
        <v>18</v>
      </c>
      <c r="D15" s="32">
        <v>21</v>
      </c>
      <c r="E15" s="34">
        <v>21</v>
      </c>
      <c r="F15" s="1"/>
      <c r="H15" s="5" t="s">
        <v>18</v>
      </c>
      <c r="I15" s="2">
        <v>2662753.0665620002</v>
      </c>
      <c r="J15" s="6">
        <v>5366675.2868760005</v>
      </c>
      <c r="K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1"/>
      <c r="B16" s="1"/>
      <c r="C16" s="5" t="s">
        <v>19</v>
      </c>
      <c r="D16" s="35">
        <v>45</v>
      </c>
      <c r="E16" s="36">
        <v>44</v>
      </c>
      <c r="F16" s="1"/>
      <c r="H16" s="5" t="s">
        <v>19</v>
      </c>
      <c r="I16" s="6">
        <v>351015.72100000002</v>
      </c>
      <c r="J16" s="6">
        <v>491029.37175599998</v>
      </c>
      <c r="K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thickBot="1" x14ac:dyDescent="0.35">
      <c r="A17" s="1"/>
      <c r="B17" s="1"/>
      <c r="C17" s="13" t="s">
        <v>20</v>
      </c>
      <c r="D17" s="37">
        <v>6</v>
      </c>
      <c r="E17" s="38">
        <v>12</v>
      </c>
      <c r="F17" s="1"/>
      <c r="H17" s="13" t="s">
        <v>20</v>
      </c>
      <c r="I17" s="14">
        <v>34878.991600000001</v>
      </c>
      <c r="J17" s="15">
        <v>163963.05692900001</v>
      </c>
      <c r="K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thickTop="1" x14ac:dyDescent="0.3">
      <c r="A18" s="1"/>
      <c r="B18" s="1"/>
      <c r="C18" s="21"/>
      <c r="D18" s="39"/>
      <c r="E18" s="40"/>
      <c r="F18" s="1"/>
      <c r="H18" s="21"/>
      <c r="I18" s="22"/>
      <c r="J18" s="21"/>
      <c r="K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thickBot="1" x14ac:dyDescent="0.35">
      <c r="A19" s="1"/>
      <c r="B19" s="1"/>
      <c r="C19" s="24" t="s">
        <v>25</v>
      </c>
      <c r="D19" s="41">
        <f t="shared" ref="D19:E19" si="3">SUM(D14:D17)</f>
        <v>93</v>
      </c>
      <c r="E19" s="42">
        <f t="shared" si="3"/>
        <v>89</v>
      </c>
      <c r="F19" s="1"/>
      <c r="H19" s="24" t="s">
        <v>25</v>
      </c>
      <c r="I19" s="25">
        <v>8745997.4912620001</v>
      </c>
      <c r="J19" s="26">
        <v>14305430.928289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thickTop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4" t="s">
        <v>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31" t="s">
        <v>3</v>
      </c>
      <c r="D37" s="31" t="s">
        <v>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43" t="s">
        <v>17</v>
      </c>
      <c r="D38" s="44">
        <v>7.7732447261077642E-2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43" t="s">
        <v>18</v>
      </c>
      <c r="D39" s="45">
        <v>0.15046890519219835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43" t="s">
        <v>19</v>
      </c>
      <c r="D40" s="46">
        <v>6.9439401054201877E-2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thickBot="1" x14ac:dyDescent="0.35">
      <c r="A41" s="1"/>
      <c r="B41" s="1"/>
      <c r="C41" s="47" t="s">
        <v>20</v>
      </c>
      <c r="D41" s="48">
        <v>0.3628134693616718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thickTop="1" x14ac:dyDescent="0.3">
      <c r="A42" s="1"/>
      <c r="B42" s="1"/>
      <c r="C42" s="39"/>
      <c r="D42" s="4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thickBot="1" x14ac:dyDescent="0.35">
      <c r="A43" s="1"/>
      <c r="B43" s="1"/>
      <c r="C43" s="24" t="s">
        <v>25</v>
      </c>
      <c r="D43" s="49">
        <v>0.10341356637164489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thickTop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4" t="s">
        <v>26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 t="s">
        <v>27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4" t="s">
        <v>28</v>
      </c>
      <c r="C52" s="4" t="s">
        <v>29</v>
      </c>
      <c r="D52" s="4" t="s">
        <v>30</v>
      </c>
      <c r="E52" s="4" t="s">
        <v>31</v>
      </c>
      <c r="F52" s="4" t="s">
        <v>32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>
        <v>1</v>
      </c>
      <c r="C53" s="1" t="s">
        <v>33</v>
      </c>
      <c r="D53" s="50">
        <v>42767</v>
      </c>
      <c r="E53" s="1" t="s">
        <v>34</v>
      </c>
      <c r="F53" s="1" t="s">
        <v>35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>
        <v>2</v>
      </c>
      <c r="C54" s="1" t="s">
        <v>36</v>
      </c>
      <c r="D54" s="50">
        <v>43188</v>
      </c>
      <c r="E54" s="1" t="s">
        <v>37</v>
      </c>
      <c r="F54" s="1" t="s">
        <v>35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>
        <v>3</v>
      </c>
      <c r="C55" s="1" t="s">
        <v>38</v>
      </c>
      <c r="D55" s="50">
        <v>42618</v>
      </c>
      <c r="E55" s="1" t="s">
        <v>39</v>
      </c>
      <c r="F55" s="1" t="s">
        <v>40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>
        <v>4</v>
      </c>
      <c r="C56" s="1" t="s">
        <v>41</v>
      </c>
      <c r="D56" s="50">
        <v>42844</v>
      </c>
      <c r="E56" s="1" t="s">
        <v>42</v>
      </c>
      <c r="F56" s="1" t="s">
        <v>43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>
        <v>5</v>
      </c>
      <c r="C57" s="1" t="s">
        <v>44</v>
      </c>
      <c r="D57" s="50">
        <v>42484</v>
      </c>
      <c r="E57" s="1" t="s">
        <v>45</v>
      </c>
      <c r="F57" s="1" t="s">
        <v>46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>
        <v>6</v>
      </c>
      <c r="C58" s="1" t="s">
        <v>47</v>
      </c>
      <c r="D58" s="50">
        <v>42937</v>
      </c>
      <c r="E58" s="1" t="s">
        <v>48</v>
      </c>
      <c r="F58" s="1" t="s">
        <v>35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>
        <v>7</v>
      </c>
      <c r="C59" s="1" t="s">
        <v>49</v>
      </c>
      <c r="D59" s="50">
        <v>42811</v>
      </c>
      <c r="E59" s="1" t="s">
        <v>50</v>
      </c>
      <c r="F59" s="1" t="s">
        <v>51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>
        <v>8</v>
      </c>
      <c r="C60" s="1" t="s">
        <v>52</v>
      </c>
      <c r="D60" s="50">
        <v>43025</v>
      </c>
      <c r="E60" s="1" t="s">
        <v>53</v>
      </c>
      <c r="F60" s="1" t="s">
        <v>54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>
        <v>9</v>
      </c>
      <c r="C61" s="1" t="s">
        <v>55</v>
      </c>
      <c r="D61" s="50">
        <v>42758</v>
      </c>
      <c r="E61" s="1" t="s">
        <v>56</v>
      </c>
      <c r="F61" s="1" t="s">
        <v>57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>
        <v>10</v>
      </c>
      <c r="C62" s="1" t="s">
        <v>58</v>
      </c>
      <c r="D62" s="50">
        <v>42758</v>
      </c>
      <c r="E62" s="1" t="s">
        <v>59</v>
      </c>
      <c r="F62" s="1" t="s">
        <v>60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>
        <v>11</v>
      </c>
      <c r="C63" s="1" t="s">
        <v>61</v>
      </c>
      <c r="D63" s="50">
        <v>44312</v>
      </c>
      <c r="E63" s="1" t="s">
        <v>62</v>
      </c>
      <c r="F63" s="1" t="s">
        <v>63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thickBot="1" x14ac:dyDescent="0.35">
      <c r="A64" s="1"/>
      <c r="B64" s="19">
        <v>12</v>
      </c>
      <c r="C64" s="19" t="s">
        <v>64</v>
      </c>
      <c r="D64" s="51">
        <v>44501</v>
      </c>
      <c r="E64" s="19" t="s">
        <v>65</v>
      </c>
      <c r="F64" s="19" t="s">
        <v>66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thickTop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4" t="s">
        <v>67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52" t="s">
        <v>0</v>
      </c>
      <c r="L68" s="52" t="s">
        <v>68</v>
      </c>
      <c r="M68" s="52" t="s">
        <v>1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4" t="s">
        <v>69</v>
      </c>
      <c r="C69" s="4" t="s">
        <v>70</v>
      </c>
      <c r="D69" s="4" t="s">
        <v>71</v>
      </c>
      <c r="E69" s="4" t="s">
        <v>72</v>
      </c>
      <c r="F69" s="53" t="s">
        <v>4</v>
      </c>
      <c r="G69" s="4" t="s">
        <v>5</v>
      </c>
      <c r="H69" s="4" t="s">
        <v>7</v>
      </c>
      <c r="I69" s="4" t="s">
        <v>8</v>
      </c>
      <c r="J69" s="4" t="s">
        <v>9</v>
      </c>
      <c r="K69" s="4" t="s">
        <v>10</v>
      </c>
      <c r="L69" s="4" t="s">
        <v>11</v>
      </c>
      <c r="M69" s="4" t="s">
        <v>12</v>
      </c>
      <c r="N69" s="4" t="s">
        <v>73</v>
      </c>
      <c r="O69" s="4" t="s">
        <v>74</v>
      </c>
      <c r="P69" s="4" t="s">
        <v>75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>
        <v>540611</v>
      </c>
      <c r="C70" s="1" t="s">
        <v>76</v>
      </c>
      <c r="D70" s="54">
        <f ca="1">IFERROR(__xludf.DUMMYFUNCTION("GOOGLEFINANCE(""nse:""&amp;C70,""price"")"),599.05)</f>
        <v>599.04999999999995</v>
      </c>
      <c r="E70" s="54">
        <f ca="1">IFERROR(__xludf.DUMMYFUNCTION("GOOGLEFINANCE(""nse:""&amp;C70,""MARKETCAP"")/10000000"),40143.71448)</f>
        <v>40143.714480000002</v>
      </c>
      <c r="F70" s="55">
        <v>58421.544071999997</v>
      </c>
      <c r="G70" s="56">
        <v>0.3442037159490845</v>
      </c>
      <c r="H70" s="57">
        <v>9239.8724810000003</v>
      </c>
      <c r="I70" s="57">
        <v>1427.925262</v>
      </c>
      <c r="J70" s="56">
        <f t="shared" ref="J70:J78" si="4">I70/H70</f>
        <v>0.15453949877947454</v>
      </c>
      <c r="K70" s="58">
        <v>1.27</v>
      </c>
      <c r="L70" s="59">
        <v>0.81</v>
      </c>
      <c r="M70" s="58">
        <v>0.42</v>
      </c>
      <c r="N70" s="58">
        <v>84.223391000000007</v>
      </c>
      <c r="O70" s="58">
        <v>1.79</v>
      </c>
      <c r="P70" s="58">
        <v>15.444245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>
        <v>543243</v>
      </c>
      <c r="C71" s="1" t="s">
        <v>77</v>
      </c>
      <c r="D71" s="54">
        <f ca="1">IFERROR(__xludf.DUMMYFUNCTION("GOOGLEFINANCE(""nse:""&amp;C71,""price"")"),107)</f>
        <v>107</v>
      </c>
      <c r="E71" s="54">
        <f ca="1">IFERROR(__xludf.DUMMYFUNCTION("GOOGLEFINANCE(""nse:""&amp;C71,""MARKETCAP"")/10000000"),11985.165675)</f>
        <v>11985.165675</v>
      </c>
      <c r="F71" s="55">
        <v>25798.5566</v>
      </c>
      <c r="G71" s="56">
        <v>0.27334320289979597</v>
      </c>
      <c r="H71" s="57">
        <v>4831.4638000000004</v>
      </c>
      <c r="I71" s="57">
        <v>573.59050000000002</v>
      </c>
      <c r="J71" s="56">
        <f t="shared" si="4"/>
        <v>0.11871981737708559</v>
      </c>
      <c r="K71" s="58">
        <v>1.46</v>
      </c>
      <c r="L71" s="59">
        <v>1.67</v>
      </c>
      <c r="M71" s="58">
        <v>1.21</v>
      </c>
      <c r="N71" s="58">
        <v>101.646933</v>
      </c>
      <c r="O71" s="58">
        <v>1.82</v>
      </c>
      <c r="P71" s="58">
        <v>12.198710999999999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>
        <v>542904</v>
      </c>
      <c r="C72" s="1" t="s">
        <v>78</v>
      </c>
      <c r="D72" s="54">
        <f ca="1">IFERROR(__xludf.DUMMYFUNCTION("GOOGLEFINANCE(""nse:""&amp;C72,""price"")"),55.15)</f>
        <v>55.15</v>
      </c>
      <c r="E72" s="54">
        <f ca="1">IFERROR(__xludf.DUMMYFUNCTION("GOOGLEFINANCE(""nse:""&amp;C72,""MARKETCAP"")/10000000"),10801.7935444)</f>
        <v>10801.7935444</v>
      </c>
      <c r="F72" s="55">
        <v>21289.661100000001</v>
      </c>
      <c r="G72" s="56">
        <v>0.23748340074935115</v>
      </c>
      <c r="H72" s="57">
        <v>4754.1855999999998</v>
      </c>
      <c r="I72" s="57">
        <v>1099.9217000000001</v>
      </c>
      <c r="J72" s="56">
        <f t="shared" si="4"/>
        <v>0.23135859483483356</v>
      </c>
      <c r="K72" s="58">
        <v>0.69</v>
      </c>
      <c r="L72" s="59">
        <v>0.2</v>
      </c>
      <c r="M72" s="58">
        <v>0.09</v>
      </c>
      <c r="N72" s="58">
        <v>83.365674999999996</v>
      </c>
      <c r="O72" s="58">
        <v>4.04</v>
      </c>
      <c r="P72" s="58">
        <v>31.373712000000001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>
        <v>543942</v>
      </c>
      <c r="C73" s="1" t="s">
        <v>79</v>
      </c>
      <c r="D73" s="54">
        <f ca="1">IFERROR(__xludf.DUMMYFUNCTION("GOOGLEFINANCE(""nse:""&amp;C73,""price"")"),55.35)</f>
        <v>55.35</v>
      </c>
      <c r="E73" s="54">
        <f ca="1">IFERROR(__xludf.DUMMYFUNCTION("GOOGLEFINANCE(""nse:""&amp;C73,""MARKETCAP"")/10000000"),6084.8442409)</f>
        <v>6084.8442408999999</v>
      </c>
      <c r="F73" s="55">
        <v>13068.7655</v>
      </c>
      <c r="G73" s="56">
        <v>0.33329556400121407</v>
      </c>
      <c r="H73" s="57">
        <v>2804.2860000000001</v>
      </c>
      <c r="I73" s="57">
        <v>404.50189999999998</v>
      </c>
      <c r="J73" s="56">
        <f t="shared" si="4"/>
        <v>0.14424416767761919</v>
      </c>
      <c r="K73" s="58">
        <v>1.0900000000000001</v>
      </c>
      <c r="L73" s="59">
        <v>0.18</v>
      </c>
      <c r="M73" s="58">
        <v>0.39</v>
      </c>
      <c r="N73" s="58">
        <v>95.321897000000007</v>
      </c>
      <c r="O73" s="58">
        <v>2.4500000000000002</v>
      </c>
      <c r="P73" s="58">
        <v>22.644569000000001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>
        <v>544118</v>
      </c>
      <c r="C74" s="1" t="s">
        <v>80</v>
      </c>
      <c r="D74" s="54">
        <f ca="1">IFERROR(__xludf.DUMMYFUNCTION("GOOGLEFINANCE(""nse:""&amp;C74,""price"")"),446.7)</f>
        <v>446.7</v>
      </c>
      <c r="E74" s="54">
        <v>4627</v>
      </c>
      <c r="F74" s="55">
        <v>17759.555400000001</v>
      </c>
      <c r="G74" s="1"/>
      <c r="H74" s="57">
        <v>3699.875</v>
      </c>
      <c r="I74" s="57">
        <v>255.97130000000001</v>
      </c>
      <c r="J74" s="56">
        <f t="shared" si="4"/>
        <v>6.9183769721950075E-2</v>
      </c>
      <c r="K74" s="1"/>
      <c r="L74" s="59">
        <v>1.41</v>
      </c>
      <c r="M74" s="58">
        <v>2.64</v>
      </c>
      <c r="N74" s="58">
        <v>108.727429</v>
      </c>
      <c r="O74" s="58">
        <v>1.1299999999999999</v>
      </c>
      <c r="P74" s="58">
        <v>17.076398000000001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>
        <v>544020</v>
      </c>
      <c r="C75" s="1" t="s">
        <v>81</v>
      </c>
      <c r="D75" s="54">
        <f ca="1">IFERROR(__xludf.DUMMYFUNCTION("GOOGLEFINANCE(""nse:""&amp;C75,""price"")"),64.7)</f>
        <v>64.7</v>
      </c>
      <c r="E75" s="54">
        <f ca="1">IFERROR(__xludf.DUMMYFUNCTION("GOOGLEFINANCE(""nse:""&amp;C75,""MARKETCAP"")/10000000"),3330.6257959)</f>
        <v>3330.6257959</v>
      </c>
      <c r="F75" s="55">
        <v>18149</v>
      </c>
      <c r="G75" s="1"/>
      <c r="H75" s="57">
        <v>3141.5722000000001</v>
      </c>
      <c r="I75" s="57">
        <v>302.3331</v>
      </c>
      <c r="J75" s="56">
        <f t="shared" si="4"/>
        <v>9.6236241204324377E-2</v>
      </c>
      <c r="K75" s="1"/>
      <c r="L75" s="59">
        <v>0.64</v>
      </c>
      <c r="M75" s="58">
        <v>1.1299999999999999</v>
      </c>
      <c r="N75" s="58">
        <v>94.945369999999997</v>
      </c>
      <c r="O75" s="58">
        <v>1.63</v>
      </c>
      <c r="P75" s="58">
        <v>19.339389000000001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>
        <v>543386</v>
      </c>
      <c r="C76" s="1" t="s">
        <v>82</v>
      </c>
      <c r="D76" s="54">
        <f ca="1">IFERROR(__xludf.DUMMYFUNCTION("GOOGLEFINANCE(""nse:""&amp;C76,""price"")"),312)</f>
        <v>312</v>
      </c>
      <c r="E76" s="54">
        <f ca="1">IFERROR(__xludf.DUMMYFUNCTION("GOOGLEFINANCE(""nse:""&amp;C76,""MARKETCAP"")/10000000"),2596.285848)</f>
        <v>2596.285848</v>
      </c>
      <c r="F76" s="55">
        <v>8702.4142859999993</v>
      </c>
      <c r="G76" s="1"/>
      <c r="H76" s="57">
        <v>1970.797615</v>
      </c>
      <c r="I76" s="57">
        <v>103.64195599999999</v>
      </c>
      <c r="J76" s="56">
        <f t="shared" si="4"/>
        <v>5.2588837743240316E-2</v>
      </c>
      <c r="K76" s="1"/>
      <c r="L76" s="59">
        <v>0.41</v>
      </c>
      <c r="M76" s="58">
        <v>3.55</v>
      </c>
      <c r="N76" s="58">
        <v>108.33075599999999</v>
      </c>
      <c r="O76" s="58">
        <v>0.95</v>
      </c>
      <c r="P76" s="58">
        <v>8.2400280000000006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>
        <v>544120</v>
      </c>
      <c r="C77" s="1" t="s">
        <v>83</v>
      </c>
      <c r="D77" s="54">
        <f ca="1">IFERROR(__xludf.DUMMYFUNCTION("GOOGLEFINANCE(""nse:""&amp;C77,""price"")"),422)</f>
        <v>422</v>
      </c>
      <c r="E77" s="54">
        <v>1896</v>
      </c>
      <c r="F77" s="55">
        <v>5428.6882999999998</v>
      </c>
      <c r="G77" s="56">
        <v>0.24060039100584496</v>
      </c>
      <c r="H77" s="57">
        <v>725.48230000000001</v>
      </c>
      <c r="I77" s="57">
        <v>93.596199999999996</v>
      </c>
      <c r="J77" s="56">
        <f t="shared" si="4"/>
        <v>0.12901238252125516</v>
      </c>
      <c r="K77" s="58">
        <v>0.84</v>
      </c>
      <c r="L77" s="59">
        <v>1.25</v>
      </c>
      <c r="M77" s="58">
        <v>1.36</v>
      </c>
      <c r="N77" s="58">
        <v>82.746559000000005</v>
      </c>
      <c r="O77" s="58">
        <v>1.22</v>
      </c>
      <c r="P77" s="58">
        <v>16.618759000000001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>
        <v>543279</v>
      </c>
      <c r="C78" s="1" t="s">
        <v>84</v>
      </c>
      <c r="D78" s="54">
        <f ca="1">IFERROR(__xludf.DUMMYFUNCTION("GOOGLEFINANCE(""nse:""&amp;C78,""price"")"),176)</f>
        <v>176</v>
      </c>
      <c r="E78" s="54">
        <f ca="1">IFERROR(__xludf.DUMMYFUNCTION("GOOGLEFINANCE(""nse:""&amp;C78,""MARKETCAP"")/10000000"),1876.4030012)</f>
        <v>1876.4030012000001</v>
      </c>
      <c r="F78" s="55">
        <v>6015.0510709999999</v>
      </c>
      <c r="G78" s="56">
        <v>0.30735840732794673</v>
      </c>
      <c r="H78" s="57">
        <v>1281.104495</v>
      </c>
      <c r="I78" s="57">
        <v>77.690877</v>
      </c>
      <c r="J78" s="56">
        <f t="shared" si="4"/>
        <v>6.0643669039659405E-2</v>
      </c>
      <c r="K78" s="58">
        <v>2.25</v>
      </c>
      <c r="L78" s="59">
        <v>0.56999999999999995</v>
      </c>
      <c r="M78" s="58">
        <v>1.55</v>
      </c>
      <c r="N78" s="58">
        <v>116.419145</v>
      </c>
      <c r="O78" s="58">
        <v>0.91</v>
      </c>
      <c r="P78" s="58">
        <v>5.0287879999999996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thickBo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thickTop="1" x14ac:dyDescent="0.3">
      <c r="A80" s="1"/>
      <c r="B80" s="60" t="s">
        <v>85</v>
      </c>
      <c r="C80" s="60" t="s">
        <v>26</v>
      </c>
      <c r="D80" s="60"/>
      <c r="E80" s="61">
        <f t="shared" ref="E80:F80" ca="1" si="5">SUM(E70:E78)</f>
        <v>83341.832585400014</v>
      </c>
      <c r="F80" s="62">
        <f t="shared" si="5"/>
        <v>174633.23632900001</v>
      </c>
      <c r="G80" s="63">
        <f>MEDIAN(G70:G78)</f>
        <v>0.29035080511387135</v>
      </c>
      <c r="H80" s="64">
        <f t="shared" ref="H80:I80" si="6">SUM(H70:H78)</f>
        <v>32448.639490999998</v>
      </c>
      <c r="I80" s="64">
        <f t="shared" si="6"/>
        <v>4339.1727950000004</v>
      </c>
      <c r="J80" s="63">
        <f>I80/H80</f>
        <v>0.13372433676929721</v>
      </c>
      <c r="K80" s="65">
        <f t="shared" ref="K80:P80" si="7">MEDIAN(K70:K78)</f>
        <v>1.1800000000000002</v>
      </c>
      <c r="L80" s="66">
        <f t="shared" si="7"/>
        <v>0.64</v>
      </c>
      <c r="M80" s="65">
        <f t="shared" si="7"/>
        <v>1.21</v>
      </c>
      <c r="N80" s="65">
        <f t="shared" si="7"/>
        <v>95.321897000000007</v>
      </c>
      <c r="O80" s="65">
        <f t="shared" si="7"/>
        <v>1.63</v>
      </c>
      <c r="P80" s="65">
        <f t="shared" si="7"/>
        <v>16.618759000000001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67" t="s">
        <v>86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C83" s="67" t="s">
        <v>70</v>
      </c>
      <c r="D83" s="67" t="s">
        <v>16</v>
      </c>
      <c r="E83" s="1"/>
      <c r="F83" s="67" t="s">
        <v>70</v>
      </c>
      <c r="G83" s="67" t="s">
        <v>4</v>
      </c>
      <c r="I83" s="1"/>
      <c r="J83" s="67" t="s">
        <v>70</v>
      </c>
      <c r="K83" s="67" t="s">
        <v>7</v>
      </c>
      <c r="M83" s="1"/>
      <c r="N83" s="67" t="s">
        <v>70</v>
      </c>
      <c r="O83" s="67" t="s">
        <v>8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C84" s="68" t="s">
        <v>76</v>
      </c>
      <c r="D84" s="69">
        <v>40096.048383499998</v>
      </c>
      <c r="E84" s="1"/>
      <c r="F84" s="1" t="s">
        <v>76</v>
      </c>
      <c r="G84" s="55">
        <v>58421.544071999997</v>
      </c>
      <c r="I84" s="1"/>
      <c r="J84" s="68" t="s">
        <v>76</v>
      </c>
      <c r="K84" s="70">
        <v>9239.8724810000003</v>
      </c>
      <c r="M84" s="1"/>
      <c r="N84" s="68" t="s">
        <v>76</v>
      </c>
      <c r="O84" s="70">
        <v>1427.925262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C85" s="68" t="s">
        <v>77</v>
      </c>
      <c r="D85" s="71">
        <v>11911.497816999999</v>
      </c>
      <c r="E85" s="1"/>
      <c r="F85" s="1" t="s">
        <v>77</v>
      </c>
      <c r="G85" s="55">
        <v>25798.5566</v>
      </c>
      <c r="I85" s="1"/>
      <c r="J85" s="68" t="s">
        <v>77</v>
      </c>
      <c r="K85" s="72">
        <v>4831.4638000000004</v>
      </c>
      <c r="M85" s="1"/>
      <c r="N85" s="68" t="s">
        <v>77</v>
      </c>
      <c r="O85" s="73">
        <v>573.59050000000002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C86" s="68" t="s">
        <v>78</v>
      </c>
      <c r="D86" s="74">
        <v>10788.1829812</v>
      </c>
      <c r="E86" s="1"/>
      <c r="F86" s="1" t="s">
        <v>78</v>
      </c>
      <c r="G86" s="55">
        <v>21289.661100000001</v>
      </c>
      <c r="I86" s="1"/>
      <c r="J86" s="68" t="s">
        <v>78</v>
      </c>
      <c r="K86" s="75">
        <v>4754.1855999999998</v>
      </c>
      <c r="M86" s="1"/>
      <c r="N86" s="68" t="s">
        <v>78</v>
      </c>
      <c r="O86" s="76">
        <v>1099.9217000000001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C87" s="68" t="s">
        <v>79</v>
      </c>
      <c r="D87" s="77">
        <v>6110.0974825000003</v>
      </c>
      <c r="E87" s="1"/>
      <c r="F87" s="1" t="s">
        <v>79</v>
      </c>
      <c r="G87" s="55">
        <v>13068.7655</v>
      </c>
      <c r="I87" s="1"/>
      <c r="J87" s="68" t="s">
        <v>79</v>
      </c>
      <c r="K87" s="78">
        <v>2804.2860000000001</v>
      </c>
      <c r="M87" s="1"/>
      <c r="N87" s="68" t="s">
        <v>79</v>
      </c>
      <c r="O87" s="79">
        <v>404.50189999999998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C88" s="68" t="s">
        <v>80</v>
      </c>
      <c r="D88" s="80">
        <v>4627</v>
      </c>
      <c r="E88" s="1"/>
      <c r="F88" s="1" t="s">
        <v>80</v>
      </c>
      <c r="G88" s="55">
        <v>17759.555400000001</v>
      </c>
      <c r="I88" s="1"/>
      <c r="J88" s="68" t="s">
        <v>80</v>
      </c>
      <c r="K88" s="79">
        <v>3699.875</v>
      </c>
      <c r="M88" s="1"/>
      <c r="N88" s="68" t="s">
        <v>80</v>
      </c>
      <c r="O88" s="81">
        <v>255.97130000000001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C89" s="68" t="s">
        <v>81</v>
      </c>
      <c r="D89" s="82">
        <v>3312.6085779</v>
      </c>
      <c r="E89" s="1"/>
      <c r="F89" s="1" t="s">
        <v>81</v>
      </c>
      <c r="G89" s="55">
        <v>18149</v>
      </c>
      <c r="I89" s="1"/>
      <c r="J89" s="68" t="s">
        <v>81</v>
      </c>
      <c r="K89" s="83">
        <v>3141.5722000000001</v>
      </c>
      <c r="M89" s="1"/>
      <c r="N89" s="68" t="s">
        <v>81</v>
      </c>
      <c r="O89" s="83">
        <v>302.3331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C90" s="68" t="s">
        <v>82</v>
      </c>
      <c r="D90" s="71">
        <v>2564.6645192999999</v>
      </c>
      <c r="E90" s="1"/>
      <c r="F90" s="1" t="s">
        <v>82</v>
      </c>
      <c r="G90" s="55">
        <v>8702.4142859999993</v>
      </c>
      <c r="I90" s="1"/>
      <c r="J90" s="68" t="s">
        <v>82</v>
      </c>
      <c r="K90" s="84">
        <v>1970.797615</v>
      </c>
      <c r="M90" s="1"/>
      <c r="N90" s="68" t="s">
        <v>82</v>
      </c>
      <c r="O90" s="85">
        <v>103.64195599999999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C91" s="68" t="s">
        <v>83</v>
      </c>
      <c r="D91" s="86">
        <v>1896</v>
      </c>
      <c r="E91" s="1"/>
      <c r="F91" s="1" t="s">
        <v>83</v>
      </c>
      <c r="G91" s="55">
        <v>5428.6882999999998</v>
      </c>
      <c r="I91" s="1"/>
      <c r="J91" s="68" t="s">
        <v>83</v>
      </c>
      <c r="K91" s="87">
        <v>725.48230000000001</v>
      </c>
      <c r="M91" s="1"/>
      <c r="N91" s="68" t="s">
        <v>83</v>
      </c>
      <c r="O91" s="88">
        <v>93.596199999999996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thickBot="1" x14ac:dyDescent="0.35">
      <c r="A92" s="1"/>
      <c r="C92" s="89" t="s">
        <v>84</v>
      </c>
      <c r="D92" s="90">
        <v>1883.3404252</v>
      </c>
      <c r="E92" s="1"/>
      <c r="F92" s="19" t="s">
        <v>84</v>
      </c>
      <c r="G92" s="91">
        <v>6015.0510709999999</v>
      </c>
      <c r="I92" s="1"/>
      <c r="J92" s="68" t="s">
        <v>84</v>
      </c>
      <c r="K92" s="92">
        <v>1281.104495</v>
      </c>
      <c r="M92" s="1"/>
      <c r="N92" s="68" t="s">
        <v>84</v>
      </c>
      <c r="O92" s="87">
        <v>77.690877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thickTop="1" thickBot="1" x14ac:dyDescent="0.35">
      <c r="A93" s="1"/>
      <c r="C93" s="1"/>
      <c r="D93" s="1"/>
      <c r="E93" s="1"/>
      <c r="F93" s="1"/>
      <c r="G93" s="1"/>
      <c r="I93" s="1"/>
      <c r="J93" s="93"/>
      <c r="K93" s="93"/>
      <c r="M93" s="1"/>
      <c r="N93" s="93"/>
      <c r="O93" s="9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thickTop="1" x14ac:dyDescent="0.3">
      <c r="A94" s="1"/>
      <c r="C94" s="60" t="s">
        <v>26</v>
      </c>
      <c r="D94" s="94">
        <f>SUM(D84:D92)</f>
        <v>83189.440186599997</v>
      </c>
      <c r="E94" s="1"/>
      <c r="F94" s="60" t="s">
        <v>26</v>
      </c>
      <c r="G94" s="62">
        <v>174633.23632900001</v>
      </c>
      <c r="I94" s="1"/>
      <c r="J94" s="1" t="s">
        <v>26</v>
      </c>
      <c r="K94" s="95">
        <f>SUM(K84:K92)</f>
        <v>32448.639490999998</v>
      </c>
      <c r="M94" s="1"/>
      <c r="N94" s="1" t="s">
        <v>26</v>
      </c>
      <c r="O94" s="95">
        <f>SUM(O84:O92)</f>
        <v>4339.1727950000004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67" t="s">
        <v>5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C115" s="67" t="s">
        <v>70</v>
      </c>
      <c r="D115" s="67" t="s">
        <v>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C116" s="1" t="s">
        <v>76</v>
      </c>
      <c r="D116" s="56">
        <v>0.3442037159490845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C117" s="1" t="s">
        <v>77</v>
      </c>
      <c r="D117" s="56">
        <v>0.27334320289979597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C118" s="1" t="s">
        <v>78</v>
      </c>
      <c r="D118" s="56">
        <v>0.23748340074935115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C119" s="1" t="s">
        <v>79</v>
      </c>
      <c r="D119" s="56">
        <v>0.33329556400121407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C120" s="1" t="s">
        <v>80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C121" s="1" t="s">
        <v>81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C122" s="1" t="s">
        <v>82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C123" s="1" t="s">
        <v>83</v>
      </c>
      <c r="D123" s="56">
        <v>0.24060039100584496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thickBot="1" x14ac:dyDescent="0.35">
      <c r="A124" s="1"/>
      <c r="C124" s="19" t="s">
        <v>84</v>
      </c>
      <c r="D124" s="96">
        <v>0.30735840732794673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thickTop="1" thickBot="1" x14ac:dyDescent="0.3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thickTop="1" x14ac:dyDescent="0.3">
      <c r="A126" s="1"/>
      <c r="C126" s="60" t="s">
        <v>26</v>
      </c>
      <c r="D126" s="63">
        <v>0.29035080511387135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67" t="s">
        <v>87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67" t="s">
        <v>70</v>
      </c>
      <c r="C145" s="67" t="s">
        <v>9</v>
      </c>
      <c r="D145" s="1"/>
      <c r="E145" s="1"/>
      <c r="F145" s="67" t="s">
        <v>70</v>
      </c>
      <c r="G145" s="67" t="s">
        <v>11</v>
      </c>
      <c r="H145" s="67" t="s">
        <v>12</v>
      </c>
      <c r="I145" s="1"/>
      <c r="J145" s="1"/>
      <c r="K145" s="67" t="s">
        <v>70</v>
      </c>
      <c r="L145" s="67" t="s">
        <v>73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68" t="s">
        <v>76</v>
      </c>
      <c r="C146" s="97">
        <v>0.15453949877947454</v>
      </c>
      <c r="D146" s="1"/>
      <c r="E146" s="1"/>
      <c r="F146" s="68" t="s">
        <v>76</v>
      </c>
      <c r="G146" s="98">
        <v>0.81</v>
      </c>
      <c r="H146" s="99">
        <v>0.42</v>
      </c>
      <c r="I146" s="1"/>
      <c r="J146" s="1"/>
      <c r="K146" s="68" t="s">
        <v>76</v>
      </c>
      <c r="L146" s="100">
        <v>84.223391000000007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68" t="s">
        <v>77</v>
      </c>
      <c r="C147" s="97">
        <v>0.11871981737708559</v>
      </c>
      <c r="D147" s="1"/>
      <c r="E147" s="1"/>
      <c r="F147" s="68" t="s">
        <v>77</v>
      </c>
      <c r="G147" s="101">
        <v>1.67</v>
      </c>
      <c r="H147" s="102">
        <v>1.21</v>
      </c>
      <c r="I147" s="1"/>
      <c r="J147" s="1"/>
      <c r="K147" s="68" t="s">
        <v>77</v>
      </c>
      <c r="L147" s="103">
        <v>101.646933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68" t="s">
        <v>78</v>
      </c>
      <c r="C148" s="97">
        <v>0.23135859483483356</v>
      </c>
      <c r="D148" s="1"/>
      <c r="E148" s="1"/>
      <c r="F148" s="68" t="s">
        <v>78</v>
      </c>
      <c r="G148" s="104">
        <v>0.2</v>
      </c>
      <c r="H148" s="105">
        <v>0.09</v>
      </c>
      <c r="I148" s="1"/>
      <c r="J148" s="1"/>
      <c r="K148" s="68" t="s">
        <v>78</v>
      </c>
      <c r="L148" s="106">
        <v>83.365674999999996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68" t="s">
        <v>79</v>
      </c>
      <c r="C149" s="97">
        <v>0.14424416767761919</v>
      </c>
      <c r="D149" s="1"/>
      <c r="E149" s="1"/>
      <c r="F149" s="68" t="s">
        <v>79</v>
      </c>
      <c r="G149" s="107">
        <v>0.18</v>
      </c>
      <c r="H149" s="108">
        <v>0.39</v>
      </c>
      <c r="I149" s="1"/>
      <c r="J149" s="1"/>
      <c r="K149" s="68" t="s">
        <v>79</v>
      </c>
      <c r="L149" s="102">
        <v>95.321897000000007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68" t="s">
        <v>80</v>
      </c>
      <c r="C150" s="97">
        <v>6.9183769721950075E-2</v>
      </c>
      <c r="D150" s="1"/>
      <c r="E150" s="1"/>
      <c r="F150" s="68" t="s">
        <v>80</v>
      </c>
      <c r="G150" s="109">
        <v>1.41</v>
      </c>
      <c r="H150" s="110">
        <v>2.64</v>
      </c>
      <c r="I150" s="1"/>
      <c r="J150" s="1"/>
      <c r="K150" s="68" t="s">
        <v>80</v>
      </c>
      <c r="L150" s="111">
        <v>108.727429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68" t="s">
        <v>81</v>
      </c>
      <c r="C151" s="97">
        <v>9.6236241204324377E-2</v>
      </c>
      <c r="D151" s="1"/>
      <c r="E151" s="1"/>
      <c r="F151" s="68" t="s">
        <v>81</v>
      </c>
      <c r="G151" s="112">
        <v>0.64</v>
      </c>
      <c r="H151" s="113">
        <v>1.1299999999999999</v>
      </c>
      <c r="I151" s="1"/>
      <c r="J151" s="1"/>
      <c r="K151" s="68" t="s">
        <v>81</v>
      </c>
      <c r="L151" s="114">
        <v>94.945369999999997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68" t="s">
        <v>82</v>
      </c>
      <c r="C152" s="97">
        <v>5.2588837743240316E-2</v>
      </c>
      <c r="D152" s="1"/>
      <c r="E152" s="1"/>
      <c r="F152" s="68" t="s">
        <v>82</v>
      </c>
      <c r="G152" s="115">
        <v>0.41</v>
      </c>
      <c r="H152" s="116">
        <v>3.55</v>
      </c>
      <c r="I152" s="1"/>
      <c r="J152" s="1"/>
      <c r="K152" s="68" t="s">
        <v>82</v>
      </c>
      <c r="L152" s="117">
        <v>108.33075599999999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68" t="s">
        <v>83</v>
      </c>
      <c r="C153" s="97">
        <v>0.12901238252125516</v>
      </c>
      <c r="D153" s="1"/>
      <c r="E153" s="1"/>
      <c r="F153" s="68" t="s">
        <v>83</v>
      </c>
      <c r="G153" s="118">
        <v>1.25</v>
      </c>
      <c r="H153" s="119">
        <v>1.36</v>
      </c>
      <c r="I153" s="1"/>
      <c r="J153" s="1"/>
      <c r="K153" s="68" t="s">
        <v>83</v>
      </c>
      <c r="L153" s="105">
        <v>82.746559000000005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68" t="s">
        <v>84</v>
      </c>
      <c r="C154" s="97">
        <v>6.0643669039659405E-2</v>
      </c>
      <c r="D154" s="1"/>
      <c r="E154" s="1"/>
      <c r="F154" s="68" t="s">
        <v>84</v>
      </c>
      <c r="G154" s="120">
        <v>0.56999999999999995</v>
      </c>
      <c r="H154" s="121">
        <v>1.55</v>
      </c>
      <c r="I154" s="1"/>
      <c r="J154" s="1"/>
      <c r="K154" s="68" t="s">
        <v>84</v>
      </c>
      <c r="L154" s="116">
        <v>116.419145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thickBot="1" x14ac:dyDescent="0.35">
      <c r="A155" s="1"/>
      <c r="B155" s="93"/>
      <c r="C155" s="93"/>
      <c r="D155" s="1"/>
      <c r="E155" s="1"/>
      <c r="F155" s="93"/>
      <c r="G155" s="93"/>
      <c r="H155" s="93"/>
      <c r="I155" s="1"/>
      <c r="J155" s="1"/>
      <c r="K155" s="93"/>
      <c r="L155" s="9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thickTop="1" x14ac:dyDescent="0.3">
      <c r="A156" s="1"/>
      <c r="B156" s="1" t="s">
        <v>26</v>
      </c>
      <c r="C156" s="97">
        <v>0.13372433676929721</v>
      </c>
      <c r="D156" s="1"/>
      <c r="E156" s="1"/>
      <c r="F156" s="1" t="s">
        <v>26</v>
      </c>
      <c r="G156" s="122">
        <f t="shared" ref="G156:H156" si="8">MEDIAN(G146:G154)</f>
        <v>0.64</v>
      </c>
      <c r="H156" s="123">
        <f t="shared" si="8"/>
        <v>1.21</v>
      </c>
      <c r="I156" s="1"/>
      <c r="J156" s="1"/>
      <c r="K156" s="1" t="s">
        <v>26</v>
      </c>
      <c r="L156" s="123">
        <f>MEDIAN(L146:L154)</f>
        <v>95.321897000000007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67" t="s">
        <v>88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C177" s="67" t="s">
        <v>70</v>
      </c>
      <c r="D177" s="67" t="s">
        <v>74</v>
      </c>
      <c r="E177" s="67" t="s">
        <v>75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C178" s="68" t="s">
        <v>76</v>
      </c>
      <c r="D178" s="124">
        <v>1.79</v>
      </c>
      <c r="E178" s="125">
        <v>15.444245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C179" s="68" t="s">
        <v>77</v>
      </c>
      <c r="D179" s="126">
        <v>1.82</v>
      </c>
      <c r="E179" s="127">
        <v>12.198710999999999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C180" s="68" t="s">
        <v>78</v>
      </c>
      <c r="D180" s="105">
        <v>4.04</v>
      </c>
      <c r="E180" s="105">
        <v>31.373712000000001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C181" s="68" t="s">
        <v>79</v>
      </c>
      <c r="D181" s="128">
        <v>2.4500000000000002</v>
      </c>
      <c r="E181" s="129">
        <v>22.644569000000001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C182" s="68" t="s">
        <v>80</v>
      </c>
      <c r="D182" s="130">
        <v>1.1299999999999999</v>
      </c>
      <c r="E182" s="131">
        <v>17.076398000000001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C183" s="68" t="s">
        <v>81</v>
      </c>
      <c r="D183" s="132">
        <v>1.63</v>
      </c>
      <c r="E183" s="133">
        <v>19.339389000000001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C184" s="68" t="s">
        <v>82</v>
      </c>
      <c r="D184" s="134">
        <v>0.95</v>
      </c>
      <c r="E184" s="135">
        <v>8.2400280000000006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C185" s="68" t="s">
        <v>83</v>
      </c>
      <c r="D185" s="136">
        <v>1.22</v>
      </c>
      <c r="E185" s="132">
        <v>16.618759000000001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C186" s="68" t="s">
        <v>84</v>
      </c>
      <c r="D186" s="116">
        <v>0.91</v>
      </c>
      <c r="E186" s="116">
        <v>5.0287879999999996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thickBot="1" x14ac:dyDescent="0.35">
      <c r="A187" s="1"/>
      <c r="C187" s="93"/>
      <c r="D187" s="93"/>
      <c r="E187" s="9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thickTop="1" x14ac:dyDescent="0.3">
      <c r="A188" s="1"/>
      <c r="B188" s="1"/>
      <c r="C188" s="1" t="s">
        <v>26</v>
      </c>
      <c r="D188" s="123">
        <f t="shared" ref="D188:E188" si="9">MEDIAN(D178:D186)</f>
        <v>1.63</v>
      </c>
      <c r="E188" s="123">
        <f t="shared" si="9"/>
        <v>16.618759000000001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autoFilter ref="B69:P78" xr:uid="{00000000-0009-0000-0000-000001000000}">
    <sortState xmlns:xlrd2="http://schemas.microsoft.com/office/spreadsheetml/2017/richdata2" ref="B69:P78">
      <sortCondition descending="1" ref="E69:E78"/>
      <sortCondition ref="C69:C78"/>
    </sortState>
  </autoFilter>
  <conditionalFormatting sqref="B4:B7 G4:G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6:C154">
    <cfRule type="colorScale" priority="4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53:D64">
    <cfRule type="colorScale" priority="2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116:D124">
    <cfRule type="colorScale" priority="40">
      <colorScale>
        <cfvo type="min"/>
        <cfvo type="max"/>
        <color rgb="FF57BB8A"/>
        <color rgb="FFFFFFFF"/>
      </colorScale>
    </cfRule>
  </conditionalFormatting>
  <conditionalFormatting sqref="D4:E7 H14:J17">
    <cfRule type="colorScale" priority="2">
      <colorScale>
        <cfvo type="min"/>
        <cfvo type="max"/>
        <color rgb="FFFCFCFF"/>
        <color rgb="FF63BE7B"/>
      </colorScale>
    </cfRule>
  </conditionalFormatting>
  <conditionalFormatting sqref="D4:E9 H14:J19">
    <cfRule type="colorScale" priority="3">
      <colorScale>
        <cfvo type="min"/>
        <cfvo type="max"/>
        <color rgb="FFFCFCFF"/>
        <color rgb="FF63BE7B"/>
      </colorScale>
    </cfRule>
  </conditionalFormatting>
  <conditionalFormatting sqref="E70:E78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:F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0:F78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:G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8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4:G92">
    <cfRule type="colorScale" priority="3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4:H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0:H78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:I7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0:I78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:J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4:K7 M4:M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9 M4:M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0:K78">
    <cfRule type="colorScale" priority="3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4:L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0:L78">
    <cfRule type="colorScale" priority="3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70:M78">
    <cfRule type="colorScale" priority="3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4:N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70:N78">
    <cfRule type="colorScale" priority="3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9:P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O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:O78">
    <cfRule type="colorScale" priority="3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9:P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0:P78">
    <cfRule type="colorScale" priority="3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4:Q7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AUBANK</vt:lpstr>
      <vt:lpstr>SFB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2024-02-20T11:35:14Z</dcterms:created>
  <dcterms:modified xsi:type="dcterms:W3CDTF">2024-02-20T11:35:47Z</dcterms:modified>
</cp:coreProperties>
</file>