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DFBA2E76-121A-40BA-8222-B649CF1433D0}" xr6:coauthVersionLast="47" xr6:coauthVersionMax="47" xr10:uidLastSave="{00000000-0000-0000-0000-000000000000}"/>
  <bookViews>
    <workbookView xWindow="-108" yWindow="-108" windowWidth="23256" windowHeight="12456" xr2:uid="{0E8D60D0-20D9-4ED4-835B-689547B465BF}"/>
  </bookViews>
  <sheets>
    <sheet name="AUBAN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R57" i="1"/>
  <c r="K55" i="1"/>
  <c r="K56" i="1" s="1"/>
  <c r="F55" i="1"/>
  <c r="I55" i="1" s="1"/>
  <c r="D55" i="1"/>
  <c r="D56" i="1" s="1"/>
  <c r="C55" i="1"/>
  <c r="C56" i="1" s="1"/>
  <c r="C57" i="1" s="1"/>
  <c r="N48" i="1"/>
  <c r="M48" i="1"/>
  <c r="O48" i="1" s="1"/>
  <c r="I48" i="1"/>
  <c r="H48" i="1"/>
  <c r="J48" i="1" s="1"/>
  <c r="E48" i="1"/>
  <c r="D48" i="1"/>
  <c r="C48" i="1"/>
  <c r="O47" i="1"/>
  <c r="J47" i="1"/>
  <c r="E47" i="1"/>
  <c r="O46" i="1"/>
  <c r="J46" i="1"/>
  <c r="E46" i="1"/>
  <c r="S45" i="1"/>
  <c r="R45" i="1"/>
  <c r="U45" i="1" s="1"/>
  <c r="O45" i="1"/>
  <c r="J45" i="1"/>
  <c r="E45" i="1"/>
  <c r="O44" i="1"/>
  <c r="J44" i="1"/>
  <c r="E44" i="1"/>
  <c r="U43" i="1"/>
  <c r="T43" i="1"/>
  <c r="N43" i="1"/>
  <c r="M43" i="1"/>
  <c r="O43" i="1" s="1"/>
  <c r="J43" i="1"/>
  <c r="I43" i="1"/>
  <c r="H43" i="1"/>
  <c r="D43" i="1"/>
  <c r="C43" i="1"/>
  <c r="E43" i="1" s="1"/>
  <c r="U42" i="1"/>
  <c r="O42" i="1"/>
  <c r="J42" i="1"/>
  <c r="E42" i="1"/>
  <c r="U41" i="1"/>
  <c r="T41" i="1"/>
  <c r="O41" i="1"/>
  <c r="J41" i="1"/>
  <c r="E41" i="1"/>
  <c r="U40" i="1"/>
  <c r="O40" i="1"/>
  <c r="J40" i="1"/>
  <c r="E40" i="1"/>
  <c r="P35" i="1"/>
  <c r="N33" i="1"/>
  <c r="Q33" i="1" s="1"/>
  <c r="M30" i="1"/>
  <c r="J30" i="1"/>
  <c r="I30" i="1"/>
  <c r="H30" i="1"/>
  <c r="F30" i="1"/>
  <c r="E30" i="1"/>
  <c r="D30" i="1"/>
  <c r="C30" i="1"/>
  <c r="M29" i="1"/>
  <c r="J29" i="1"/>
  <c r="I29" i="1"/>
  <c r="H29" i="1"/>
  <c r="G29" i="1"/>
  <c r="F29" i="1"/>
  <c r="E29" i="1"/>
  <c r="D29" i="1"/>
  <c r="C29" i="1"/>
  <c r="M28" i="1"/>
  <c r="J28" i="1"/>
  <c r="I28" i="1"/>
  <c r="H28" i="1"/>
  <c r="F28" i="1"/>
  <c r="E28" i="1"/>
  <c r="D28" i="1"/>
  <c r="C28" i="1"/>
  <c r="M25" i="1"/>
  <c r="O25" i="1" s="1"/>
  <c r="G25" i="1"/>
  <c r="F25" i="1"/>
  <c r="L25" i="1" s="1"/>
  <c r="E25" i="1"/>
  <c r="D25" i="1"/>
  <c r="O24" i="1"/>
  <c r="O30" i="1" s="1"/>
  <c r="N24" i="1"/>
  <c r="N30" i="1" s="1"/>
  <c r="L24" i="1"/>
  <c r="L30" i="1" s="1"/>
  <c r="K24" i="1"/>
  <c r="K30" i="1" s="1"/>
  <c r="G24" i="1"/>
  <c r="G30" i="1" s="1"/>
  <c r="O23" i="1"/>
  <c r="O29" i="1" s="1"/>
  <c r="N23" i="1"/>
  <c r="L23" i="1"/>
  <c r="K23" i="1"/>
  <c r="G23" i="1"/>
  <c r="O22" i="1"/>
  <c r="N22" i="1"/>
  <c r="L22" i="1"/>
  <c r="K22" i="1"/>
  <c r="G22" i="1"/>
  <c r="O21" i="1"/>
  <c r="N21" i="1"/>
  <c r="N29" i="1" s="1"/>
  <c r="L21" i="1"/>
  <c r="L29" i="1" s="1"/>
  <c r="K21" i="1"/>
  <c r="K29" i="1" s="1"/>
  <c r="G21" i="1"/>
  <c r="O20" i="1"/>
  <c r="N20" i="1"/>
  <c r="L20" i="1"/>
  <c r="K20" i="1"/>
  <c r="G20" i="1"/>
  <c r="O19" i="1"/>
  <c r="N19" i="1"/>
  <c r="L19" i="1"/>
  <c r="K19" i="1"/>
  <c r="G19" i="1"/>
  <c r="O18" i="1"/>
  <c r="N18" i="1"/>
  <c r="L18" i="1"/>
  <c r="K18" i="1"/>
  <c r="G18" i="1"/>
  <c r="O17" i="1"/>
  <c r="O28" i="1" s="1"/>
  <c r="N17" i="1"/>
  <c r="N28" i="1" s="1"/>
  <c r="L17" i="1"/>
  <c r="L28" i="1" s="1"/>
  <c r="K17" i="1"/>
  <c r="K28" i="1" s="1"/>
  <c r="G17" i="1"/>
  <c r="G28" i="1" s="1"/>
  <c r="G51" i="1" s="1"/>
  <c r="G16" i="1"/>
  <c r="G15" i="1"/>
  <c r="G14" i="1"/>
  <c r="G13" i="1"/>
  <c r="G12" i="1"/>
  <c r="G11" i="1"/>
  <c r="F8" i="1"/>
  <c r="D8" i="1"/>
  <c r="C8" i="1"/>
  <c r="B8" i="1"/>
  <c r="O6" i="1"/>
  <c r="R5" i="1"/>
  <c r="Q5" i="1"/>
  <c r="P5" i="1"/>
  <c r="O5" i="1"/>
  <c r="N5" i="1"/>
  <c r="M5" i="1"/>
  <c r="K5" i="1"/>
  <c r="I5" i="1"/>
  <c r="H5" i="1"/>
  <c r="L4" i="1"/>
  <c r="J4" i="1"/>
  <c r="J6" i="1" s="1"/>
  <c r="G4" i="1"/>
  <c r="F4" i="1"/>
  <c r="E4" i="1"/>
  <c r="D4" i="1"/>
  <c r="D5" i="1" s="1"/>
  <c r="L3" i="1"/>
  <c r="L6" i="1" s="1"/>
  <c r="F3" i="1"/>
  <c r="F5" i="1" s="1"/>
  <c r="E3" i="1"/>
  <c r="E5" i="1" s="1"/>
  <c r="C3" i="1"/>
  <c r="E56" i="1" l="1"/>
  <c r="D57" i="1"/>
  <c r="K57" i="1"/>
  <c r="N56" i="1"/>
  <c r="L56" i="1"/>
  <c r="H8" i="1"/>
  <c r="T42" i="1"/>
  <c r="L55" i="1"/>
  <c r="M55" i="1" s="1"/>
  <c r="G3" i="1"/>
  <c r="C5" i="1"/>
  <c r="L5" i="1"/>
  <c r="G8" i="1" s="1"/>
  <c r="I8" i="1"/>
  <c r="K25" i="1"/>
  <c r="Q35" i="1"/>
  <c r="J8" i="1"/>
  <c r="R35" i="1"/>
  <c r="E55" i="1"/>
  <c r="E52" i="1" s="1"/>
  <c r="N55" i="1"/>
  <c r="G60" i="1" s="1"/>
  <c r="F60" i="1"/>
  <c r="N25" i="1"/>
  <c r="G55" i="1"/>
  <c r="H55" i="1" s="1"/>
  <c r="M8" i="1"/>
  <c r="N8" i="1" s="1"/>
  <c r="T45" i="1"/>
  <c r="T40" i="1"/>
  <c r="M56" i="1" l="1"/>
  <c r="L57" i="1"/>
  <c r="N57" i="1"/>
  <c r="G5" i="1"/>
  <c r="K8" i="1"/>
  <c r="H60" i="1"/>
  <c r="I60" i="1" s="1"/>
  <c r="S33" i="1"/>
  <c r="L8" i="1" s="1"/>
  <c r="F56" i="1"/>
  <c r="E57" i="1"/>
  <c r="M57" i="1" l="1"/>
  <c r="G56" i="1"/>
  <c r="F57" i="1"/>
  <c r="I56" i="1"/>
  <c r="I57" i="1" l="1"/>
  <c r="G57" i="1"/>
  <c r="H57" i="1" s="1"/>
  <c r="H56" i="1"/>
</calcChain>
</file>

<file path=xl/sharedStrings.xml><?xml version="1.0" encoding="utf-8"?>
<sst xmlns="http://schemas.openxmlformats.org/spreadsheetml/2006/main" count="198" uniqueCount="127">
  <si>
    <t>COMPANY</t>
  </si>
  <si>
    <t>PRICE</t>
  </si>
  <si>
    <t>MARKETCAP IN CR</t>
  </si>
  <si>
    <t>SALES</t>
  </si>
  <si>
    <t>PROFIT</t>
  </si>
  <si>
    <t>EPS</t>
  </si>
  <si>
    <t>EQUITY</t>
  </si>
  <si>
    <t>RESERVE</t>
  </si>
  <si>
    <t>DEPOSITS</t>
  </si>
  <si>
    <t>BORROWING</t>
  </si>
  <si>
    <t>ADVANCES</t>
  </si>
  <si>
    <t>ASSETS</t>
  </si>
  <si>
    <t>FV</t>
  </si>
  <si>
    <t>BRANCHES</t>
  </si>
  <si>
    <t>EMPOYEES</t>
  </si>
  <si>
    <t>COSTOFFUND</t>
  </si>
  <si>
    <t>NIM</t>
  </si>
  <si>
    <t>AUBANK</t>
  </si>
  <si>
    <t>PRE.YR_25</t>
  </si>
  <si>
    <t>GROWTH</t>
  </si>
  <si>
    <t>SALES GR</t>
  </si>
  <si>
    <t>P-MARGIN</t>
  </si>
  <si>
    <t>GNPA%</t>
  </si>
  <si>
    <t>CAR</t>
  </si>
  <si>
    <t>DEPOSIT GR</t>
  </si>
  <si>
    <t>ADVANCES%</t>
  </si>
  <si>
    <t>ROE</t>
  </si>
  <si>
    <t>ROA</t>
  </si>
  <si>
    <t>TRAIL_PE</t>
  </si>
  <si>
    <t>YIELD</t>
  </si>
  <si>
    <t>PEG</t>
  </si>
  <si>
    <t>BOOKVALUE</t>
  </si>
  <si>
    <t>PBV</t>
  </si>
  <si>
    <t>Year</t>
  </si>
  <si>
    <t>TOTAL INCOME</t>
  </si>
  <si>
    <t>Net Profit</t>
  </si>
  <si>
    <t>NPM</t>
  </si>
  <si>
    <t>Low Price</t>
  </si>
  <si>
    <t>High Price</t>
  </si>
  <si>
    <t>Low P/E</t>
  </si>
  <si>
    <t>High P/E</t>
  </si>
  <si>
    <t>BOOVALUE</t>
  </si>
  <si>
    <t>Low PBV</t>
  </si>
  <si>
    <t>High PBV</t>
  </si>
  <si>
    <t>HFC</t>
  </si>
  <si>
    <t>FY_2012</t>
  </si>
  <si>
    <t>FY_2013</t>
  </si>
  <si>
    <t>FY_2014</t>
  </si>
  <si>
    <t>FY_2015</t>
  </si>
  <si>
    <t>FY_2016</t>
  </si>
  <si>
    <t>FY_2017</t>
  </si>
  <si>
    <t>SFB</t>
  </si>
  <si>
    <t>FY_2018</t>
  </si>
  <si>
    <t>FY_2019</t>
  </si>
  <si>
    <t>FY_2020</t>
  </si>
  <si>
    <t>FY_2021</t>
  </si>
  <si>
    <t>FY_2022</t>
  </si>
  <si>
    <t>FY_2023</t>
  </si>
  <si>
    <t>FY_2024</t>
  </si>
  <si>
    <t>FY_2025</t>
  </si>
  <si>
    <t>UBL</t>
  </si>
  <si>
    <t>Tr.FY_2026</t>
  </si>
  <si>
    <t>Revenue</t>
  </si>
  <si>
    <t>7 YEAR</t>
  </si>
  <si>
    <t>3 YEAR</t>
  </si>
  <si>
    <t>LAST YEAR</t>
  </si>
  <si>
    <t>YEAR</t>
  </si>
  <si>
    <t>H1_FY_25</t>
  </si>
  <si>
    <t>9M_FY_25</t>
  </si>
  <si>
    <t>FY_25</t>
  </si>
  <si>
    <t>Q1_FY_26</t>
  </si>
  <si>
    <t>EST_FY26</t>
  </si>
  <si>
    <t>Current Trend</t>
  </si>
  <si>
    <t>Q2_2025</t>
  </si>
  <si>
    <t>Q3_2025</t>
  </si>
  <si>
    <t>Q4_2025</t>
  </si>
  <si>
    <t>Q1_2026</t>
  </si>
  <si>
    <t>T_EPS</t>
  </si>
  <si>
    <t>EPS_25</t>
  </si>
  <si>
    <t>TRAIL EPS</t>
  </si>
  <si>
    <t>EPS_26</t>
  </si>
  <si>
    <t>F_PEG</t>
  </si>
  <si>
    <t>F_PE</t>
  </si>
  <si>
    <t>MARGIN</t>
  </si>
  <si>
    <t>RESULTS</t>
  </si>
  <si>
    <t>Q1_FY_25</t>
  </si>
  <si>
    <t>Growth</t>
  </si>
  <si>
    <t>Q4_FY_25</t>
  </si>
  <si>
    <t>Q4_FY_24</t>
  </si>
  <si>
    <t>FY_24</t>
  </si>
  <si>
    <t>COST</t>
  </si>
  <si>
    <t>SHARE</t>
  </si>
  <si>
    <t>INTEREST</t>
  </si>
  <si>
    <t>EMPLOYEE</t>
  </si>
  <si>
    <t>PROVISONS</t>
  </si>
  <si>
    <t>OTHERCOST</t>
  </si>
  <si>
    <t>TOTAL COST</t>
  </si>
  <si>
    <t>Profit</t>
  </si>
  <si>
    <t>TOTAL</t>
  </si>
  <si>
    <t>GNPA</t>
  </si>
  <si>
    <t>Margin</t>
  </si>
  <si>
    <t>Estimates</t>
  </si>
  <si>
    <t>Total Income</t>
  </si>
  <si>
    <t>LongTerm</t>
  </si>
  <si>
    <t>SHP</t>
  </si>
  <si>
    <t>9M_FY24</t>
  </si>
  <si>
    <t>FY_26</t>
  </si>
  <si>
    <t>Promoter</t>
  </si>
  <si>
    <t>MutualFunds</t>
  </si>
  <si>
    <t>LOW PRICE RANGE</t>
  </si>
  <si>
    <t>FAIRVALUE</t>
  </si>
  <si>
    <t>HIGH PRICE RANGE</t>
  </si>
  <si>
    <t>BookValue</t>
  </si>
  <si>
    <t>FPI</t>
  </si>
  <si>
    <t>FINCARE</t>
  </si>
  <si>
    <t>EST_2026</t>
  </si>
  <si>
    <t>Retail</t>
  </si>
  <si>
    <t>EST_2030</t>
  </si>
  <si>
    <t>EST_2035</t>
  </si>
  <si>
    <t>Company</t>
  </si>
  <si>
    <t>Price</t>
  </si>
  <si>
    <t>WEIGHTAGE</t>
  </si>
  <si>
    <t>WEIGHTAGE @ EPS</t>
  </si>
  <si>
    <t>WEIGHTAGE @ BV</t>
  </si>
  <si>
    <t>WEIGHTAGE @ PEG</t>
  </si>
  <si>
    <t>ACTUAL WEIGHTAGE</t>
  </si>
  <si>
    <t>WWW.PROFITFROMIT.CO.IN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</si>
</sst>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(#,##0\)"/>
    <numFmt numFmtId="165" formatCode="0.0%"/>
    <numFmt numFmtId="166" formatCode="#,##0.0"/>
    <numFmt numFmtId="167" formatCode="_ * #,##0_ ;_ * \-#,##0_ ;_ * &quot;-&quot;??_ ;_ @_ "/>
    <numFmt numFmtId="168" formatCode="0.0"/>
    <numFmt numFmtId="169" formatCode="_-* #,##0_-;\-* #,##0_-;_-* &quot;-&quot;??_-;_-@"/>
    <numFmt numFmtId="170" formatCode="_-* #,##0.0_-;\-* #,##0.0_-;_-* &quot;-&quot;??.0_-;_-@"/>
  </numFmts>
  <fonts count="27" x14ac:knownFonts="1">
    <font>
      <sz val="11"/>
      <color theme="1"/>
      <name val="Arial"/>
      <scheme val="minor"/>
    </font>
    <font>
      <sz val="11"/>
      <color theme="1"/>
      <name val="Arial"/>
      <scheme val="minor"/>
    </font>
    <font>
      <sz val="11"/>
      <color theme="1"/>
      <name val="Source Code Pro"/>
    </font>
    <font>
      <sz val="11"/>
      <color theme="0"/>
      <name val="Source Code Pro"/>
    </font>
    <font>
      <sz val="11"/>
      <color rgb="FFFFFFFF"/>
      <name val="Source Code Pro"/>
    </font>
    <font>
      <i/>
      <sz val="11"/>
      <color theme="1"/>
      <name val="Source Code Pro"/>
    </font>
    <font>
      <sz val="11"/>
      <color rgb="FF000000"/>
      <name val="Source Code Pro"/>
    </font>
    <font>
      <sz val="11"/>
      <color rgb="FF3F3F3F"/>
      <name val="Source Code Pro"/>
    </font>
    <font>
      <b/>
      <sz val="11"/>
      <color theme="0"/>
      <name val="Arial"/>
    </font>
    <font>
      <b/>
      <sz val="11"/>
      <color rgb="FFFFFFFF"/>
      <name val="Arial"/>
    </font>
    <font>
      <b/>
      <sz val="14"/>
      <color rgb="FFFFFFFF"/>
      <name val="Arial"/>
    </font>
    <font>
      <sz val="11"/>
      <color theme="1"/>
      <name val="Arial"/>
    </font>
    <font>
      <b/>
      <sz val="22"/>
      <color theme="1"/>
      <name val="Arial"/>
      <scheme val="minor"/>
    </font>
    <font>
      <sz val="11"/>
      <name val="Arial"/>
    </font>
    <font>
      <sz val="11"/>
      <color rgb="FF000000"/>
      <name val="Arial"/>
    </font>
    <font>
      <sz val="10"/>
      <color rgb="FF000000"/>
      <name val="Arial"/>
    </font>
    <font>
      <sz val="11"/>
      <color theme="1"/>
      <name val="Calibri"/>
    </font>
    <font>
      <b/>
      <i/>
      <u/>
      <sz val="11"/>
      <color theme="1"/>
      <name val="Arial"/>
    </font>
    <font>
      <b/>
      <i/>
      <u/>
      <sz val="11"/>
      <color rgb="FF000000"/>
      <name val="Arial"/>
    </font>
    <font>
      <b/>
      <i/>
      <u/>
      <sz val="11"/>
      <color theme="1"/>
      <name val="Calibri"/>
    </font>
    <font>
      <b/>
      <sz val="11"/>
      <color rgb="FFFFFFFF"/>
      <name val="Calibri"/>
    </font>
    <font>
      <i/>
      <sz val="11"/>
      <color theme="1"/>
      <name val="Calibri"/>
    </font>
    <font>
      <b/>
      <sz val="11"/>
      <color theme="0"/>
      <name val="Calibri"/>
    </font>
    <font>
      <i/>
      <sz val="11"/>
      <color theme="1"/>
      <name val="Arial"/>
    </font>
    <font>
      <i/>
      <sz val="11"/>
      <color rgb="FF0C0C0C"/>
      <name val="Times New Roman"/>
    </font>
    <font>
      <sz val="11"/>
      <color theme="1"/>
      <name val="Times New Roman"/>
    </font>
    <font>
      <b/>
      <u/>
      <sz val="20"/>
      <color rgb="FF0563C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57BB8A"/>
        <bgColor rgb="FF57BB8A"/>
      </patternFill>
    </fill>
    <fill>
      <patternFill patternType="solid">
        <fgColor rgb="FF4F81BD"/>
        <bgColor rgb="FF4F81BD"/>
      </patternFill>
    </fill>
    <fill>
      <patternFill patternType="solid">
        <fgColor rgb="FFD9D9D9"/>
        <bgColor rgb="FFD9D9D9"/>
      </patternFill>
    </fill>
    <fill>
      <patternFill patternType="solid">
        <fgColor rgb="FF8DD1B0"/>
        <bgColor rgb="FF8DD1B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3" borderId="1" xfId="0" applyFont="1" applyFill="1" applyBorder="1" applyAlignment="1">
      <alignment horizontal="right"/>
    </xf>
    <xf numFmtId="10" fontId="1" fillId="0" borderId="1" xfId="0" applyNumberFormat="1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2" fillId="3" borderId="1" xfId="0" applyNumberFormat="1" applyFont="1" applyFill="1" applyBorder="1"/>
    <xf numFmtId="164" fontId="2" fillId="0" borderId="1" xfId="0" applyNumberFormat="1" applyFont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165" fontId="5" fillId="4" borderId="2" xfId="0" applyNumberFormat="1" applyFont="1" applyFill="1" applyBorder="1"/>
    <xf numFmtId="3" fontId="5" fillId="4" borderId="2" xfId="0" applyNumberFormat="1" applyFont="1" applyFill="1" applyBorder="1"/>
    <xf numFmtId="165" fontId="5" fillId="4" borderId="1" xfId="0" applyNumberFormat="1" applyFont="1" applyFill="1" applyBorder="1"/>
    <xf numFmtId="0" fontId="2" fillId="3" borderId="0" xfId="0" applyFont="1" applyFill="1"/>
    <xf numFmtId="1" fontId="2" fillId="0" borderId="3" xfId="0" applyNumberFormat="1" applyFont="1" applyBorder="1" applyAlignment="1">
      <alignment horizontal="right"/>
    </xf>
    <xf numFmtId="164" fontId="2" fillId="3" borderId="0" xfId="0" applyNumberFormat="1" applyFont="1" applyFill="1"/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right"/>
    </xf>
    <xf numFmtId="10" fontId="2" fillId="5" borderId="1" xfId="0" applyNumberFormat="1" applyFont="1" applyFill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10" fontId="2" fillId="5" borderId="0" xfId="0" applyNumberFormat="1" applyFont="1" applyFill="1"/>
    <xf numFmtId="3" fontId="2" fillId="5" borderId="1" xfId="0" applyNumberFormat="1" applyFont="1" applyFill="1" applyBorder="1" applyAlignment="1">
      <alignment horizontal="right"/>
    </xf>
    <xf numFmtId="166" fontId="2" fillId="5" borderId="1" xfId="0" applyNumberFormat="1" applyFont="1" applyFill="1" applyBorder="1" applyAlignment="1">
      <alignment horizontal="right"/>
    </xf>
    <xf numFmtId="9" fontId="2" fillId="0" borderId="0" xfId="0" applyNumberFormat="1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3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5" fontId="2" fillId="3" borderId="0" xfId="0" applyNumberFormat="1" applyFont="1" applyFill="1"/>
    <xf numFmtId="1" fontId="2" fillId="3" borderId="0" xfId="0" applyNumberFormat="1" applyFont="1" applyFill="1"/>
    <xf numFmtId="0" fontId="6" fillId="3" borderId="5" xfId="0" applyFont="1" applyFill="1" applyBorder="1" applyAlignment="1">
      <alignment horizontal="lef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6" fillId="0" borderId="5" xfId="0" applyNumberFormat="1" applyFont="1" applyBorder="1" applyAlignment="1">
      <alignment horizontal="right"/>
    </xf>
    <xf numFmtId="165" fontId="2" fillId="3" borderId="5" xfId="0" applyNumberFormat="1" applyFont="1" applyFill="1" applyBorder="1"/>
    <xf numFmtId="1" fontId="2" fillId="3" borderId="5" xfId="0" applyNumberFormat="1" applyFont="1" applyFill="1" applyBorder="1"/>
    <xf numFmtId="168" fontId="2" fillId="0" borderId="0" xfId="0" applyNumberFormat="1" applyFont="1"/>
    <xf numFmtId="168" fontId="1" fillId="0" borderId="0" xfId="0" applyNumberFormat="1" applyFont="1"/>
    <xf numFmtId="3" fontId="2" fillId="0" borderId="0" xfId="0" applyNumberFormat="1" applyFont="1"/>
    <xf numFmtId="167" fontId="2" fillId="0" borderId="0" xfId="0" applyNumberFormat="1" applyFont="1"/>
    <xf numFmtId="165" fontId="2" fillId="0" borderId="0" xfId="0" applyNumberFormat="1" applyFont="1"/>
    <xf numFmtId="3" fontId="2" fillId="0" borderId="5" xfId="0" applyNumberFormat="1" applyFont="1" applyBorder="1"/>
    <xf numFmtId="167" fontId="2" fillId="0" borderId="5" xfId="0" applyNumberFormat="1" applyFont="1" applyBorder="1"/>
    <xf numFmtId="165" fontId="2" fillId="0" borderId="5" xfId="0" applyNumberFormat="1" applyFont="1" applyBorder="1"/>
    <xf numFmtId="0" fontId="1" fillId="0" borderId="0" xfId="0" applyFont="1"/>
    <xf numFmtId="1" fontId="2" fillId="0" borderId="5" xfId="0" applyNumberFormat="1" applyFont="1" applyBorder="1"/>
    <xf numFmtId="1" fontId="2" fillId="0" borderId="0" xfId="0" applyNumberFormat="1" applyFont="1"/>
    <xf numFmtId="10" fontId="1" fillId="0" borderId="0" xfId="0" applyNumberFormat="1" applyFont="1"/>
    <xf numFmtId="0" fontId="4" fillId="2" borderId="0" xfId="0" applyFont="1" applyFill="1" applyAlignment="1">
      <alignment horizontal="left"/>
    </xf>
    <xf numFmtId="9" fontId="7" fillId="3" borderId="0" xfId="0" applyNumberFormat="1" applyFont="1" applyFill="1"/>
    <xf numFmtId="3" fontId="2" fillId="3" borderId="0" xfId="0" applyNumberFormat="1" applyFont="1" applyFill="1"/>
    <xf numFmtId="168" fontId="2" fillId="3" borderId="0" xfId="0" applyNumberFormat="1" applyFont="1" applyFill="1"/>
    <xf numFmtId="0" fontId="4" fillId="2" borderId="5" xfId="0" applyFont="1" applyFill="1" applyBorder="1" applyAlignment="1">
      <alignment horizontal="left"/>
    </xf>
    <xf numFmtId="9" fontId="2" fillId="0" borderId="5" xfId="0" applyNumberFormat="1" applyFont="1" applyBorder="1"/>
    <xf numFmtId="168" fontId="2" fillId="0" borderId="5" xfId="0" applyNumberFormat="1" applyFont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9" fontId="1" fillId="0" borderId="1" xfId="0" applyNumberFormat="1" applyFont="1" applyBorder="1"/>
    <xf numFmtId="165" fontId="1" fillId="0" borderId="1" xfId="0" applyNumberFormat="1" applyFont="1" applyBorder="1"/>
    <xf numFmtId="0" fontId="11" fillId="0" borderId="1" xfId="0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168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68" fontId="12" fillId="4" borderId="6" xfId="0" applyNumberFormat="1" applyFont="1" applyFill="1" applyBorder="1" applyAlignment="1">
      <alignment horizontal="center" vertical="center"/>
    </xf>
    <xf numFmtId="0" fontId="13" fillId="0" borderId="3" xfId="0" applyFont="1" applyBorder="1"/>
    <xf numFmtId="1" fontId="11" fillId="7" borderId="1" xfId="0" applyNumberFormat="1" applyFont="1" applyFill="1" applyBorder="1" applyAlignment="1">
      <alignment horizontal="center" vertical="center"/>
    </xf>
    <xf numFmtId="0" fontId="13" fillId="0" borderId="7" xfId="0" applyFont="1" applyBorder="1"/>
    <xf numFmtId="10" fontId="2" fillId="0" borderId="0" xfId="0" applyNumberFormat="1" applyFont="1"/>
    <xf numFmtId="0" fontId="14" fillId="3" borderId="1" xfId="0" applyFont="1" applyFill="1" applyBorder="1"/>
    <xf numFmtId="1" fontId="15" fillId="3" borderId="1" xfId="0" applyNumberFormat="1" applyFont="1" applyFill="1" applyBorder="1"/>
    <xf numFmtId="165" fontId="16" fillId="3" borderId="1" xfId="0" applyNumberFormat="1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0" fontId="17" fillId="3" borderId="1" xfId="0" applyFont="1" applyFill="1" applyBorder="1"/>
    <xf numFmtId="3" fontId="18" fillId="3" borderId="1" xfId="0" applyNumberFormat="1" applyFont="1" applyFill="1" applyBorder="1"/>
    <xf numFmtId="165" fontId="19" fillId="3" borderId="1" xfId="0" applyNumberFormat="1" applyFont="1" applyFill="1" applyBorder="1"/>
    <xf numFmtId="10" fontId="14" fillId="3" borderId="1" xfId="0" applyNumberFormat="1" applyFont="1" applyFill="1" applyBorder="1"/>
    <xf numFmtId="10" fontId="16" fillId="3" borderId="1" xfId="0" applyNumberFormat="1" applyFont="1" applyFill="1" applyBorder="1"/>
    <xf numFmtId="0" fontId="20" fillId="9" borderId="0" xfId="0" applyFont="1" applyFill="1" applyAlignment="1">
      <alignment wrapText="1"/>
    </xf>
    <xf numFmtId="0" fontId="20" fillId="2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wrapText="1"/>
    </xf>
    <xf numFmtId="9" fontId="1" fillId="4" borderId="1" xfId="0" applyNumberFormat="1" applyFont="1" applyFill="1" applyBorder="1"/>
    <xf numFmtId="9" fontId="21" fillId="4" borderId="1" xfId="0" applyNumberFormat="1" applyFont="1" applyFill="1" applyBorder="1" applyAlignment="1">
      <alignment horizontal="right"/>
    </xf>
    <xf numFmtId="165" fontId="21" fillId="4" borderId="1" xfId="0" applyNumberFormat="1" applyFont="1" applyFill="1" applyBorder="1" applyAlignment="1">
      <alignment horizontal="right"/>
    </xf>
    <xf numFmtId="165" fontId="14" fillId="3" borderId="1" xfId="0" applyNumberFormat="1" applyFont="1" applyFill="1" applyBorder="1"/>
    <xf numFmtId="0" fontId="22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16" fillId="0" borderId="0" xfId="0" applyFont="1"/>
    <xf numFmtId="0" fontId="14" fillId="3" borderId="1" xfId="0" applyFont="1" applyFill="1" applyBorder="1" applyAlignment="1">
      <alignment horizontal="left"/>
    </xf>
    <xf numFmtId="169" fontId="16" fillId="10" borderId="1" xfId="0" applyNumberFormat="1" applyFont="1" applyFill="1" applyBorder="1"/>
    <xf numFmtId="170" fontId="16" fillId="10" borderId="1" xfId="0" applyNumberFormat="1" applyFont="1" applyFill="1" applyBorder="1"/>
    <xf numFmtId="164" fontId="11" fillId="10" borderId="1" xfId="0" applyNumberFormat="1" applyFont="1" applyFill="1" applyBorder="1" applyAlignment="1">
      <alignment horizontal="right"/>
    </xf>
    <xf numFmtId="164" fontId="23" fillId="10" borderId="1" xfId="0" applyNumberFormat="1" applyFont="1" applyFill="1" applyBorder="1" applyAlignment="1">
      <alignment horizontal="center"/>
    </xf>
    <xf numFmtId="3" fontId="24" fillId="10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9" fillId="3" borderId="0" xfId="0" applyFont="1" applyFill="1"/>
    <xf numFmtId="165" fontId="19" fillId="3" borderId="0" xfId="0" applyNumberFormat="1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right"/>
    </xf>
    <xf numFmtId="10" fontId="11" fillId="8" borderId="1" xfId="0" applyNumberFormat="1" applyFont="1" applyFill="1" applyBorder="1" applyAlignment="1">
      <alignment horizontal="right"/>
    </xf>
    <xf numFmtId="10" fontId="11" fillId="11" borderId="1" xfId="0" applyNumberFormat="1" applyFont="1" applyFill="1" applyBorder="1" applyAlignment="1">
      <alignment horizontal="right"/>
    </xf>
    <xf numFmtId="10" fontId="2" fillId="7" borderId="8" xfId="0" applyNumberFormat="1" applyFont="1" applyFill="1" applyBorder="1" applyAlignment="1">
      <alignment horizontal="right"/>
    </xf>
    <xf numFmtId="10" fontId="25" fillId="7" borderId="1" xfId="0" applyNumberFormat="1" applyFont="1" applyFill="1" applyBorder="1" applyAlignment="1">
      <alignment horizontal="right"/>
    </xf>
    <xf numFmtId="165" fontId="1" fillId="0" borderId="0" xfId="0" applyNumberFormat="1" applyFont="1"/>
    <xf numFmtId="0" fontId="26" fillId="4" borderId="9" xfId="0" applyFont="1" applyFill="1" applyBorder="1" applyAlignment="1">
      <alignment horizontal="center" vertical="center"/>
    </xf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0" fillId="0" borderId="0" xfId="0"/>
    <xf numFmtId="0" fontId="13" fillId="0" borderId="13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59</xdr:row>
      <xdr:rowOff>200025</xdr:rowOff>
    </xdr:from>
    <xdr:ext cx="5943600" cy="23812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9362D6E4-DB76-4BA3-B273-5819867871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11249025"/>
          <a:ext cx="5943600" cy="2381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A974-5B3A-4542-9BFB-A6049F5042A1}">
  <sheetPr>
    <outlinePr summaryBelow="0" summaryRight="0"/>
  </sheetPr>
  <dimension ref="A1:Z1007"/>
  <sheetViews>
    <sheetView showGridLines="0" tabSelected="1" workbookViewId="0"/>
  </sheetViews>
  <sheetFormatPr defaultColWidth="12.59765625" defaultRowHeight="15" customHeight="1" x14ac:dyDescent="0.25"/>
  <cols>
    <col min="1" max="1" width="5.8984375" customWidth="1"/>
  </cols>
  <sheetData>
    <row r="1" spans="1:26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  <c r="R2" s="3" t="s">
        <v>16</v>
      </c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1"/>
      <c r="B3" s="3" t="s">
        <v>17</v>
      </c>
      <c r="C3" s="4">
        <f ca="1">IFERROR(__xludf.DUMMYFUNCTION("googlefinance(""nse:""&amp;B3,C2)"),727)</f>
        <v>727</v>
      </c>
      <c r="D3" s="5">
        <v>1154748</v>
      </c>
      <c r="E3" s="6">
        <f t="shared" ref="E3:G3" si="0">D25</f>
        <v>19501</v>
      </c>
      <c r="F3" s="6">
        <f t="shared" si="0"/>
        <v>2184</v>
      </c>
      <c r="G3" s="7">
        <f t="shared" si="0"/>
        <v>29.349999999999998</v>
      </c>
      <c r="H3" s="5">
        <v>744</v>
      </c>
      <c r="I3" s="8">
        <v>16297</v>
      </c>
      <c r="J3" s="8">
        <v>124268</v>
      </c>
      <c r="K3" s="9">
        <v>11660</v>
      </c>
      <c r="L3" s="9">
        <f>C25</f>
        <v>118000</v>
      </c>
      <c r="M3" s="9">
        <v>3438</v>
      </c>
      <c r="N3" s="8">
        <v>10</v>
      </c>
      <c r="O3" s="10">
        <v>458</v>
      </c>
      <c r="P3" s="10">
        <v>50900</v>
      </c>
      <c r="Q3" s="11">
        <v>7.0999999999999994E-2</v>
      </c>
      <c r="R3" s="11">
        <v>5.9400000000000001E-2</v>
      </c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1"/>
      <c r="B4" s="12" t="s">
        <v>18</v>
      </c>
      <c r="C4" s="13">
        <v>534.6</v>
      </c>
      <c r="D4" s="14">
        <f ca="1">(C4*D3)/C3</f>
        <v>849144.81540577731</v>
      </c>
      <c r="E4" s="6">
        <f t="shared" ref="E4:G4" si="1">D24</f>
        <v>18590</v>
      </c>
      <c r="F4" s="6">
        <f t="shared" si="1"/>
        <v>2106</v>
      </c>
      <c r="G4" s="7">
        <f t="shared" si="1"/>
        <v>28.32</v>
      </c>
      <c r="H4" s="13">
        <v>668</v>
      </c>
      <c r="I4" s="13">
        <v>11827</v>
      </c>
      <c r="J4" s="15">
        <f>PV(2.8%,1,0,-J3,0)</f>
        <v>120883.26848249027</v>
      </c>
      <c r="K4" s="13">
        <v>5479</v>
      </c>
      <c r="L4" s="9">
        <f>C24</f>
        <v>107092</v>
      </c>
      <c r="M4" s="9">
        <v>2753</v>
      </c>
      <c r="N4" s="9">
        <v>10</v>
      </c>
      <c r="O4" s="9">
        <v>332</v>
      </c>
      <c r="P4" s="9">
        <v>29700</v>
      </c>
      <c r="Q4" s="11">
        <v>7.0000000000000007E-2</v>
      </c>
      <c r="R4" s="11">
        <v>5.45E-2</v>
      </c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35">
      <c r="A5" s="1"/>
      <c r="B5" s="16" t="s">
        <v>19</v>
      </c>
      <c r="C5" s="17">
        <f t="shared" ref="C5:I5" ca="1" si="2">(C3/C4)-1</f>
        <v>0.35989524878413759</v>
      </c>
      <c r="D5" s="17">
        <f t="shared" ca="1" si="2"/>
        <v>0.35989524878413737</v>
      </c>
      <c r="E5" s="17">
        <f t="shared" si="2"/>
        <v>4.9004841312533687E-2</v>
      </c>
      <c r="F5" s="17">
        <f t="shared" si="2"/>
        <v>3.7037037037036979E-2</v>
      </c>
      <c r="G5" s="17">
        <f t="shared" si="2"/>
        <v>3.6370056497174952E-2</v>
      </c>
      <c r="H5" s="17">
        <f t="shared" si="2"/>
        <v>0.11377245508982026</v>
      </c>
      <c r="I5" s="17">
        <f t="shared" si="2"/>
        <v>0.37794876130886945</v>
      </c>
      <c r="J5" s="17">
        <v>2.8000000000000001E-2</v>
      </c>
      <c r="K5" s="17">
        <f t="shared" ref="K5:O5" si="3">(K3/K4)-1</f>
        <v>1.1281255703595545</v>
      </c>
      <c r="L5" s="17">
        <f t="shared" si="3"/>
        <v>0.10185634781309538</v>
      </c>
      <c r="M5" s="17">
        <f t="shared" si="3"/>
        <v>0.24881946966945145</v>
      </c>
      <c r="N5" s="17">
        <f t="shared" si="3"/>
        <v>0</v>
      </c>
      <c r="O5" s="17">
        <f t="shared" si="3"/>
        <v>0.37951807228915668</v>
      </c>
      <c r="P5" s="18">
        <f t="shared" ref="P5:R5" si="4">P3-P4</f>
        <v>21200</v>
      </c>
      <c r="Q5" s="19">
        <f t="shared" si="4"/>
        <v>9.9999999999998701E-4</v>
      </c>
      <c r="R5" s="19">
        <f t="shared" si="4"/>
        <v>4.9000000000000016E-3</v>
      </c>
      <c r="S5" s="1"/>
      <c r="T5" s="1"/>
      <c r="U5" s="1"/>
      <c r="V5" s="1"/>
      <c r="W5" s="1"/>
      <c r="X5" s="1"/>
      <c r="Y5" s="1"/>
      <c r="Z5" s="1"/>
    </row>
    <row r="6" spans="1:26" ht="15" customHeight="1" thickTop="1" thickBot="1" x14ac:dyDescent="0.35">
      <c r="A6" s="1"/>
      <c r="B6" s="20"/>
      <c r="C6" s="20"/>
      <c r="D6" s="21"/>
      <c r="E6" s="20"/>
      <c r="F6" s="20"/>
      <c r="G6" s="20"/>
      <c r="H6" s="20"/>
      <c r="I6" s="20"/>
      <c r="J6" s="22">
        <f>J3-J4</f>
        <v>3384.7315175097319</v>
      </c>
      <c r="L6" s="20">
        <f>L3-L4</f>
        <v>10908</v>
      </c>
      <c r="M6" s="1"/>
      <c r="N6" s="1"/>
      <c r="O6" s="20">
        <f>O3-O4</f>
        <v>126</v>
      </c>
      <c r="P6" s="20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thickTop="1" x14ac:dyDescent="0.3">
      <c r="A7" s="1"/>
      <c r="B7" s="23" t="s">
        <v>20</v>
      </c>
      <c r="C7" s="23" t="s">
        <v>21</v>
      </c>
      <c r="D7" s="23" t="s">
        <v>22</v>
      </c>
      <c r="E7" s="23" t="s">
        <v>23</v>
      </c>
      <c r="F7" s="23" t="s">
        <v>24</v>
      </c>
      <c r="G7" s="23" t="s">
        <v>25</v>
      </c>
      <c r="H7" s="23" t="s">
        <v>26</v>
      </c>
      <c r="I7" s="23" t="s">
        <v>27</v>
      </c>
      <c r="J7" s="24" t="s">
        <v>28</v>
      </c>
      <c r="K7" s="23" t="s">
        <v>29</v>
      </c>
      <c r="L7" s="23" t="s">
        <v>30</v>
      </c>
      <c r="M7" s="23" t="s">
        <v>31</v>
      </c>
      <c r="N7" s="23" t="s">
        <v>32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1"/>
      <c r="B8" s="25">
        <f>F33</f>
        <v>0.21299999999999999</v>
      </c>
      <c r="C8" s="25">
        <f>C48</f>
        <v>0.11196762381961842</v>
      </c>
      <c r="D8" s="26">
        <f>C47</f>
        <v>2.2800000000000001E-2</v>
      </c>
      <c r="E8" s="27">
        <v>0.187</v>
      </c>
      <c r="F8" s="25">
        <f>J5</f>
        <v>2.8000000000000001E-2</v>
      </c>
      <c r="G8" s="28">
        <f>L5</f>
        <v>0.10185634781309538</v>
      </c>
      <c r="H8" s="28">
        <f>F3/(H3+I3)</f>
        <v>0.12816149287013673</v>
      </c>
      <c r="I8" s="28">
        <f>F3/M3</f>
        <v>0.63525305410122168</v>
      </c>
      <c r="J8" s="29">
        <f ca="1">C3/G3</f>
        <v>24.77001703577513</v>
      </c>
      <c r="K8" s="27">
        <f ca="1">G3/C3</f>
        <v>4.0371389270976617E-2</v>
      </c>
      <c r="L8" s="30">
        <f ca="1">S33</f>
        <v>0.56317298009140904</v>
      </c>
      <c r="M8" s="29">
        <f>M25</f>
        <v>232.03</v>
      </c>
      <c r="N8" s="29">
        <f ca="1">C3/M8</f>
        <v>3.133215532474249</v>
      </c>
      <c r="O8" s="1"/>
      <c r="P8" s="3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1"/>
      <c r="B10" s="32" t="s">
        <v>33</v>
      </c>
      <c r="C10" s="33" t="s">
        <v>10</v>
      </c>
      <c r="D10" s="33" t="s">
        <v>34</v>
      </c>
      <c r="E10" s="32" t="s">
        <v>35</v>
      </c>
      <c r="F10" s="32" t="s">
        <v>5</v>
      </c>
      <c r="G10" s="32" t="s">
        <v>36</v>
      </c>
      <c r="H10" s="32" t="s">
        <v>22</v>
      </c>
      <c r="I10" s="32" t="s">
        <v>37</v>
      </c>
      <c r="J10" s="32" t="s">
        <v>38</v>
      </c>
      <c r="K10" s="32" t="s">
        <v>39</v>
      </c>
      <c r="L10" s="32" t="s">
        <v>40</v>
      </c>
      <c r="M10" s="33" t="s">
        <v>41</v>
      </c>
      <c r="N10" s="33" t="s">
        <v>42</v>
      </c>
      <c r="O10" s="33" t="s">
        <v>43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34" t="s">
        <v>44</v>
      </c>
      <c r="B11" s="34" t="s">
        <v>45</v>
      </c>
      <c r="C11" s="1"/>
      <c r="D11" s="35">
        <v>249</v>
      </c>
      <c r="E11" s="36">
        <v>50</v>
      </c>
      <c r="F11" s="37"/>
      <c r="G11" s="38">
        <f t="shared" ref="G11:G25" si="5">E11/D11</f>
        <v>0.20080321285140562</v>
      </c>
      <c r="H11" s="38"/>
      <c r="I11" s="39"/>
      <c r="J11" s="39"/>
      <c r="K11" s="39"/>
      <c r="L11" s="39"/>
      <c r="M11" s="1"/>
      <c r="N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34"/>
      <c r="B12" s="34" t="s">
        <v>46</v>
      </c>
      <c r="C12" s="1"/>
      <c r="D12" s="35">
        <v>438</v>
      </c>
      <c r="E12" s="36">
        <v>80</v>
      </c>
      <c r="F12" s="37"/>
      <c r="G12" s="38">
        <f t="shared" si="5"/>
        <v>0.18264840182648401</v>
      </c>
      <c r="H12" s="38"/>
      <c r="I12" s="39"/>
      <c r="J12" s="39"/>
      <c r="K12" s="39"/>
      <c r="L12" s="39"/>
      <c r="M12" s="1"/>
      <c r="N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34"/>
      <c r="B13" s="34" t="s">
        <v>47</v>
      </c>
      <c r="C13" s="1"/>
      <c r="D13" s="35">
        <v>611</v>
      </c>
      <c r="E13" s="36">
        <v>92</v>
      </c>
      <c r="F13" s="37"/>
      <c r="G13" s="38">
        <f t="shared" si="5"/>
        <v>0.15057283142389524</v>
      </c>
      <c r="H13" s="38"/>
      <c r="I13" s="39"/>
      <c r="J13" s="39"/>
      <c r="K13" s="39"/>
      <c r="L13" s="39"/>
      <c r="M13" s="1"/>
      <c r="N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34"/>
      <c r="B14" s="34" t="s">
        <v>48</v>
      </c>
      <c r="C14" s="1"/>
      <c r="D14" s="35">
        <v>704</v>
      </c>
      <c r="E14" s="36">
        <v>140</v>
      </c>
      <c r="F14" s="37"/>
      <c r="G14" s="38">
        <f t="shared" si="5"/>
        <v>0.19886363636363635</v>
      </c>
      <c r="H14" s="38"/>
      <c r="I14" s="39"/>
      <c r="J14" s="39"/>
      <c r="K14" s="39"/>
      <c r="L14" s="39"/>
      <c r="M14" s="1"/>
      <c r="N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34"/>
      <c r="B15" s="34" t="s">
        <v>49</v>
      </c>
      <c r="C15" s="1"/>
      <c r="D15" s="35">
        <v>1010</v>
      </c>
      <c r="E15" s="36">
        <v>212</v>
      </c>
      <c r="F15" s="37"/>
      <c r="G15" s="38">
        <f t="shared" si="5"/>
        <v>0.20990099009900989</v>
      </c>
      <c r="H15" s="38"/>
      <c r="I15" s="39"/>
      <c r="J15" s="39"/>
      <c r="K15" s="39"/>
      <c r="L15" s="39"/>
      <c r="M15" s="1"/>
      <c r="N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thickBot="1" x14ac:dyDescent="0.35">
      <c r="A16" s="34"/>
      <c r="B16" s="40" t="s">
        <v>50</v>
      </c>
      <c r="C16" s="41"/>
      <c r="D16" s="42">
        <v>1280</v>
      </c>
      <c r="E16" s="43">
        <v>322</v>
      </c>
      <c r="F16" s="44"/>
      <c r="G16" s="45">
        <f t="shared" si="5"/>
        <v>0.25156250000000002</v>
      </c>
      <c r="H16" s="45"/>
      <c r="I16" s="46"/>
      <c r="J16" s="46"/>
      <c r="K16" s="46"/>
      <c r="L16" s="46"/>
      <c r="M16" s="41"/>
      <c r="N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Top="1" x14ac:dyDescent="0.3">
      <c r="A17" s="34" t="s">
        <v>51</v>
      </c>
      <c r="B17" s="34" t="s">
        <v>52</v>
      </c>
      <c r="C17" s="1">
        <v>13312</v>
      </c>
      <c r="D17" s="35">
        <v>2155</v>
      </c>
      <c r="E17" s="36">
        <v>292</v>
      </c>
      <c r="F17" s="37">
        <v>5</v>
      </c>
      <c r="G17" s="38">
        <f t="shared" si="5"/>
        <v>0.13549883990719258</v>
      </c>
      <c r="H17" s="38">
        <v>0.02</v>
      </c>
      <c r="I17" s="39">
        <v>248</v>
      </c>
      <c r="J17" s="39">
        <v>371</v>
      </c>
      <c r="K17" s="39">
        <f t="shared" ref="K17:K25" si="6">I17/F17</f>
        <v>49.6</v>
      </c>
      <c r="L17" s="39">
        <f t="shared" ref="L17:L25" si="7">J17/F17</f>
        <v>74.2</v>
      </c>
      <c r="M17" s="1">
        <v>40</v>
      </c>
      <c r="N17" s="47">
        <f t="shared" ref="N17:N25" si="8">I17/M17</f>
        <v>6.2</v>
      </c>
      <c r="O17" s="48">
        <f t="shared" ref="O17:O25" si="9">J17/M17</f>
        <v>9.2750000000000004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1"/>
      <c r="B18" s="34" t="s">
        <v>53</v>
      </c>
      <c r="C18" s="1">
        <v>22819</v>
      </c>
      <c r="D18" s="49">
        <v>3411</v>
      </c>
      <c r="E18" s="1">
        <v>382</v>
      </c>
      <c r="F18" s="50">
        <v>7</v>
      </c>
      <c r="G18" s="38">
        <f t="shared" si="5"/>
        <v>0.11199061858692466</v>
      </c>
      <c r="H18" s="51">
        <v>0.02</v>
      </c>
      <c r="I18" s="1">
        <v>250</v>
      </c>
      <c r="J18" s="1">
        <v>374</v>
      </c>
      <c r="K18" s="39">
        <f t="shared" si="6"/>
        <v>35.714285714285715</v>
      </c>
      <c r="L18" s="39">
        <f t="shared" si="7"/>
        <v>53.428571428571431</v>
      </c>
      <c r="M18" s="1">
        <v>54</v>
      </c>
      <c r="N18" s="47">
        <f t="shared" si="8"/>
        <v>4.6296296296296298</v>
      </c>
      <c r="O18" s="48">
        <f t="shared" si="9"/>
        <v>6.9259259259259256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">
      <c r="A19" s="1"/>
      <c r="B19" s="34" t="s">
        <v>54</v>
      </c>
      <c r="C19" s="1">
        <v>26992</v>
      </c>
      <c r="D19" s="49">
        <v>4992</v>
      </c>
      <c r="E19" s="1">
        <v>675</v>
      </c>
      <c r="F19" s="50">
        <v>11</v>
      </c>
      <c r="G19" s="38">
        <f t="shared" si="5"/>
        <v>0.13521634615384615</v>
      </c>
      <c r="H19" s="51">
        <v>1.7000000000000001E-2</v>
      </c>
      <c r="I19" s="1">
        <v>236</v>
      </c>
      <c r="J19" s="1">
        <v>609</v>
      </c>
      <c r="K19" s="39">
        <f t="shared" si="6"/>
        <v>21.454545454545453</v>
      </c>
      <c r="L19" s="39">
        <f t="shared" si="7"/>
        <v>55.363636363636367</v>
      </c>
      <c r="M19" s="1">
        <v>72</v>
      </c>
      <c r="N19" s="47">
        <f t="shared" si="8"/>
        <v>3.2777777777777777</v>
      </c>
      <c r="O19" s="48">
        <f t="shared" si="9"/>
        <v>8.4583333333333339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1"/>
      <c r="B20" s="34" t="s">
        <v>55</v>
      </c>
      <c r="C20" s="1">
        <v>34609</v>
      </c>
      <c r="D20" s="49">
        <v>6371</v>
      </c>
      <c r="E20" s="1">
        <v>1171</v>
      </c>
      <c r="F20" s="50">
        <v>19</v>
      </c>
      <c r="G20" s="38">
        <f t="shared" si="5"/>
        <v>0.18380160100455187</v>
      </c>
      <c r="H20" s="51">
        <v>4.2999999999999997E-2</v>
      </c>
      <c r="I20" s="1">
        <v>183</v>
      </c>
      <c r="J20" s="1">
        <v>677</v>
      </c>
      <c r="K20" s="39">
        <f t="shared" si="6"/>
        <v>9.6315789473684212</v>
      </c>
      <c r="L20" s="39">
        <f t="shared" si="7"/>
        <v>35.631578947368418</v>
      </c>
      <c r="M20" s="1">
        <v>100</v>
      </c>
      <c r="N20" s="47">
        <f t="shared" si="8"/>
        <v>1.83</v>
      </c>
      <c r="O20" s="48">
        <f t="shared" si="9"/>
        <v>6.77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1"/>
      <c r="B21" s="34" t="s">
        <v>56</v>
      </c>
      <c r="C21" s="1">
        <v>46095</v>
      </c>
      <c r="D21" s="49">
        <v>6915</v>
      </c>
      <c r="E21" s="1">
        <v>1130</v>
      </c>
      <c r="F21" s="50">
        <v>18</v>
      </c>
      <c r="G21" s="38">
        <f t="shared" si="5"/>
        <v>0.16341287057122197</v>
      </c>
      <c r="H21" s="51">
        <v>0.02</v>
      </c>
      <c r="I21" s="1">
        <v>455</v>
      </c>
      <c r="J21" s="1">
        <v>711</v>
      </c>
      <c r="K21" s="39">
        <f t="shared" si="6"/>
        <v>25.277777777777779</v>
      </c>
      <c r="L21" s="39">
        <f t="shared" si="7"/>
        <v>39.5</v>
      </c>
      <c r="M21" s="1">
        <v>119</v>
      </c>
      <c r="N21" s="47">
        <f t="shared" si="8"/>
        <v>3.8235294117647061</v>
      </c>
      <c r="O21" s="48">
        <f t="shared" si="9"/>
        <v>5.9747899159663866</v>
      </c>
      <c r="V21" s="1"/>
      <c r="W21" s="1"/>
      <c r="X21" s="1"/>
      <c r="Y21" s="1"/>
      <c r="Z21" s="1"/>
    </row>
    <row r="22" spans="1:26" ht="15" customHeight="1" x14ac:dyDescent="0.3">
      <c r="A22" s="1"/>
      <c r="B22" s="34" t="s">
        <v>57</v>
      </c>
      <c r="C22" s="1">
        <v>58422</v>
      </c>
      <c r="D22" s="49">
        <v>9240</v>
      </c>
      <c r="E22" s="1">
        <v>1428</v>
      </c>
      <c r="F22" s="50">
        <v>21.86</v>
      </c>
      <c r="G22" s="38">
        <f t="shared" si="5"/>
        <v>0.15454545454545454</v>
      </c>
      <c r="H22" s="51">
        <v>1.66E-2</v>
      </c>
      <c r="I22" s="1">
        <v>539</v>
      </c>
      <c r="J22" s="1">
        <v>733</v>
      </c>
      <c r="K22" s="39">
        <f t="shared" si="6"/>
        <v>24.656907593778591</v>
      </c>
      <c r="L22" s="39">
        <f t="shared" si="7"/>
        <v>33.531564501372372</v>
      </c>
      <c r="M22" s="1">
        <v>165</v>
      </c>
      <c r="N22" s="47">
        <f t="shared" si="8"/>
        <v>3.2666666666666666</v>
      </c>
      <c r="O22" s="48">
        <f t="shared" si="9"/>
        <v>4.4424242424242424</v>
      </c>
      <c r="V22" s="1"/>
      <c r="W22" s="1"/>
      <c r="X22" s="1"/>
      <c r="Y22" s="1"/>
      <c r="Z22" s="1"/>
    </row>
    <row r="23" spans="1:26" ht="15" customHeight="1" x14ac:dyDescent="0.3">
      <c r="A23" s="1"/>
      <c r="B23" s="34" t="s">
        <v>58</v>
      </c>
      <c r="C23" s="1">
        <v>73162</v>
      </c>
      <c r="D23" s="49">
        <v>12300</v>
      </c>
      <c r="E23" s="1">
        <v>1535</v>
      </c>
      <c r="F23" s="50">
        <v>22.98</v>
      </c>
      <c r="G23" s="38">
        <f t="shared" si="5"/>
        <v>0.12479674796747968</v>
      </c>
      <c r="H23" s="51">
        <v>1.67E-2</v>
      </c>
      <c r="I23" s="1">
        <v>553</v>
      </c>
      <c r="J23" s="1">
        <v>813</v>
      </c>
      <c r="K23" s="39">
        <f t="shared" si="6"/>
        <v>24.064403829416882</v>
      </c>
      <c r="L23" s="39">
        <f t="shared" si="7"/>
        <v>35.378590078328983</v>
      </c>
      <c r="M23" s="1">
        <v>188</v>
      </c>
      <c r="N23" s="47">
        <f t="shared" si="8"/>
        <v>2.9414893617021276</v>
      </c>
      <c r="O23" s="48">
        <f t="shared" si="9"/>
        <v>4.3244680851063828</v>
      </c>
      <c r="V23" s="1"/>
      <c r="W23" s="1"/>
      <c r="X23" s="1"/>
      <c r="Y23" s="1"/>
      <c r="Z23" s="1"/>
    </row>
    <row r="24" spans="1:26" ht="15" customHeight="1" thickBot="1" x14ac:dyDescent="0.35">
      <c r="A24" s="1"/>
      <c r="B24" s="34" t="s">
        <v>59</v>
      </c>
      <c r="C24" s="41">
        <v>107092</v>
      </c>
      <c r="D24" s="52">
        <v>18590</v>
      </c>
      <c r="E24" s="41">
        <v>2106</v>
      </c>
      <c r="F24" s="53">
        <v>28.32</v>
      </c>
      <c r="G24" s="45">
        <f t="shared" si="5"/>
        <v>0.11328671328671329</v>
      </c>
      <c r="H24" s="54">
        <v>2.2800000000000001E-2</v>
      </c>
      <c r="I24" s="41">
        <v>478</v>
      </c>
      <c r="J24" s="41">
        <v>755</v>
      </c>
      <c r="K24" s="46">
        <f t="shared" si="6"/>
        <v>16.878531073446329</v>
      </c>
      <c r="L24" s="46">
        <f t="shared" si="7"/>
        <v>26.65960451977401</v>
      </c>
      <c r="M24" s="1">
        <v>231</v>
      </c>
      <c r="N24" s="47">
        <f t="shared" si="8"/>
        <v>2.0692640692640691</v>
      </c>
      <c r="O24" s="48">
        <f t="shared" si="9"/>
        <v>3.2683982683982684</v>
      </c>
      <c r="V24" s="1"/>
      <c r="W24" s="1"/>
      <c r="X24" s="1"/>
      <c r="Y24" s="1"/>
      <c r="Z24" s="1"/>
    </row>
    <row r="25" spans="1:26" ht="15" customHeight="1" thickTop="1" thickBot="1" x14ac:dyDescent="0.35">
      <c r="A25" s="55" t="s">
        <v>60</v>
      </c>
      <c r="B25" s="34" t="s">
        <v>61</v>
      </c>
      <c r="C25" s="41">
        <v>118000</v>
      </c>
      <c r="D25" s="52">
        <f>D24+C40-D40</f>
        <v>19501</v>
      </c>
      <c r="E25" s="56">
        <f>E24+C44-D44</f>
        <v>2184</v>
      </c>
      <c r="F25" s="53">
        <f>F24+C46-D46</f>
        <v>29.349999999999998</v>
      </c>
      <c r="G25" s="45">
        <f t="shared" si="5"/>
        <v>0.11199425670478437</v>
      </c>
      <c r="H25" s="54">
        <v>2.47E-2</v>
      </c>
      <c r="I25" s="41">
        <v>513</v>
      </c>
      <c r="J25" s="41">
        <v>840</v>
      </c>
      <c r="K25" s="46">
        <f t="shared" si="6"/>
        <v>17.478705281090292</v>
      </c>
      <c r="L25" s="46">
        <f t="shared" si="7"/>
        <v>28.620102214650768</v>
      </c>
      <c r="M25" s="57">
        <f>M24+C46-D46</f>
        <v>232.03</v>
      </c>
      <c r="N25" s="47">
        <f t="shared" si="8"/>
        <v>2.2109210015946212</v>
      </c>
      <c r="O25" s="48">
        <f t="shared" si="9"/>
        <v>3.6202215230789121</v>
      </c>
      <c r="Z25" s="1"/>
    </row>
    <row r="26" spans="1:26" ht="15" customHeight="1" thickTop="1" x14ac:dyDescent="0.3">
      <c r="F26" s="58"/>
      <c r="Y26" s="1"/>
      <c r="Z26" s="1"/>
    </row>
    <row r="27" spans="1:26" ht="14.4" x14ac:dyDescent="0.3">
      <c r="B27" s="59" t="s">
        <v>19</v>
      </c>
      <c r="C27" s="33" t="s">
        <v>10</v>
      </c>
      <c r="D27" s="32" t="s">
        <v>62</v>
      </c>
      <c r="E27" s="32" t="s">
        <v>35</v>
      </c>
      <c r="F27" s="32" t="s">
        <v>5</v>
      </c>
      <c r="G27" s="32" t="s">
        <v>36</v>
      </c>
      <c r="H27" s="32" t="s">
        <v>22</v>
      </c>
      <c r="I27" s="32" t="s">
        <v>37</v>
      </c>
      <c r="J27" s="32" t="s">
        <v>38</v>
      </c>
      <c r="K27" s="32" t="s">
        <v>39</v>
      </c>
      <c r="L27" s="32" t="s">
        <v>40</v>
      </c>
      <c r="M27" s="33" t="s">
        <v>41</v>
      </c>
      <c r="N27" s="33" t="s">
        <v>42</v>
      </c>
      <c r="O27" s="33" t="s">
        <v>43</v>
      </c>
      <c r="Y27" s="1"/>
      <c r="Z27" s="1"/>
    </row>
    <row r="28" spans="1:26" ht="14.4" x14ac:dyDescent="0.3">
      <c r="A28" s="1"/>
      <c r="B28" s="59" t="s">
        <v>63</v>
      </c>
      <c r="C28" s="60">
        <f t="shared" ref="C28:F28" si="10">(C24/C17)^(1/7)-1</f>
        <v>0.34697365910336053</v>
      </c>
      <c r="D28" s="60">
        <f t="shared" si="10"/>
        <v>0.36047417474617816</v>
      </c>
      <c r="E28" s="60">
        <f t="shared" si="10"/>
        <v>0.32611814202756895</v>
      </c>
      <c r="F28" s="60">
        <f t="shared" si="10"/>
        <v>0.28111771027386023</v>
      </c>
      <c r="G28" s="38">
        <f t="shared" ref="G28:H28" si="11">MEDIAN(G17:G24)</f>
        <v>0.13535759303051936</v>
      </c>
      <c r="H28" s="38">
        <f t="shared" si="11"/>
        <v>0.02</v>
      </c>
      <c r="I28" s="60">
        <f t="shared" ref="I28:J28" si="12">(I24/I17)^(1/7)-1</f>
        <v>9.8274469158671662E-2</v>
      </c>
      <c r="J28" s="60">
        <f t="shared" si="12"/>
        <v>0.10683239874389061</v>
      </c>
      <c r="K28" s="57">
        <f t="shared" ref="K28:L28" si="13">MEDIAN(K17:K24)</f>
        <v>24.360655711597737</v>
      </c>
      <c r="L28" s="57">
        <f t="shared" si="13"/>
        <v>37.565789473684205</v>
      </c>
      <c r="M28" s="60">
        <f>(M24/M17)^(1/7)-1</f>
        <v>0.28467461091195623</v>
      </c>
      <c r="N28" s="47">
        <f t="shared" ref="N28:O28" si="14">MEDIAN(N17:N24)</f>
        <v>3.2722222222222221</v>
      </c>
      <c r="O28" s="47">
        <f t="shared" si="14"/>
        <v>6.3723949579831931</v>
      </c>
      <c r="V28" s="1"/>
      <c r="W28" s="1"/>
      <c r="X28" s="1"/>
      <c r="Y28" s="1"/>
      <c r="Z28" s="1"/>
    </row>
    <row r="29" spans="1:26" ht="14.4" x14ac:dyDescent="0.3">
      <c r="A29" s="1"/>
      <c r="B29" s="59" t="s">
        <v>64</v>
      </c>
      <c r="C29" s="60">
        <f t="shared" ref="C29:F29" si="15">(C24/C21)^(1/3)-1</f>
        <v>0.32444644919790933</v>
      </c>
      <c r="D29" s="60">
        <f t="shared" si="15"/>
        <v>0.39047249272482798</v>
      </c>
      <c r="E29" s="60">
        <f t="shared" si="15"/>
        <v>0.23062757190793426</v>
      </c>
      <c r="F29" s="60">
        <f t="shared" si="15"/>
        <v>0.16307284109496401</v>
      </c>
      <c r="G29" s="38">
        <f t="shared" ref="G29:H29" si="16">AVERAGE(G21:G24)</f>
        <v>0.13901044659271738</v>
      </c>
      <c r="H29" s="38">
        <f t="shared" si="16"/>
        <v>1.9025E-2</v>
      </c>
      <c r="I29" s="60">
        <f t="shared" ref="I29:J29" si="17">(I24/I21)^(1/3)-1</f>
        <v>1.6573614641400614E-2</v>
      </c>
      <c r="J29" s="60">
        <f t="shared" si="17"/>
        <v>2.021675179627036E-2</v>
      </c>
      <c r="K29" s="61">
        <f t="shared" ref="K29:L29" si="18">AVERAGE(K21:K24)</f>
        <v>22.719405068604896</v>
      </c>
      <c r="L29" s="61">
        <f t="shared" si="18"/>
        <v>33.767439774868841</v>
      </c>
      <c r="M29" s="60">
        <f>(M24/M21)^(1/3)-1</f>
        <v>0.24744576465260404</v>
      </c>
      <c r="N29" s="62">
        <f t="shared" ref="N29:O29" si="19">AVERAGE(N21:N24)</f>
        <v>3.0252373773493924</v>
      </c>
      <c r="O29" s="62">
        <f t="shared" si="19"/>
        <v>4.5025201279738196</v>
      </c>
      <c r="V29" s="1"/>
      <c r="W29" s="1"/>
      <c r="X29" s="1"/>
      <c r="Y29" s="1"/>
      <c r="Z29" s="1"/>
    </row>
    <row r="30" spans="1:26" thickBot="1" x14ac:dyDescent="0.35">
      <c r="A30" s="1"/>
      <c r="B30" s="63" t="s">
        <v>65</v>
      </c>
      <c r="C30" s="64">
        <f t="shared" ref="C30:F30" si="20">(C24/C23)-1</f>
        <v>0.46376534266422453</v>
      </c>
      <c r="D30" s="64">
        <f t="shared" si="20"/>
        <v>0.5113821138211383</v>
      </c>
      <c r="E30" s="64">
        <f t="shared" si="20"/>
        <v>0.37198697068403908</v>
      </c>
      <c r="F30" s="64">
        <f t="shared" si="20"/>
        <v>0.23237597911227148</v>
      </c>
      <c r="G30" s="54">
        <f t="shared" ref="G30:H30" si="21">G24</f>
        <v>0.11328671328671329</v>
      </c>
      <c r="H30" s="54">
        <f t="shared" si="21"/>
        <v>2.2800000000000001E-2</v>
      </c>
      <c r="I30" s="64">
        <f t="shared" ref="I30:J30" si="22">(I24/I23)-1</f>
        <v>-0.13562386980108498</v>
      </c>
      <c r="J30" s="64">
        <f t="shared" si="22"/>
        <v>-7.1340713407134104E-2</v>
      </c>
      <c r="K30" s="56">
        <f t="shared" ref="K30:L30" si="23">K24</f>
        <v>16.878531073446329</v>
      </c>
      <c r="L30" s="56">
        <f t="shared" si="23"/>
        <v>26.65960451977401</v>
      </c>
      <c r="M30" s="64">
        <f>(M24/M23)-1</f>
        <v>0.22872340425531923</v>
      </c>
      <c r="N30" s="65">
        <f t="shared" ref="N30:O30" si="24">N24</f>
        <v>2.0692640692640691</v>
      </c>
      <c r="O30" s="65">
        <f t="shared" si="24"/>
        <v>3.2683982683982684</v>
      </c>
      <c r="V30" s="1"/>
      <c r="W30" s="1"/>
      <c r="X30" s="1"/>
      <c r="Y30" s="1"/>
      <c r="Z30" s="1"/>
    </row>
    <row r="31" spans="1:26" thickTop="1" x14ac:dyDescent="0.3">
      <c r="A31" s="1"/>
      <c r="V31" s="1"/>
      <c r="W31" s="1"/>
      <c r="X31" s="1"/>
      <c r="Y31" s="1"/>
      <c r="Z31" s="1"/>
    </row>
    <row r="32" spans="1:26" ht="17.399999999999999" x14ac:dyDescent="0.3">
      <c r="A32" s="1"/>
      <c r="B32" s="66" t="s">
        <v>66</v>
      </c>
      <c r="C32" s="67" t="s">
        <v>67</v>
      </c>
      <c r="D32" s="67" t="s">
        <v>68</v>
      </c>
      <c r="E32" s="67" t="s">
        <v>69</v>
      </c>
      <c r="F32" s="67" t="s">
        <v>70</v>
      </c>
      <c r="G32" s="67" t="s">
        <v>71</v>
      </c>
      <c r="H32" s="1"/>
      <c r="I32" s="67" t="s">
        <v>72</v>
      </c>
      <c r="J32" s="67" t="s">
        <v>73</v>
      </c>
      <c r="K32" s="67" t="s">
        <v>74</v>
      </c>
      <c r="L32" s="67" t="s">
        <v>75</v>
      </c>
      <c r="M32" s="67" t="s">
        <v>76</v>
      </c>
      <c r="N32" s="67" t="s">
        <v>77</v>
      </c>
      <c r="O32" s="1"/>
      <c r="P32" s="68" t="s">
        <v>78</v>
      </c>
      <c r="Q32" s="68" t="s">
        <v>79</v>
      </c>
      <c r="R32" s="68" t="s">
        <v>80</v>
      </c>
      <c r="S32" s="68" t="s">
        <v>81</v>
      </c>
      <c r="V32" s="1"/>
      <c r="W32" s="1"/>
      <c r="X32" s="1"/>
      <c r="Y32" s="1"/>
      <c r="Z32" s="1"/>
    </row>
    <row r="33" spans="1:26" ht="14.4" x14ac:dyDescent="0.3">
      <c r="B33" s="69" t="s">
        <v>3</v>
      </c>
      <c r="C33" s="70">
        <v>0.55700000000000005</v>
      </c>
      <c r="D33" s="70">
        <v>0.52700000000000002</v>
      </c>
      <c r="E33" s="70">
        <v>0.51700000000000002</v>
      </c>
      <c r="F33" s="70">
        <v>0.21299999999999999</v>
      </c>
      <c r="G33" s="71">
        <v>0.25</v>
      </c>
      <c r="H33" s="1"/>
      <c r="I33" s="67" t="s">
        <v>5</v>
      </c>
      <c r="J33" s="72">
        <v>7.68</v>
      </c>
      <c r="K33" s="72">
        <v>7.1</v>
      </c>
      <c r="L33" s="72">
        <v>6.77</v>
      </c>
      <c r="M33" s="72">
        <v>7.8</v>
      </c>
      <c r="N33" s="73">
        <f>SUM(J33:M33)</f>
        <v>29.349999999999998</v>
      </c>
      <c r="O33" s="1"/>
      <c r="P33" s="74">
        <v>28.32</v>
      </c>
      <c r="Q33" s="74">
        <f>N33</f>
        <v>29.349999999999998</v>
      </c>
      <c r="R33" s="75">
        <v>33.1</v>
      </c>
      <c r="S33" s="76">
        <f ca="1">R35/39</f>
        <v>0.56317298009140904</v>
      </c>
      <c r="V33" s="1"/>
      <c r="W33" s="1"/>
      <c r="X33" s="1"/>
      <c r="Y33" s="1"/>
      <c r="Z33" s="1"/>
    </row>
    <row r="34" spans="1:26" ht="17.399999999999999" x14ac:dyDescent="0.3">
      <c r="B34" s="69" t="s">
        <v>4</v>
      </c>
      <c r="C34" s="70">
        <v>0.36099999999999999</v>
      </c>
      <c r="D34" s="70">
        <v>0.377</v>
      </c>
      <c r="E34" s="70">
        <v>0.372</v>
      </c>
      <c r="F34" s="70">
        <v>0.155</v>
      </c>
      <c r="G34" s="71">
        <v>0.17</v>
      </c>
      <c r="H34" s="1"/>
      <c r="O34" s="31"/>
      <c r="P34" s="68" t="s">
        <v>28</v>
      </c>
      <c r="Q34" s="68" t="s">
        <v>28</v>
      </c>
      <c r="R34" s="68" t="s">
        <v>82</v>
      </c>
      <c r="S34" s="77"/>
      <c r="T34" s="1"/>
      <c r="U34" s="1"/>
      <c r="V34" s="1"/>
      <c r="W34" s="1"/>
      <c r="X34" s="1"/>
      <c r="Y34" s="1"/>
      <c r="Z34" s="1"/>
    </row>
    <row r="35" spans="1:26" ht="14.4" x14ac:dyDescent="0.3">
      <c r="B35" s="69" t="s">
        <v>5</v>
      </c>
      <c r="C35" s="70">
        <v>0.223</v>
      </c>
      <c r="D35" s="70">
        <v>0.23599999999999999</v>
      </c>
      <c r="E35" s="70">
        <v>0.23200000000000001</v>
      </c>
      <c r="F35" s="70">
        <v>0.152</v>
      </c>
      <c r="G35" s="71">
        <v>0.17</v>
      </c>
      <c r="H35" s="1"/>
      <c r="O35" s="31"/>
      <c r="P35" s="78">
        <f>C4/P33</f>
        <v>18.877118644067796</v>
      </c>
      <c r="Q35" s="78">
        <f ca="1">C3/Q33</f>
        <v>24.77001703577513</v>
      </c>
      <c r="R35" s="78">
        <f ca="1">$C$3/R33</f>
        <v>21.963746223564954</v>
      </c>
      <c r="S35" s="79"/>
      <c r="T35" s="1"/>
      <c r="U35" s="1"/>
      <c r="V35" s="1"/>
      <c r="W35" s="1"/>
      <c r="X35" s="1"/>
      <c r="Y35" s="1"/>
      <c r="Z35" s="1"/>
    </row>
    <row r="36" spans="1:26" ht="14.4" x14ac:dyDescent="0.3">
      <c r="B36" s="69" t="s">
        <v>83</v>
      </c>
      <c r="C36" s="71">
        <v>0.121</v>
      </c>
      <c r="D36" s="71">
        <v>0.11799999999999999</v>
      </c>
      <c r="E36" s="71">
        <v>0.113</v>
      </c>
      <c r="F36" s="71">
        <v>0.112</v>
      </c>
      <c r="G36" s="71">
        <v>0.106</v>
      </c>
      <c r="H36" s="1"/>
      <c r="O36" s="1"/>
      <c r="T36" s="1"/>
      <c r="U36" s="1"/>
      <c r="V36" s="1"/>
      <c r="W36" s="1"/>
      <c r="X36" s="1"/>
      <c r="Y36" s="1"/>
      <c r="Z36" s="1"/>
    </row>
    <row r="37" spans="1:26" ht="14.4" x14ac:dyDescent="0.3">
      <c r="B37" s="69" t="s">
        <v>22</v>
      </c>
      <c r="C37" s="11">
        <v>1.9800000000000002E-2</v>
      </c>
      <c r="D37" s="11">
        <v>2.3099999999999999E-2</v>
      </c>
      <c r="E37" s="11">
        <v>2.2800000000000001E-2</v>
      </c>
      <c r="F37" s="11">
        <v>2.47E-2</v>
      </c>
      <c r="G37" s="11">
        <v>2.47E-2</v>
      </c>
      <c r="H37" s="1"/>
      <c r="O37" s="80"/>
      <c r="T37" s="1"/>
      <c r="U37" s="1"/>
      <c r="V37" s="1"/>
      <c r="W37" s="1"/>
      <c r="X37" s="1"/>
      <c r="Y37" s="1"/>
      <c r="Z37" s="1"/>
    </row>
    <row r="38" spans="1:26" ht="14.4" x14ac:dyDescent="0.3">
      <c r="H38" s="1"/>
      <c r="O38" s="1"/>
      <c r="T38" s="1"/>
      <c r="U38" s="1"/>
      <c r="V38" s="1"/>
      <c r="W38" s="1"/>
      <c r="X38" s="1"/>
      <c r="Y38" s="1"/>
      <c r="Z38" s="1"/>
    </row>
    <row r="39" spans="1:26" ht="14.4" x14ac:dyDescent="0.3">
      <c r="B39" s="67" t="s">
        <v>84</v>
      </c>
      <c r="C39" s="67" t="s">
        <v>70</v>
      </c>
      <c r="D39" s="67" t="s">
        <v>85</v>
      </c>
      <c r="E39" s="66" t="s">
        <v>86</v>
      </c>
      <c r="G39" s="67" t="s">
        <v>84</v>
      </c>
      <c r="H39" s="67" t="s">
        <v>87</v>
      </c>
      <c r="I39" s="67" t="s">
        <v>88</v>
      </c>
      <c r="J39" s="66" t="s">
        <v>86</v>
      </c>
      <c r="K39" s="1"/>
      <c r="L39" s="67" t="s">
        <v>84</v>
      </c>
      <c r="M39" s="67" t="s">
        <v>69</v>
      </c>
      <c r="N39" s="67" t="s">
        <v>89</v>
      </c>
      <c r="O39" s="66" t="s">
        <v>86</v>
      </c>
      <c r="P39" s="1"/>
      <c r="Q39" s="67" t="s">
        <v>90</v>
      </c>
      <c r="R39" s="67" t="s">
        <v>70</v>
      </c>
      <c r="S39" s="67" t="s">
        <v>85</v>
      </c>
      <c r="T39" s="67" t="s">
        <v>91</v>
      </c>
      <c r="U39" s="66" t="s">
        <v>86</v>
      </c>
      <c r="V39" s="1"/>
      <c r="W39" s="1"/>
      <c r="X39" s="1"/>
      <c r="Y39" s="1"/>
      <c r="Z39" s="1"/>
    </row>
    <row r="40" spans="1:26" ht="14.4" x14ac:dyDescent="0.3">
      <c r="B40" s="81" t="s">
        <v>62</v>
      </c>
      <c r="C40" s="82">
        <v>5189</v>
      </c>
      <c r="D40" s="82">
        <v>4278</v>
      </c>
      <c r="E40" s="83">
        <f t="shared" ref="E40:E46" si="25">(C40/D40)^(1/1)-1</f>
        <v>0.21294997662459103</v>
      </c>
      <c r="G40" s="81" t="s">
        <v>62</v>
      </c>
      <c r="H40" s="82">
        <v>5031</v>
      </c>
      <c r="I40" s="82">
        <v>3370</v>
      </c>
      <c r="J40" s="83">
        <f t="shared" ref="J40:J46" si="26">(H40/I40)^(1/1)-1</f>
        <v>0.49287833827893168</v>
      </c>
      <c r="K40" s="1"/>
      <c r="L40" s="81" t="s">
        <v>62</v>
      </c>
      <c r="M40" s="82">
        <v>18590</v>
      </c>
      <c r="N40" s="82">
        <v>12251</v>
      </c>
      <c r="O40" s="83">
        <f t="shared" ref="O40:O46" si="27">(M40/N40)^(1/1)-1</f>
        <v>0.51742714880417928</v>
      </c>
      <c r="Q40" s="81" t="s">
        <v>92</v>
      </c>
      <c r="R40" s="82">
        <v>2334</v>
      </c>
      <c r="S40" s="82">
        <v>1848</v>
      </c>
      <c r="T40" s="70">
        <f t="shared" ref="T40:T43" si="28">R40/$R$45</f>
        <v>0.52937173962349737</v>
      </c>
      <c r="U40" s="83">
        <f t="shared" ref="U40:U43" si="29">(R40/S40)^(1/1)-1</f>
        <v>0.26298701298701288</v>
      </c>
      <c r="W40" s="1"/>
      <c r="X40" s="1"/>
      <c r="Y40" s="1"/>
      <c r="Z40" s="1"/>
    </row>
    <row r="41" spans="1:26" ht="14.4" x14ac:dyDescent="0.3">
      <c r="A41" s="1"/>
      <c r="B41" s="81" t="s">
        <v>90</v>
      </c>
      <c r="C41" s="82">
        <v>3876</v>
      </c>
      <c r="D41" s="82">
        <v>3326</v>
      </c>
      <c r="E41" s="83">
        <f t="shared" si="25"/>
        <v>0.16536380036079379</v>
      </c>
      <c r="F41" s="1"/>
      <c r="G41" s="81" t="s">
        <v>90</v>
      </c>
      <c r="H41" s="82">
        <v>3739</v>
      </c>
      <c r="I41" s="82">
        <v>2721</v>
      </c>
      <c r="J41" s="83">
        <f t="shared" si="26"/>
        <v>0.3741271591326718</v>
      </c>
      <c r="K41" s="1"/>
      <c r="L41" s="81" t="s">
        <v>90</v>
      </c>
      <c r="M41" s="82">
        <v>14009</v>
      </c>
      <c r="N41" s="82">
        <v>9785</v>
      </c>
      <c r="O41" s="83">
        <f t="shared" si="27"/>
        <v>0.43168114460909557</v>
      </c>
      <c r="Q41" s="81" t="s">
        <v>93</v>
      </c>
      <c r="R41" s="82">
        <v>865</v>
      </c>
      <c r="S41" s="82">
        <v>790</v>
      </c>
      <c r="T41" s="70">
        <f t="shared" si="28"/>
        <v>0.19618961215695169</v>
      </c>
      <c r="U41" s="83">
        <f t="shared" si="29"/>
        <v>9.4936708860759556E-2</v>
      </c>
      <c r="W41" s="1"/>
      <c r="X41" s="1"/>
      <c r="Y41" s="1"/>
      <c r="Z41" s="1"/>
    </row>
    <row r="42" spans="1:26" ht="14.4" x14ac:dyDescent="0.3">
      <c r="B42" s="81" t="s">
        <v>94</v>
      </c>
      <c r="C42" s="82">
        <v>533</v>
      </c>
      <c r="D42" s="82">
        <v>283</v>
      </c>
      <c r="E42" s="83">
        <f t="shared" si="25"/>
        <v>0.88339222614840995</v>
      </c>
      <c r="F42" s="1"/>
      <c r="G42" s="81" t="s">
        <v>94</v>
      </c>
      <c r="H42" s="82">
        <v>635</v>
      </c>
      <c r="I42" s="82">
        <v>1179</v>
      </c>
      <c r="J42" s="83">
        <f t="shared" si="26"/>
        <v>-0.46140797285835455</v>
      </c>
      <c r="K42" s="1"/>
      <c r="L42" s="81" t="s">
        <v>94</v>
      </c>
      <c r="M42" s="82">
        <v>1793</v>
      </c>
      <c r="N42" s="82">
        <v>3902</v>
      </c>
      <c r="O42" s="83">
        <f t="shared" si="27"/>
        <v>-0.54049205535622757</v>
      </c>
      <c r="Q42" s="81" t="s">
        <v>95</v>
      </c>
      <c r="R42" s="82">
        <v>677</v>
      </c>
      <c r="S42" s="82">
        <v>688</v>
      </c>
      <c r="T42" s="70">
        <f t="shared" si="28"/>
        <v>0.15354955772283965</v>
      </c>
      <c r="U42" s="83">
        <f t="shared" si="29"/>
        <v>-1.5988372093023284E-2</v>
      </c>
      <c r="W42" s="1"/>
      <c r="X42" s="1"/>
      <c r="Y42" s="1"/>
      <c r="Z42" s="1"/>
    </row>
    <row r="43" spans="1:26" ht="14.4" x14ac:dyDescent="0.3">
      <c r="B43" s="84" t="s">
        <v>96</v>
      </c>
      <c r="C43" s="85">
        <f t="shared" ref="C43:D43" si="30">C41+C42</f>
        <v>4409</v>
      </c>
      <c r="D43" s="85">
        <f t="shared" si="30"/>
        <v>3609</v>
      </c>
      <c r="E43" s="83">
        <f t="shared" si="25"/>
        <v>0.22166805209199225</v>
      </c>
      <c r="F43" s="1"/>
      <c r="G43" s="84" t="s">
        <v>96</v>
      </c>
      <c r="H43" s="85">
        <f t="shared" ref="H43:I43" si="31">H41+H42</f>
        <v>4374</v>
      </c>
      <c r="I43" s="85">
        <f t="shared" si="31"/>
        <v>3900</v>
      </c>
      <c r="J43" s="83">
        <f t="shared" si="26"/>
        <v>0.1215384615384616</v>
      </c>
      <c r="K43" s="1"/>
      <c r="L43" s="84" t="s">
        <v>96</v>
      </c>
      <c r="M43" s="85">
        <f t="shared" ref="M43:N43" si="32">M41+M42</f>
        <v>15802</v>
      </c>
      <c r="N43" s="85">
        <f t="shared" si="32"/>
        <v>13687</v>
      </c>
      <c r="O43" s="83">
        <f t="shared" si="27"/>
        <v>0.15452619273763424</v>
      </c>
      <c r="Q43" s="84" t="s">
        <v>94</v>
      </c>
      <c r="R43" s="82">
        <v>533</v>
      </c>
      <c r="S43" s="82">
        <v>283</v>
      </c>
      <c r="T43" s="70">
        <f t="shared" si="28"/>
        <v>0.12088909049671127</v>
      </c>
      <c r="U43" s="83">
        <f t="shared" si="29"/>
        <v>0.88339222614840995</v>
      </c>
      <c r="W43" s="1"/>
      <c r="X43" s="1"/>
      <c r="Y43" s="1"/>
      <c r="Z43" s="1"/>
    </row>
    <row r="44" spans="1:26" ht="14.4" x14ac:dyDescent="0.3">
      <c r="B44" s="69" t="s">
        <v>97</v>
      </c>
      <c r="C44" s="82">
        <v>581</v>
      </c>
      <c r="D44" s="82">
        <v>503</v>
      </c>
      <c r="E44" s="83">
        <f t="shared" si="25"/>
        <v>0.15506958250497016</v>
      </c>
      <c r="F44" s="1"/>
      <c r="G44" s="69" t="s">
        <v>97</v>
      </c>
      <c r="H44" s="82">
        <v>503</v>
      </c>
      <c r="I44" s="82">
        <v>370</v>
      </c>
      <c r="J44" s="83">
        <f t="shared" si="26"/>
        <v>0.35945945945945956</v>
      </c>
      <c r="K44" s="1"/>
      <c r="L44" s="69" t="s">
        <v>97</v>
      </c>
      <c r="M44" s="82">
        <v>2106</v>
      </c>
      <c r="N44" s="82">
        <v>1534</v>
      </c>
      <c r="O44" s="83">
        <f t="shared" si="27"/>
        <v>0.37288135593220328</v>
      </c>
      <c r="W44" s="1"/>
      <c r="X44" s="1"/>
      <c r="Y44" s="1"/>
      <c r="Z44" s="1"/>
    </row>
    <row r="45" spans="1:26" ht="14.4" x14ac:dyDescent="0.3">
      <c r="B45" s="69" t="s">
        <v>6</v>
      </c>
      <c r="C45" s="82">
        <v>744</v>
      </c>
      <c r="D45" s="82">
        <v>668</v>
      </c>
      <c r="E45" s="83">
        <f t="shared" si="25"/>
        <v>0.11377245508982026</v>
      </c>
      <c r="F45" s="1"/>
      <c r="G45" s="69" t="s">
        <v>6</v>
      </c>
      <c r="H45" s="82">
        <v>744</v>
      </c>
      <c r="I45" s="82">
        <v>667</v>
      </c>
      <c r="J45" s="83">
        <f t="shared" si="26"/>
        <v>0.11544227886056979</v>
      </c>
      <c r="K45" s="1"/>
      <c r="L45" s="69" t="s">
        <v>6</v>
      </c>
      <c r="M45" s="82">
        <v>744</v>
      </c>
      <c r="N45" s="82">
        <v>668</v>
      </c>
      <c r="O45" s="83">
        <f t="shared" si="27"/>
        <v>0.11377245508982026</v>
      </c>
      <c r="Q45" s="86" t="s">
        <v>98</v>
      </c>
      <c r="R45" s="87">
        <f t="shared" ref="R45:S45" si="33">SUM(R40:R43)</f>
        <v>4409</v>
      </c>
      <c r="S45" s="87">
        <f t="shared" si="33"/>
        <v>3609</v>
      </c>
      <c r="T45" s="70">
        <f>R45/$R$45</f>
        <v>1</v>
      </c>
      <c r="U45" s="88">
        <f>(R45/S45)^(1/1)-1</f>
        <v>0.22166805209199225</v>
      </c>
      <c r="W45" s="1"/>
      <c r="X45" s="1"/>
      <c r="Y45" s="1"/>
      <c r="Z45" s="1"/>
    </row>
    <row r="46" spans="1:26" ht="14.4" x14ac:dyDescent="0.3">
      <c r="B46" s="69" t="s">
        <v>5</v>
      </c>
      <c r="C46" s="81">
        <v>7.8</v>
      </c>
      <c r="D46" s="81">
        <v>6.77</v>
      </c>
      <c r="E46" s="83">
        <f t="shared" si="25"/>
        <v>0.15214180206794681</v>
      </c>
      <c r="F46" s="1"/>
      <c r="G46" s="69" t="s">
        <v>5</v>
      </c>
      <c r="H46" s="81">
        <v>6.77</v>
      </c>
      <c r="I46" s="81">
        <v>5.54</v>
      </c>
      <c r="J46" s="83">
        <f t="shared" si="26"/>
        <v>0.22202166064981932</v>
      </c>
      <c r="K46" s="1"/>
      <c r="L46" s="69" t="s">
        <v>5</v>
      </c>
      <c r="M46" s="81">
        <v>28.32</v>
      </c>
      <c r="N46" s="81">
        <v>22.98</v>
      </c>
      <c r="O46" s="83">
        <f t="shared" si="27"/>
        <v>0.23237597911227148</v>
      </c>
      <c r="W46" s="1"/>
      <c r="X46" s="1"/>
      <c r="Y46" s="1"/>
      <c r="Z46" s="1"/>
    </row>
    <row r="47" spans="1:26" ht="14.4" x14ac:dyDescent="0.3">
      <c r="B47" s="69" t="s">
        <v>99</v>
      </c>
      <c r="C47" s="89">
        <v>2.2800000000000001E-2</v>
      </c>
      <c r="D47" s="89">
        <v>1.67E-2</v>
      </c>
      <c r="E47" s="90">
        <f t="shared" ref="E47:E48" si="34">C47-D47</f>
        <v>6.1000000000000013E-3</v>
      </c>
      <c r="F47" s="1"/>
      <c r="G47" s="69" t="s">
        <v>99</v>
      </c>
      <c r="H47" s="89">
        <v>2.2800000000000001E-2</v>
      </c>
      <c r="I47" s="89">
        <v>1.67E-2</v>
      </c>
      <c r="J47" s="90">
        <f t="shared" ref="J47:J48" si="35">H47-I47</f>
        <v>6.1000000000000013E-3</v>
      </c>
      <c r="K47" s="1"/>
      <c r="L47" s="69" t="s">
        <v>99</v>
      </c>
      <c r="M47" s="89">
        <v>2.2800000000000001E-2</v>
      </c>
      <c r="N47" s="89">
        <v>1.67E-2</v>
      </c>
      <c r="O47" s="90">
        <f t="shared" ref="O47:O48" si="36">M47-N47</f>
        <v>6.1000000000000013E-3</v>
      </c>
      <c r="W47" s="1"/>
      <c r="X47" s="1"/>
      <c r="Y47" s="1"/>
      <c r="Z47" s="1"/>
    </row>
    <row r="48" spans="1:26" ht="14.4" x14ac:dyDescent="0.3">
      <c r="B48" s="69" t="s">
        <v>100</v>
      </c>
      <c r="C48" s="83">
        <f t="shared" ref="C48:D48" si="37">C44/C40</f>
        <v>0.11196762381961842</v>
      </c>
      <c r="D48" s="83">
        <f t="shared" si="37"/>
        <v>0.11757830762038336</v>
      </c>
      <c r="E48" s="90">
        <f t="shared" si="34"/>
        <v>-5.6106838007649457E-3</v>
      </c>
      <c r="F48" s="80"/>
      <c r="G48" s="69" t="s">
        <v>100</v>
      </c>
      <c r="H48" s="83">
        <f t="shared" ref="H48:I48" si="38">H44/H40</f>
        <v>9.9980123235937191E-2</v>
      </c>
      <c r="I48" s="83">
        <f t="shared" si="38"/>
        <v>0.10979228486646884</v>
      </c>
      <c r="J48" s="90">
        <f t="shared" si="35"/>
        <v>-9.8121616305316545E-3</v>
      </c>
      <c r="K48" s="1"/>
      <c r="L48" s="69" t="s">
        <v>100</v>
      </c>
      <c r="M48" s="83">
        <f t="shared" ref="M48:N48" si="39">M44/M40</f>
        <v>0.11328671328671329</v>
      </c>
      <c r="N48" s="83">
        <f t="shared" si="39"/>
        <v>0.12521426822300222</v>
      </c>
      <c r="O48" s="90">
        <f t="shared" si="36"/>
        <v>-1.1927554936288928E-2</v>
      </c>
      <c r="W48" s="1"/>
      <c r="X48" s="1"/>
      <c r="Y48" s="1"/>
      <c r="Z48" s="1"/>
    </row>
    <row r="49" spans="1:26" ht="14.4" x14ac:dyDescent="0.3">
      <c r="H49" s="1"/>
      <c r="W49" s="1"/>
      <c r="X49" s="1"/>
      <c r="Y49" s="1"/>
      <c r="Z49" s="1"/>
    </row>
    <row r="50" spans="1:26" ht="14.4" x14ac:dyDescent="0.3">
      <c r="A50" s="1"/>
      <c r="B50" s="91" t="s">
        <v>101</v>
      </c>
      <c r="C50" s="92" t="s">
        <v>10</v>
      </c>
      <c r="D50" s="93" t="s">
        <v>102</v>
      </c>
      <c r="E50" s="93" t="s">
        <v>35</v>
      </c>
      <c r="F50" s="93" t="s">
        <v>5</v>
      </c>
      <c r="G50" s="93" t="s">
        <v>83</v>
      </c>
      <c r="H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 x14ac:dyDescent="0.3">
      <c r="A51" s="1"/>
      <c r="B51" s="93" t="s">
        <v>103</v>
      </c>
      <c r="C51" s="94">
        <v>0.25</v>
      </c>
      <c r="D51" s="95">
        <v>0.25</v>
      </c>
      <c r="E51" s="95">
        <v>0.25</v>
      </c>
      <c r="F51" s="95">
        <v>0.25</v>
      </c>
      <c r="G51" s="96">
        <f>AVERAGE(G28:G30)</f>
        <v>0.12921825096998335</v>
      </c>
      <c r="H51" s="1"/>
      <c r="N51" s="1"/>
      <c r="Q51" s="66" t="s">
        <v>104</v>
      </c>
      <c r="R51" s="67" t="s">
        <v>105</v>
      </c>
      <c r="S51" s="1"/>
      <c r="T51" s="1"/>
      <c r="U51" s="1"/>
      <c r="V51" s="1"/>
      <c r="W51" s="1"/>
      <c r="X51" s="1"/>
      <c r="Y51" s="1"/>
      <c r="Z51" s="1"/>
    </row>
    <row r="52" spans="1:26" ht="14.4" x14ac:dyDescent="0.3">
      <c r="A52" s="1"/>
      <c r="B52" s="93" t="s">
        <v>106</v>
      </c>
      <c r="C52" s="94">
        <v>0.2</v>
      </c>
      <c r="D52" s="95">
        <v>0.25</v>
      </c>
      <c r="E52" s="95">
        <f>(E55/E24)-1</f>
        <v>0.16959876543209873</v>
      </c>
      <c r="F52" s="95">
        <v>0.17</v>
      </c>
      <c r="G52" s="96">
        <v>0.106</v>
      </c>
      <c r="H52" s="1"/>
      <c r="N52" s="1"/>
      <c r="Q52" s="81" t="s">
        <v>107</v>
      </c>
      <c r="R52" s="97">
        <v>0.25459999999999999</v>
      </c>
      <c r="S52" s="1"/>
      <c r="T52" s="1"/>
      <c r="U52" s="1"/>
      <c r="V52" s="1"/>
      <c r="W52" s="1"/>
      <c r="X52" s="1"/>
      <c r="Y52" s="1"/>
      <c r="Z52" s="1"/>
    </row>
    <row r="53" spans="1:26" ht="14.4" x14ac:dyDescent="0.3">
      <c r="A53" s="1"/>
      <c r="G53" s="55"/>
      <c r="H53" s="1"/>
      <c r="N53" s="1"/>
      <c r="Q53" s="81" t="s">
        <v>108</v>
      </c>
      <c r="R53" s="97">
        <v>0.20810000000000001</v>
      </c>
      <c r="S53" s="1"/>
      <c r="T53" s="1"/>
      <c r="U53" s="1"/>
      <c r="V53" s="1"/>
      <c r="W53" s="1"/>
      <c r="X53" s="1"/>
      <c r="Y53" s="1"/>
      <c r="Z53" s="1"/>
    </row>
    <row r="54" spans="1:26" ht="14.4" x14ac:dyDescent="0.3">
      <c r="A54" s="1"/>
      <c r="B54" s="98" t="s">
        <v>33</v>
      </c>
      <c r="C54" s="92" t="s">
        <v>10</v>
      </c>
      <c r="D54" s="99" t="s">
        <v>62</v>
      </c>
      <c r="E54" s="99" t="s">
        <v>35</v>
      </c>
      <c r="F54" s="99" t="s">
        <v>5</v>
      </c>
      <c r="G54" s="99" t="s">
        <v>109</v>
      </c>
      <c r="H54" s="99" t="s">
        <v>110</v>
      </c>
      <c r="I54" s="99" t="s">
        <v>111</v>
      </c>
      <c r="J54" s="100"/>
      <c r="K54" s="99" t="s">
        <v>112</v>
      </c>
      <c r="L54" s="99" t="s">
        <v>109</v>
      </c>
      <c r="M54" s="99" t="s">
        <v>110</v>
      </c>
      <c r="N54" s="99" t="s">
        <v>111</v>
      </c>
      <c r="Q54" s="81" t="s">
        <v>113</v>
      </c>
      <c r="R54" s="97">
        <v>0.41120000000000001</v>
      </c>
      <c r="S54" s="1"/>
      <c r="T54" s="1"/>
      <c r="U54" s="1"/>
      <c r="V54" s="1"/>
      <c r="W54" s="1"/>
      <c r="X54" s="1"/>
      <c r="Y54" s="1"/>
      <c r="Z54" s="1"/>
    </row>
    <row r="55" spans="1:26" ht="14.4" x14ac:dyDescent="0.3">
      <c r="A55" s="1" t="s">
        <v>114</v>
      </c>
      <c r="B55" s="101" t="s">
        <v>115</v>
      </c>
      <c r="C55" s="102">
        <f t="shared" ref="C55:D55" si="40">FV(C52,1,0,-C24,0)</f>
        <v>128510.39999999999</v>
      </c>
      <c r="D55" s="102">
        <f t="shared" si="40"/>
        <v>23237.5</v>
      </c>
      <c r="E55" s="102">
        <f>D55*G52</f>
        <v>2463.1749999999997</v>
      </c>
      <c r="F55" s="103">
        <f>FV(F52,1,0,-F24,0)</f>
        <v>33.134399999999999</v>
      </c>
      <c r="G55" s="104">
        <f t="shared" ref="G55:G57" si="41">F55*17</f>
        <v>563.28480000000002</v>
      </c>
      <c r="H55" s="105">
        <f t="shared" ref="H55:H57" si="42">AVERAGE(G55,I55)</f>
        <v>844.92720000000008</v>
      </c>
      <c r="I55" s="104">
        <f t="shared" ref="I55:I57" si="43">F55*34</f>
        <v>1126.5696</v>
      </c>
      <c r="J55" s="100"/>
      <c r="K55" s="106">
        <f>(F55*95%)+M24</f>
        <v>262.47768000000002</v>
      </c>
      <c r="L55" s="104">
        <f t="shared" ref="L55:L57" si="44">K55*2</f>
        <v>524.95536000000004</v>
      </c>
      <c r="M55" s="105">
        <f t="shared" ref="M55:M57" si="45">AVERAGE(L55,N55)</f>
        <v>1049.9107200000001</v>
      </c>
      <c r="N55" s="104">
        <f t="shared" ref="N55:N57" si="46">K55*6</f>
        <v>1574.8660800000002</v>
      </c>
      <c r="Q55" s="81" t="s">
        <v>116</v>
      </c>
      <c r="R55" s="97">
        <v>0.12609999999999999</v>
      </c>
      <c r="S55" s="1"/>
      <c r="T55" s="1"/>
      <c r="U55" s="1"/>
      <c r="V55" s="1"/>
      <c r="W55" s="1"/>
      <c r="X55" s="1"/>
      <c r="Y55" s="1"/>
      <c r="Z55" s="1"/>
    </row>
    <row r="56" spans="1:26" ht="14.4" x14ac:dyDescent="0.3">
      <c r="A56" s="1"/>
      <c r="B56" s="107" t="s">
        <v>117</v>
      </c>
      <c r="C56" s="102">
        <f t="shared" ref="C56:D56" si="47">FV(C51,4,0,-C55,0)</f>
        <v>313746.09375</v>
      </c>
      <c r="D56" s="102">
        <f t="shared" si="47"/>
        <v>56732.177734375</v>
      </c>
      <c r="E56" s="102">
        <f>D56*G51</f>
        <v>7330.8327805541703</v>
      </c>
      <c r="F56" s="102">
        <f>(E56*F55)/E55</f>
        <v>98.613677746808122</v>
      </c>
      <c r="G56" s="104">
        <f t="shared" si="41"/>
        <v>1676.4325216957382</v>
      </c>
      <c r="H56" s="105">
        <f t="shared" si="42"/>
        <v>2514.648782543607</v>
      </c>
      <c r="I56" s="104">
        <f t="shared" si="43"/>
        <v>3352.8650433914763</v>
      </c>
      <c r="J56" s="100"/>
      <c r="K56" s="106">
        <f>FV(10%,4,0,-K55,0)</f>
        <v>384.29357128800012</v>
      </c>
      <c r="L56" s="104">
        <f t="shared" si="44"/>
        <v>768.58714257600025</v>
      </c>
      <c r="M56" s="105">
        <f t="shared" si="45"/>
        <v>1537.1742851520005</v>
      </c>
      <c r="N56" s="104">
        <f t="shared" si="46"/>
        <v>2305.7614277280009</v>
      </c>
      <c r="S56" s="1"/>
      <c r="T56" s="1"/>
      <c r="U56" s="1"/>
      <c r="V56" s="1"/>
      <c r="W56" s="1"/>
      <c r="X56" s="1"/>
      <c r="Y56" s="1"/>
      <c r="Z56" s="1"/>
    </row>
    <row r="57" spans="1:26" ht="14.4" x14ac:dyDescent="0.3">
      <c r="A57" s="1"/>
      <c r="B57" s="107" t="s">
        <v>118</v>
      </c>
      <c r="C57" s="102">
        <f t="shared" ref="C57:F57" si="48">FV(15%,5,0,(-C56),0)</f>
        <v>631055.4607141111</v>
      </c>
      <c r="D57" s="102">
        <f t="shared" si="48"/>
        <v>114108.67344856259</v>
      </c>
      <c r="E57" s="102">
        <f t="shared" si="48"/>
        <v>14744.923203528237</v>
      </c>
      <c r="F57" s="102">
        <f t="shared" si="48"/>
        <v>198.34732952185126</v>
      </c>
      <c r="G57" s="104">
        <f t="shared" si="41"/>
        <v>3371.9046018714716</v>
      </c>
      <c r="H57" s="105">
        <f t="shared" si="42"/>
        <v>5057.856902807207</v>
      </c>
      <c r="I57" s="104">
        <f t="shared" si="43"/>
        <v>6743.8092037429433</v>
      </c>
      <c r="J57" s="100"/>
      <c r="K57" s="106">
        <f>FV(10%,5,0,-K56,0)</f>
        <v>618.90863949503728</v>
      </c>
      <c r="L57" s="104">
        <f t="shared" si="44"/>
        <v>1237.8172789900746</v>
      </c>
      <c r="M57" s="105">
        <f t="shared" si="45"/>
        <v>2475.6345579801491</v>
      </c>
      <c r="N57" s="104">
        <f t="shared" si="46"/>
        <v>3713.4518369702237</v>
      </c>
      <c r="Q57" s="108" t="s">
        <v>98</v>
      </c>
      <c r="R57" s="109">
        <f>SUM(R52:R55)</f>
        <v>1</v>
      </c>
      <c r="S57" s="1"/>
      <c r="T57" s="1"/>
      <c r="U57" s="1"/>
      <c r="V57" s="1"/>
      <c r="W57" s="1"/>
      <c r="X57" s="1"/>
      <c r="Y57" s="1"/>
      <c r="Z57" s="1"/>
    </row>
    <row r="58" spans="1:26" ht="14.4" x14ac:dyDescent="0.3">
      <c r="A58" s="1"/>
      <c r="B58" s="1"/>
      <c r="C58" s="1"/>
      <c r="D58" s="1"/>
      <c r="E58" s="1"/>
      <c r="F58" s="1"/>
      <c r="G58" s="1"/>
      <c r="H58" s="1"/>
      <c r="N58" s="1"/>
      <c r="O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 x14ac:dyDescent="0.3">
      <c r="A59" s="1"/>
      <c r="B59" s="98" t="s">
        <v>119</v>
      </c>
      <c r="C59" s="98" t="s">
        <v>119</v>
      </c>
      <c r="D59" s="98" t="s">
        <v>120</v>
      </c>
      <c r="E59" s="98" t="s">
        <v>121</v>
      </c>
      <c r="F59" s="98" t="s">
        <v>122</v>
      </c>
      <c r="G59" s="98" t="s">
        <v>123</v>
      </c>
      <c r="H59" s="98" t="s">
        <v>124</v>
      </c>
      <c r="I59" s="98" t="s">
        <v>125</v>
      </c>
      <c r="J59" s="58"/>
      <c r="K59" s="58"/>
      <c r="L59" s="58"/>
      <c r="O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 x14ac:dyDescent="0.3">
      <c r="A60" s="1"/>
      <c r="B60" s="110" t="s">
        <v>121</v>
      </c>
      <c r="C60" s="110" t="s">
        <v>17</v>
      </c>
      <c r="D60" s="111">
        <f ca="1">IFERROR(__xludf.DUMMYFUNCTION("GOOGLEFINANCE(""NSE:""&amp;C60,""price"")"),727)</f>
        <v>727</v>
      </c>
      <c r="E60" s="112">
        <v>0.02</v>
      </c>
      <c r="F60" s="112">
        <f ca="1">IF(D60&gt;=I55, E60/2, IF(D60&lt;=G55, E60, E60/2 + ((I55 - D60) / (I55 - G55)) * E60/2))</f>
        <v>1.7093562616992328E-2</v>
      </c>
      <c r="G60" s="113">
        <f ca="1">IF(D60&gt;=N55, E60/2, IF(D60&lt;=L55, E60, E60/2 + ((N55 - D60) / (N55 - L55)) * E60/2))</f>
        <v>1.8075601704495407E-2</v>
      </c>
      <c r="H60" s="114">
        <f ca="1">E60-((R35-21)%*E60)</f>
        <v>1.9807250755287008E-2</v>
      </c>
      <c r="I60" s="115">
        <f ca="1">AVERAGE(F60:H60)</f>
        <v>1.8325471692258247E-2</v>
      </c>
      <c r="J60" s="116"/>
      <c r="K60" s="116"/>
      <c r="L60" s="58"/>
      <c r="O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 x14ac:dyDescent="0.3">
      <c r="A61" s="1"/>
      <c r="O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 x14ac:dyDescent="0.3">
      <c r="A62" s="1"/>
      <c r="O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 x14ac:dyDescent="0.3">
      <c r="A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 x14ac:dyDescent="0.3">
      <c r="A74" s="1"/>
      <c r="B74" s="117" t="s">
        <v>126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 x14ac:dyDescent="0.3">
      <c r="A75" s="1"/>
      <c r="B75" s="120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 x14ac:dyDescent="0.3">
      <c r="A76" s="1"/>
      <c r="B76" s="123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5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4" x14ac:dyDescent="0.3">
      <c r="A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4" x14ac:dyDescent="0.3">
      <c r="A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 x14ac:dyDescent="0.3">
      <c r="A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4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4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4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2">
    <mergeCell ref="S33:S35"/>
    <mergeCell ref="B74:N76"/>
  </mergeCells>
  <conditionalFormatting sqref="B37">
    <cfRule type="colorScale" priority="1">
      <colorScale>
        <cfvo type="min"/>
        <cfvo type="max"/>
        <color rgb="FF57BB8A"/>
        <color rgb="FFFFFFFF"/>
      </colorScale>
    </cfRule>
  </conditionalFormatting>
  <conditionalFormatting sqref="C11:C25 B36">
    <cfRule type="colorScale" priority="2">
      <colorScale>
        <cfvo type="min"/>
        <cfvo type="max"/>
        <color rgb="FFFFFFFF"/>
        <color rgb="FF57BB8A"/>
      </colorScale>
    </cfRule>
  </conditionalFormatting>
  <conditionalFormatting sqref="C28:F30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3:G35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6:G36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7:G37">
    <cfRule type="colorScale" priority="2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D11:D25">
    <cfRule type="colorScale" priority="3">
      <colorScale>
        <cfvo type="min"/>
        <cfvo type="max"/>
        <color rgb="FFFFFFFF"/>
        <color rgb="FF57BB8A"/>
      </colorScale>
    </cfRule>
  </conditionalFormatting>
  <conditionalFormatting sqref="G11:G25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8:G30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1:H25">
    <cfRule type="colorScale" priority="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28:H30">
    <cfRule type="colorScale" priority="1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I11:J25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8:J30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3:M33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7:L25">
    <cfRule type="colorScale" priority="1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K28:L30">
    <cfRule type="colorScale" priority="19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M11:M25">
    <cfRule type="colorScale" priority="7">
      <colorScale>
        <cfvo type="min"/>
        <cfvo type="max"/>
        <color rgb="FFFFFFFF"/>
        <color rgb="FF57BB8A"/>
      </colorScale>
    </cfRule>
  </conditionalFormatting>
  <conditionalFormatting sqref="M28:M31 M26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17:O25">
    <cfRule type="colorScale" priority="1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N28:O30">
    <cfRule type="colorScale" priority="20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P50 I48 R51:R55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33:R33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35:R35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hyperlinks>
    <hyperlink ref="B74" r:id="rId1" xr:uid="{7DA8B80B-7DF9-4FE1-9316-861C2E2E3A8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2025-08-12T12:04:02Z</dcterms:created>
  <dcterms:modified xsi:type="dcterms:W3CDTF">2025-08-12T12:04:13Z</dcterms:modified>
</cp:coreProperties>
</file>