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AE494D88-71CE-4EDA-9A3F-AC4A407A6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RCTC" sheetId="1" r:id="rId1"/>
  </sheets>
  <calcPr calcId="191029"/>
</workbook>
</file>

<file path=xl/calcChain.xml><?xml version="1.0" encoding="utf-8"?>
<calcChain xmlns="http://schemas.openxmlformats.org/spreadsheetml/2006/main">
  <c r="M57" i="1" l="1"/>
  <c r="F57" i="1"/>
  <c r="M56" i="1"/>
  <c r="F56" i="1"/>
  <c r="M55" i="1"/>
  <c r="F55" i="1"/>
  <c r="M54" i="1"/>
  <c r="F54" i="1"/>
  <c r="M53" i="1"/>
  <c r="F53" i="1"/>
  <c r="O52" i="1"/>
  <c r="N52" i="1"/>
  <c r="M52" i="1"/>
  <c r="L52" i="1"/>
  <c r="K52" i="1"/>
  <c r="F52" i="1"/>
  <c r="O51" i="1"/>
  <c r="N51" i="1"/>
  <c r="M51" i="1"/>
  <c r="L51" i="1"/>
  <c r="K51" i="1"/>
  <c r="F51" i="1"/>
  <c r="N50" i="1"/>
  <c r="M50" i="1"/>
  <c r="O50" i="1" s="1"/>
  <c r="L50" i="1"/>
  <c r="K50" i="1"/>
  <c r="F50" i="1"/>
  <c r="M49" i="1"/>
  <c r="O49" i="1" s="1"/>
  <c r="L49" i="1"/>
  <c r="K49" i="1"/>
  <c r="F49" i="1"/>
  <c r="M48" i="1"/>
  <c r="O48" i="1" s="1"/>
  <c r="L48" i="1"/>
  <c r="L43" i="1" s="1"/>
  <c r="K48" i="1"/>
  <c r="K44" i="1" s="1"/>
  <c r="F48" i="1"/>
  <c r="M47" i="1"/>
  <c r="O47" i="1" s="1"/>
  <c r="D47" i="1"/>
  <c r="C47" i="1"/>
  <c r="F47" i="1" s="1"/>
  <c r="L44" i="1"/>
  <c r="J44" i="1"/>
  <c r="I44" i="1"/>
  <c r="H44" i="1"/>
  <c r="G44" i="1"/>
  <c r="E44" i="1"/>
  <c r="D44" i="1"/>
  <c r="C44" i="1"/>
  <c r="K43" i="1"/>
  <c r="J43" i="1"/>
  <c r="I43" i="1"/>
  <c r="H43" i="1"/>
  <c r="G43" i="1"/>
  <c r="F43" i="1"/>
  <c r="E43" i="1"/>
  <c r="D43" i="1"/>
  <c r="C43" i="1"/>
  <c r="M42" i="1"/>
  <c r="L42" i="1"/>
  <c r="K42" i="1"/>
  <c r="J42" i="1"/>
  <c r="I42" i="1"/>
  <c r="H42" i="1"/>
  <c r="G42" i="1"/>
  <c r="F42" i="1"/>
  <c r="E42" i="1"/>
  <c r="D42" i="1"/>
  <c r="C42" i="1"/>
  <c r="X41" i="1"/>
  <c r="X40" i="1"/>
  <c r="W40" i="1"/>
  <c r="V40" i="1"/>
  <c r="V43" i="1" s="1"/>
  <c r="X39" i="1"/>
  <c r="P39" i="1"/>
  <c r="W38" i="1"/>
  <c r="X38" i="1" s="1"/>
  <c r="X37" i="1"/>
  <c r="N37" i="1"/>
  <c r="E47" i="1" s="1"/>
  <c r="Z34" i="1"/>
  <c r="Y34" i="1"/>
  <c r="AA34" i="1" s="1"/>
  <c r="X34" i="1"/>
  <c r="AA33" i="1"/>
  <c r="Z33" i="1"/>
  <c r="AA32" i="1"/>
  <c r="Z32" i="1"/>
  <c r="D32" i="1"/>
  <c r="C32" i="1"/>
  <c r="E32" i="1" s="1"/>
  <c r="AA31" i="1"/>
  <c r="Z31" i="1"/>
  <c r="E31" i="1"/>
  <c r="D31" i="1"/>
  <c r="C31" i="1"/>
  <c r="AA30" i="1"/>
  <c r="Z30" i="1"/>
  <c r="U30" i="1"/>
  <c r="S30" i="1"/>
  <c r="R30" i="1"/>
  <c r="T24" i="1" s="1"/>
  <c r="I30" i="1"/>
  <c r="H30" i="1"/>
  <c r="J30" i="1" s="1"/>
  <c r="D30" i="1"/>
  <c r="AA29" i="1"/>
  <c r="Z29" i="1"/>
  <c r="I29" i="1"/>
  <c r="H29" i="1"/>
  <c r="J29" i="1" s="1"/>
  <c r="E29" i="1"/>
  <c r="AA28" i="1"/>
  <c r="Z28" i="1"/>
  <c r="U28" i="1"/>
  <c r="T28" i="1"/>
  <c r="J28" i="1"/>
  <c r="E28" i="1"/>
  <c r="AA27" i="1"/>
  <c r="Z27" i="1"/>
  <c r="U27" i="1"/>
  <c r="J27" i="1"/>
  <c r="E27" i="1"/>
  <c r="AA26" i="1"/>
  <c r="Z26" i="1"/>
  <c r="U26" i="1"/>
  <c r="T26" i="1"/>
  <c r="J26" i="1"/>
  <c r="D26" i="1"/>
  <c r="C26" i="1"/>
  <c r="C30" i="1" s="1"/>
  <c r="E30" i="1" s="1"/>
  <c r="AA25" i="1"/>
  <c r="Z25" i="1"/>
  <c r="U25" i="1"/>
  <c r="T25" i="1"/>
  <c r="J25" i="1"/>
  <c r="E25" i="1"/>
  <c r="AA24" i="1"/>
  <c r="Z24" i="1"/>
  <c r="U24" i="1"/>
  <c r="J24" i="1"/>
  <c r="E24" i="1"/>
  <c r="E17" i="1"/>
  <c r="I17" i="1" s="1"/>
  <c r="C17" i="1"/>
  <c r="C16" i="1" s="1"/>
  <c r="C12" i="1"/>
  <c r="T9" i="1"/>
  <c r="S9" i="1"/>
  <c r="R9" i="1"/>
  <c r="O9" i="1"/>
  <c r="K9" i="1"/>
  <c r="I9" i="1"/>
  <c r="H9" i="1"/>
  <c r="G9" i="1"/>
  <c r="F9" i="1"/>
  <c r="E9" i="1"/>
  <c r="D9" i="1"/>
  <c r="C9" i="1"/>
  <c r="B9" i="1"/>
  <c r="S5" i="1"/>
  <c r="R5" i="1"/>
  <c r="Q5" i="1"/>
  <c r="P5" i="1"/>
  <c r="O5" i="1"/>
  <c r="N5" i="1"/>
  <c r="M5" i="1"/>
  <c r="L5" i="1"/>
  <c r="K5" i="1"/>
  <c r="I5" i="1"/>
  <c r="H5" i="1"/>
  <c r="V4" i="1"/>
  <c r="P4" i="1"/>
  <c r="V3" i="1"/>
  <c r="V5" i="1" s="1"/>
  <c r="P3" i="1"/>
  <c r="F3" i="1"/>
  <c r="L9" i="1" s="1"/>
  <c r="E3" i="1"/>
  <c r="E5" i="1" s="1"/>
  <c r="D3" i="1"/>
  <c r="C3" i="1"/>
  <c r="D16" i="1" l="1"/>
  <c r="C15" i="1"/>
  <c r="O43" i="1"/>
  <c r="O44" i="1"/>
  <c r="O42" i="1"/>
  <c r="Q39" i="1"/>
  <c r="G3" i="1"/>
  <c r="L47" i="1"/>
  <c r="K47" i="1"/>
  <c r="Q37" i="1"/>
  <c r="D4" i="1"/>
  <c r="D5" i="1" s="1"/>
  <c r="R37" i="1"/>
  <c r="R39" i="1" s="1"/>
  <c r="S37" i="1" s="1"/>
  <c r="Q9" i="1" s="1"/>
  <c r="W43" i="1"/>
  <c r="X43" i="1" s="1"/>
  <c r="D17" i="1"/>
  <c r="D21" i="1" s="1"/>
  <c r="N49" i="1"/>
  <c r="M9" i="1"/>
  <c r="E26" i="1"/>
  <c r="T27" i="1"/>
  <c r="T30" i="1"/>
  <c r="M44" i="1"/>
  <c r="N48" i="1"/>
  <c r="M43" i="1"/>
  <c r="P9" i="1"/>
  <c r="C5" i="1"/>
  <c r="F17" i="1"/>
  <c r="J9" i="1"/>
  <c r="G17" i="1"/>
  <c r="H17" i="1" s="1"/>
  <c r="N47" i="1"/>
  <c r="F5" i="1"/>
  <c r="L17" i="1" l="1"/>
  <c r="F16" i="1"/>
  <c r="J17" i="1"/>
  <c r="K17" i="1" s="1"/>
  <c r="M17" i="1"/>
  <c r="E12" i="1" s="1"/>
  <c r="F12" i="1" s="1"/>
  <c r="G5" i="1"/>
  <c r="N9" i="1"/>
  <c r="D15" i="1"/>
  <c r="E16" i="1"/>
  <c r="N43" i="1"/>
  <c r="N44" i="1"/>
  <c r="N42" i="1"/>
  <c r="E15" i="1" l="1"/>
  <c r="I16" i="1"/>
  <c r="G16" i="1"/>
  <c r="H16" i="1" s="1"/>
  <c r="L16" i="1"/>
  <c r="F15" i="1"/>
  <c r="J16" i="1"/>
  <c r="K16" i="1" s="1"/>
  <c r="M16" i="1" l="1"/>
  <c r="G15" i="1"/>
  <c r="I15" i="1"/>
  <c r="L15" i="1"/>
  <c r="J15" i="1"/>
  <c r="K15" i="1" s="1"/>
  <c r="H15" i="1" l="1"/>
  <c r="M15" i="1" s="1"/>
</calcChain>
</file>

<file path=xl/sharedStrings.xml><?xml version="1.0" encoding="utf-8"?>
<sst xmlns="http://schemas.openxmlformats.org/spreadsheetml/2006/main" count="232" uniqueCount="152">
  <si>
    <t>INC. STAT.</t>
  </si>
  <si>
    <t>BAL. SHEET</t>
  </si>
  <si>
    <t>CASHFLOW</t>
  </si>
  <si>
    <t>COMPANY</t>
  </si>
  <si>
    <t>PRICE</t>
  </si>
  <si>
    <t>MCAP</t>
  </si>
  <si>
    <t>SALES</t>
  </si>
  <si>
    <t>PROFIT</t>
  </si>
  <si>
    <t>EPS</t>
  </si>
  <si>
    <t>EQUITY</t>
  </si>
  <si>
    <t>RESERVE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</si>
  <si>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</si>
  <si>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</si>
  <si>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</si>
  <si>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</si>
  <si>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</si>
  <si>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</si>
  <si>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</si>
  <si>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</si>
  <si>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PPE_CF</t>
  </si>
  <si>
    <t>CFO</t>
  </si>
  <si>
    <t>CFI</t>
  </si>
  <si>
    <t>CFF</t>
  </si>
  <si>
    <t>NETCASHFLOW</t>
  </si>
  <si>
    <t>IRCTC</t>
  </si>
  <si>
    <t>LAST Year_FY_24</t>
  </si>
  <si>
    <t>GROWTH</t>
  </si>
  <si>
    <t>NA</t>
  </si>
  <si>
    <t>LIQUIDITY</t>
  </si>
  <si>
    <t>SOLVENCY</t>
  </si>
  <si>
    <t>PROFITABILITY</t>
  </si>
  <si>
    <t>VALUATIONS</t>
  </si>
  <si>
    <t>CFR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</si>
  <si>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</si>
  <si>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</si>
  <si>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</si>
  <si>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</si>
  <si>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</si>
  <si>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</si>
  <si>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</si>
  <si>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</si>
  <si>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</si>
  <si>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ROCE</t>
  </si>
  <si>
    <t>ROA</t>
  </si>
  <si>
    <t>PE</t>
  </si>
  <si>
    <t>F_YIELD</t>
  </si>
  <si>
    <t>BOOKVALUE</t>
  </si>
  <si>
    <t>PBV</t>
  </si>
  <si>
    <t>PEG</t>
  </si>
  <si>
    <t>OCFR</t>
  </si>
  <si>
    <t>CFD</t>
  </si>
  <si>
    <t>FCF IN CR</t>
  </si>
  <si>
    <t>weightage</t>
  </si>
  <si>
    <t>Company</t>
  </si>
  <si>
    <t>Price</t>
  </si>
  <si>
    <t>STR. WEIGHTAGE</t>
  </si>
  <si>
    <t>FACTOR</t>
  </si>
  <si>
    <t>TECH. WEIGHT</t>
  </si>
  <si>
    <t>ESTIMATE</t>
  </si>
  <si>
    <t>Year</t>
  </si>
  <si>
    <t>REVENUE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</si>
  <si>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</si>
  <si>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</si>
  <si>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</si>
  <si>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</si>
  <si>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</si>
  <si>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</si>
  <si>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</si>
  <si>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</si>
  <si>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</si>
  <si>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Margin</t>
  </si>
  <si>
    <t>LONG TERM</t>
  </si>
  <si>
    <t>RESULTS</t>
  </si>
  <si>
    <t>Q1_FY26</t>
  </si>
  <si>
    <t>Q1_FY25</t>
  </si>
  <si>
    <t>Q4_FY25</t>
  </si>
  <si>
    <t>Q4_FY24</t>
  </si>
  <si>
    <t>FY25</t>
  </si>
  <si>
    <t>FY24</t>
  </si>
  <si>
    <t>SEGMENT</t>
  </si>
  <si>
    <t>SHARE.</t>
  </si>
  <si>
    <t>COST</t>
  </si>
  <si>
    <t>M.SHARE</t>
  </si>
  <si>
    <t>CATERING</t>
  </si>
  <si>
    <t>Cattering</t>
  </si>
  <si>
    <t>TICKETING</t>
  </si>
  <si>
    <t>Tourism</t>
  </si>
  <si>
    <t>EBITDA</t>
  </si>
  <si>
    <t>FINANCE</t>
  </si>
  <si>
    <t>TOURISM</t>
  </si>
  <si>
    <t>EMPLOYEE</t>
  </si>
  <si>
    <t>RAILNEER</t>
  </si>
  <si>
    <t>OTHER COST</t>
  </si>
  <si>
    <t>EBTDA</t>
  </si>
  <si>
    <t>LESS INTERSEGMENT</t>
  </si>
  <si>
    <t>Stock In Trade</t>
  </si>
  <si>
    <t>MARGIN</t>
  </si>
  <si>
    <t>PBT</t>
  </si>
  <si>
    <t>MANUFACTURING</t>
  </si>
  <si>
    <t>EBTDA%</t>
  </si>
  <si>
    <t>TOTAL</t>
  </si>
  <si>
    <t>RAWMATERIAL</t>
  </si>
  <si>
    <t>D&amp;A</t>
  </si>
  <si>
    <t>Inventory</t>
  </si>
  <si>
    <t>Total</t>
  </si>
  <si>
    <t>TREND</t>
  </si>
  <si>
    <t>H1_FY25</t>
  </si>
  <si>
    <t>9M_FY25</t>
  </si>
  <si>
    <t>EST - 2026</t>
  </si>
  <si>
    <t>TRAIL</t>
  </si>
  <si>
    <t>Q2_FY25</t>
  </si>
  <si>
    <t>Q3_FY25</t>
  </si>
  <si>
    <t>EPS_26</t>
  </si>
  <si>
    <t>EPS_25</t>
  </si>
  <si>
    <t>TRAIL_EPS</t>
  </si>
  <si>
    <t>F_EPS_26</t>
  </si>
  <si>
    <t>SHP</t>
  </si>
  <si>
    <t>FY_23 %</t>
  </si>
  <si>
    <t>FY_19 %</t>
  </si>
  <si>
    <t>PROMOTER</t>
  </si>
  <si>
    <t>PE_25</t>
  </si>
  <si>
    <t>TRAIL_PE</t>
  </si>
  <si>
    <t>F_PE</t>
  </si>
  <si>
    <t>MF, INSURANCE</t>
  </si>
  <si>
    <t>FPI</t>
  </si>
  <si>
    <t>RETAIL</t>
  </si>
  <si>
    <t>RESEARVE</t>
  </si>
  <si>
    <t>LOW PRICE</t>
  </si>
  <si>
    <t>HIGH PRICE.</t>
  </si>
  <si>
    <t>LOW PE</t>
  </si>
  <si>
    <t>HIGH PE.</t>
  </si>
  <si>
    <t>BOOK VALUE</t>
  </si>
  <si>
    <t>LBV</t>
  </si>
  <si>
    <t>HBV</t>
  </si>
  <si>
    <t>OTHERS</t>
  </si>
  <si>
    <t>9 Years</t>
  </si>
  <si>
    <t>4 Years</t>
  </si>
  <si>
    <t>LAST YEAR</t>
  </si>
  <si>
    <t>ACTUAL</t>
  </si>
  <si>
    <t>Tr.FY_2026</t>
  </si>
  <si>
    <t>FY_2025</t>
  </si>
  <si>
    <t>FY_2024</t>
  </si>
  <si>
    <t>FY_2023</t>
  </si>
  <si>
    <t>Split 10:2</t>
  </si>
  <si>
    <t>FY_2022</t>
  </si>
  <si>
    <t>FY_2021</t>
  </si>
  <si>
    <t>FY_2020</t>
  </si>
  <si>
    <t>IPO</t>
  </si>
  <si>
    <t>FY_2019</t>
  </si>
  <si>
    <t>FY_2018</t>
  </si>
  <si>
    <t>FY_2017</t>
  </si>
  <si>
    <t>FY_2016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</si>
</sst>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4" x14ac:knownFonts="1">
    <font>
      <sz val="10"/>
      <color rgb="FF000000"/>
      <name val="Arial"/>
      <scheme val="minor"/>
    </font>
    <font>
      <sz val="11"/>
      <color theme="1"/>
      <name val="Calibri"/>
    </font>
    <font>
      <sz val="11"/>
      <color rgb="FFFFFFFF"/>
      <name val="Arial"/>
    </font>
    <font>
      <sz val="11"/>
      <color theme="1"/>
      <name val="Arial"/>
    </font>
    <font>
      <sz val="10"/>
      <color rgb="FF000000"/>
      <name val="Calibri"/>
    </font>
    <font>
      <b/>
      <i/>
      <sz val="11"/>
      <color theme="1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0"/>
      <color theme="1"/>
      <name val="Arial"/>
      <scheme val="minor"/>
    </font>
    <font>
      <b/>
      <sz val="14"/>
      <color rgb="FFFFFFFF"/>
      <name val="Calibri"/>
    </font>
    <font>
      <b/>
      <i/>
      <sz val="10"/>
      <color theme="1"/>
      <name val="Arial"/>
      <scheme val="minor"/>
    </font>
    <font>
      <b/>
      <sz val="24"/>
      <color theme="1"/>
      <name val="Calibri"/>
    </font>
    <font>
      <sz val="11"/>
      <color rgb="FF000000"/>
      <name val="Arial"/>
      <scheme val="minor"/>
    </font>
    <font>
      <sz val="11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84CEAA"/>
        <bgColor rgb="FF84CEAA"/>
      </patternFill>
    </fill>
    <fill>
      <patternFill patternType="solid">
        <fgColor rgb="FFD9D9D9"/>
        <bgColor rgb="FFD9D9D9"/>
      </patternFill>
    </fill>
    <fill>
      <patternFill patternType="solid">
        <fgColor rgb="FF57BB8A"/>
        <bgColor rgb="FF57BB8A"/>
      </patternFill>
    </fill>
    <fill>
      <patternFill patternType="solid">
        <fgColor rgb="FF65C194"/>
        <bgColor rgb="FF65C194"/>
      </patternFill>
    </fill>
    <fill>
      <patternFill patternType="solid">
        <fgColor rgb="FFE67C73"/>
        <bgColor rgb="FFE67C73"/>
      </patternFill>
    </fill>
    <fill>
      <patternFill patternType="solid">
        <fgColor rgb="FFFEFFFE"/>
        <bgColor rgb="FFFEFFFE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/>
    <xf numFmtId="0" fontId="1" fillId="0" borderId="3" xfId="0" applyFont="1" applyBorder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0" borderId="4" xfId="0" applyFont="1" applyBorder="1"/>
    <xf numFmtId="1" fontId="1" fillId="0" borderId="4" xfId="0" applyNumberFormat="1" applyFont="1" applyBorder="1"/>
    <xf numFmtId="0" fontId="5" fillId="3" borderId="4" xfId="0" applyFont="1" applyFill="1" applyBorder="1"/>
    <xf numFmtId="9" fontId="5" fillId="3" borderId="4" xfId="0" applyNumberFormat="1" applyFont="1" applyFill="1" applyBorder="1"/>
    <xf numFmtId="0" fontId="2" fillId="2" borderId="1" xfId="0" applyFont="1" applyFill="1" applyBorder="1"/>
    <xf numFmtId="0" fontId="6" fillId="4" borderId="0" xfId="0" applyFont="1" applyFill="1" applyAlignment="1">
      <alignment horizontal="left"/>
    </xf>
    <xf numFmtId="0" fontId="7" fillId="5" borderId="0" xfId="0" applyFont="1" applyFill="1"/>
    <xf numFmtId="0" fontId="4" fillId="0" borderId="0" xfId="0" applyFont="1"/>
    <xf numFmtId="9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right"/>
    </xf>
    <xf numFmtId="165" fontId="3" fillId="3" borderId="4" xfId="0" applyNumberFormat="1" applyFont="1" applyFill="1" applyBorder="1"/>
    <xf numFmtId="166" fontId="3" fillId="3" borderId="4" xfId="0" applyNumberFormat="1" applyFont="1" applyFill="1" applyBorder="1"/>
    <xf numFmtId="1" fontId="3" fillId="3" borderId="4" xfId="0" applyNumberFormat="1" applyFont="1" applyFill="1" applyBorder="1"/>
    <xf numFmtId="0" fontId="3" fillId="3" borderId="4" xfId="0" applyFont="1" applyFill="1" applyBorder="1"/>
    <xf numFmtId="9" fontId="3" fillId="3" borderId="4" xfId="0" applyNumberFormat="1" applyFont="1" applyFill="1" applyBorder="1" applyAlignment="1">
      <alignment horizontal="right"/>
    </xf>
    <xf numFmtId="166" fontId="3" fillId="3" borderId="4" xfId="0" applyNumberFormat="1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1" fontId="1" fillId="0" borderId="0" xfId="0" applyNumberFormat="1" applyFont="1"/>
    <xf numFmtId="0" fontId="6" fillId="4" borderId="2" xfId="0" applyFont="1" applyFill="1" applyBorder="1"/>
    <xf numFmtId="1" fontId="1" fillId="0" borderId="4" xfId="0" applyNumberFormat="1" applyFont="1" applyBorder="1" applyAlignment="1">
      <alignment horizontal="right"/>
    </xf>
    <xf numFmtId="10" fontId="3" fillId="6" borderId="4" xfId="0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10" fontId="8" fillId="0" borderId="0" xfId="0" applyNumberFormat="1" applyFont="1"/>
    <xf numFmtId="0" fontId="8" fillId="0" borderId="4" xfId="0" applyFont="1" applyBorder="1" applyAlignment="1">
      <alignment horizontal="left"/>
    </xf>
    <xf numFmtId="3" fontId="8" fillId="0" borderId="4" xfId="0" applyNumberFormat="1" applyFont="1" applyBorder="1"/>
    <xf numFmtId="1" fontId="3" fillId="7" borderId="4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164" fontId="8" fillId="0" borderId="4" xfId="0" applyNumberFormat="1" applyFont="1" applyBorder="1"/>
    <xf numFmtId="1" fontId="8" fillId="0" borderId="4" xfId="0" applyNumberFormat="1" applyFont="1" applyBorder="1"/>
    <xf numFmtId="0" fontId="8" fillId="0" borderId="0" xfId="0" applyFont="1"/>
    <xf numFmtId="9" fontId="8" fillId="0" borderId="0" xfId="0" applyNumberFormat="1" applyFont="1"/>
    <xf numFmtId="0" fontId="2" fillId="2" borderId="4" xfId="0" applyFont="1" applyFill="1" applyBorder="1"/>
    <xf numFmtId="0" fontId="8" fillId="0" borderId="4" xfId="0" applyFont="1" applyBorder="1"/>
    <xf numFmtId="166" fontId="8" fillId="0" borderId="4" xfId="0" applyNumberFormat="1" applyFont="1" applyBorder="1"/>
    <xf numFmtId="9" fontId="8" fillId="0" borderId="4" xfId="0" applyNumberFormat="1" applyFont="1" applyBorder="1"/>
    <xf numFmtId="0" fontId="9" fillId="4" borderId="4" xfId="0" applyFont="1" applyFill="1" applyBorder="1"/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/>
    <xf numFmtId="0" fontId="9" fillId="4" borderId="5" xfId="0" applyFont="1" applyFill="1" applyBorder="1"/>
    <xf numFmtId="0" fontId="1" fillId="0" borderId="2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8" fillId="0" borderId="0" xfId="0" applyNumberFormat="1" applyFont="1"/>
    <xf numFmtId="1" fontId="1" fillId="0" borderId="2" xfId="0" applyNumberFormat="1" applyFont="1" applyBorder="1" applyAlignment="1">
      <alignment horizontal="right"/>
    </xf>
    <xf numFmtId="9" fontId="1" fillId="8" borderId="2" xfId="0" applyNumberFormat="1" applyFont="1" applyFill="1" applyBorder="1" applyAlignment="1">
      <alignment horizontal="right"/>
    </xf>
    <xf numFmtId="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0" fillId="0" borderId="4" xfId="0" applyFont="1" applyBorder="1"/>
    <xf numFmtId="9" fontId="10" fillId="0" borderId="4" xfId="0" applyNumberFormat="1" applyFont="1" applyBorder="1"/>
    <xf numFmtId="1" fontId="8" fillId="0" borderId="0" xfId="0" applyNumberFormat="1" applyFont="1"/>
    <xf numFmtId="0" fontId="9" fillId="4" borderId="2" xfId="0" applyFont="1" applyFill="1" applyBorder="1"/>
    <xf numFmtId="0" fontId="9" fillId="4" borderId="6" xfId="0" applyFont="1" applyFill="1" applyBorder="1" applyAlignment="1">
      <alignment horizontal="center"/>
    </xf>
    <xf numFmtId="0" fontId="3" fillId="0" borderId="5" xfId="0" applyFont="1" applyBorder="1"/>
    <xf numFmtId="166" fontId="3" fillId="8" borderId="2" xfId="0" applyNumberFormat="1" applyFont="1" applyFill="1" applyBorder="1" applyAlignment="1">
      <alignment horizontal="right"/>
    </xf>
    <xf numFmtId="165" fontId="3" fillId="0" borderId="5" xfId="0" applyNumberFormat="1" applyFont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166" fontId="1" fillId="0" borderId="4" xfId="0" applyNumberFormat="1" applyFont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" fillId="0" borderId="5" xfId="0" applyFont="1" applyBorder="1"/>
    <xf numFmtId="9" fontId="1" fillId="0" borderId="4" xfId="0" applyNumberFormat="1" applyFont="1" applyBorder="1" applyAlignment="1">
      <alignment horizontal="right"/>
    </xf>
    <xf numFmtId="1" fontId="3" fillId="10" borderId="5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1" fontId="3" fillId="11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8" fillId="0" borderId="4" xfId="0" applyNumberFormat="1" applyFont="1" applyBorder="1"/>
    <xf numFmtId="0" fontId="10" fillId="0" borderId="7" xfId="0" applyFont="1" applyBorder="1"/>
    <xf numFmtId="1" fontId="10" fillId="0" borderId="7" xfId="0" applyNumberFormat="1" applyFont="1" applyBorder="1"/>
    <xf numFmtId="9" fontId="10" fillId="0" borderId="7" xfId="0" applyNumberFormat="1" applyFont="1" applyBorder="1"/>
    <xf numFmtId="165" fontId="8" fillId="0" borderId="0" xfId="0" applyNumberFormat="1" applyFont="1"/>
    <xf numFmtId="0" fontId="12" fillId="5" borderId="4" xfId="0" applyFont="1" applyFill="1" applyBorder="1" applyAlignment="1">
      <alignment horizontal="left"/>
    </xf>
    <xf numFmtId="0" fontId="12" fillId="0" borderId="4" xfId="0" applyFont="1" applyBorder="1"/>
    <xf numFmtId="165" fontId="12" fillId="0" borderId="4" xfId="0" applyNumberFormat="1" applyFont="1" applyBorder="1"/>
    <xf numFmtId="0" fontId="13" fillId="0" borderId="4" xfId="0" applyFont="1" applyBorder="1"/>
    <xf numFmtId="165" fontId="13" fillId="0" borderId="4" xfId="0" applyNumberFormat="1" applyFont="1" applyBorder="1"/>
    <xf numFmtId="165" fontId="11" fillId="3" borderId="0" xfId="0" applyNumberFormat="1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857250</xdr:colOff>
      <xdr:row>57</xdr:row>
      <xdr:rowOff>200025</xdr:rowOff>
    </xdr:from>
    <xdr:ext cx="10039350" cy="4038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5"/>
  <sheetViews>
    <sheetView showGridLines="0" tabSelected="1" workbookViewId="0"/>
  </sheetViews>
  <sheetFormatPr defaultColWidth="12.6640625" defaultRowHeight="15.75" customHeight="1" x14ac:dyDescent="0.25"/>
  <cols>
    <col min="1" max="1" width="11.21875" customWidth="1"/>
    <col min="2" max="2" width="19.109375" customWidth="1"/>
    <col min="3" max="3" width="16.6640625" customWidth="1"/>
    <col min="4" max="4" width="10.109375" customWidth="1"/>
    <col min="5" max="5" width="11" customWidth="1"/>
    <col min="6" max="6" width="11.6640625" customWidth="1"/>
    <col min="7" max="7" width="13.77734375" customWidth="1"/>
    <col min="8" max="8" width="11.33203125" customWidth="1"/>
    <col min="9" max="9" width="9.77734375" customWidth="1"/>
    <col min="10" max="10" width="14.33203125" customWidth="1"/>
    <col min="11" max="11" width="12.21875" customWidth="1"/>
    <col min="12" max="12" width="11.21875" customWidth="1"/>
    <col min="13" max="13" width="13.44140625" customWidth="1"/>
    <col min="14" max="14" width="13.88671875" customWidth="1"/>
    <col min="15" max="15" width="12.109375" customWidth="1"/>
    <col min="16" max="16" width="15.6640625" customWidth="1"/>
    <col min="17" max="17" width="16.88671875" customWidth="1"/>
    <col min="18" max="18" width="15.33203125" customWidth="1"/>
    <col min="19" max="20" width="10.109375" customWidth="1"/>
    <col min="21" max="21" width="13.21875" customWidth="1"/>
    <col min="22" max="22" width="10.88671875" customWidth="1"/>
    <col min="23" max="23" width="12.6640625" customWidth="1"/>
    <col min="24" max="24" width="10.109375" customWidth="1"/>
    <col min="25" max="25" width="9.6640625" customWidth="1"/>
    <col min="26" max="27" width="10" customWidth="1"/>
    <col min="28" max="29" width="10.109375" customWidth="1"/>
    <col min="30" max="33" width="7.6640625" customWidth="1"/>
  </cols>
  <sheetData>
    <row r="1" spans="1:33" ht="15.75" customHeight="1" x14ac:dyDescent="0.3">
      <c r="A1" s="1"/>
      <c r="B1" s="2"/>
      <c r="C1" s="2"/>
      <c r="D1" s="2"/>
      <c r="E1" s="3" t="s">
        <v>0</v>
      </c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1"/>
      <c r="R1" s="3" t="s">
        <v>2</v>
      </c>
      <c r="S1" s="1"/>
      <c r="T1" s="1"/>
      <c r="U1" s="1"/>
      <c r="V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4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4"/>
      <c r="B3" s="5" t="s">
        <v>24</v>
      </c>
      <c r="C3" s="6">
        <f ca="1">IFERROR(__xludf.DUMMYFUNCTION("GOOGLEFINANCE(""nse:""&amp;$B$3,""price"")"),711.35)</f>
        <v>711.35</v>
      </c>
      <c r="D3" s="6">
        <f ca="1">IFERROR(__xludf.DUMMYFUNCTION("GOOGLEFINANCE(""nse:""&amp;$B$3,""MARKETCAP"")/10000000"),55902.5191538)</f>
        <v>55902.5191538</v>
      </c>
      <c r="E3" s="7">
        <f t="shared" ref="E3:G3" si="0">C47</f>
        <v>4659</v>
      </c>
      <c r="F3" s="7">
        <f t="shared" si="0"/>
        <v>1336</v>
      </c>
      <c r="G3" s="8">
        <f t="shared" si="0"/>
        <v>16.72</v>
      </c>
      <c r="H3" s="6">
        <v>160</v>
      </c>
      <c r="I3" s="6">
        <v>3503</v>
      </c>
      <c r="J3" s="7">
        <v>0</v>
      </c>
      <c r="K3" s="7">
        <v>90</v>
      </c>
      <c r="L3" s="7">
        <v>2</v>
      </c>
      <c r="M3" s="6">
        <v>5680</v>
      </c>
      <c r="N3" s="6">
        <v>2803</v>
      </c>
      <c r="O3" s="6">
        <v>6800</v>
      </c>
      <c r="P3" s="6">
        <f>333+2803</f>
        <v>3136</v>
      </c>
      <c r="Q3" s="6">
        <v>1734</v>
      </c>
      <c r="R3" s="9">
        <v>48</v>
      </c>
      <c r="S3" s="10">
        <v>810</v>
      </c>
      <c r="T3" s="11">
        <v>-228</v>
      </c>
      <c r="U3" s="11">
        <v>-910</v>
      </c>
      <c r="V3" s="12">
        <f t="shared" ref="V3:V4" si="1">SUM(S3:U3)</f>
        <v>-328</v>
      </c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3">
      <c r="A4" s="1"/>
      <c r="B4" s="12" t="s">
        <v>25</v>
      </c>
      <c r="C4" s="12">
        <v>727.5</v>
      </c>
      <c r="D4" s="13">
        <f ca="1">C4*D3/C3</f>
        <v>57171.691409839739</v>
      </c>
      <c r="E4" s="12">
        <v>4675</v>
      </c>
      <c r="F4" s="12">
        <v>1313</v>
      </c>
      <c r="G4" s="12">
        <v>16.440000000000001</v>
      </c>
      <c r="H4" s="12">
        <v>160</v>
      </c>
      <c r="I4" s="12">
        <v>3069</v>
      </c>
      <c r="J4" s="12">
        <v>0</v>
      </c>
      <c r="K4" s="12">
        <v>61</v>
      </c>
      <c r="L4" s="12">
        <v>2</v>
      </c>
      <c r="M4" s="12">
        <v>5144</v>
      </c>
      <c r="N4" s="12">
        <v>2631</v>
      </c>
      <c r="O4" s="12">
        <v>6091</v>
      </c>
      <c r="P4" s="12">
        <f>230+2631</f>
        <v>2861</v>
      </c>
      <c r="Q4" s="12">
        <v>1374</v>
      </c>
      <c r="R4" s="9">
        <v>232</v>
      </c>
      <c r="S4" s="10">
        <v>882</v>
      </c>
      <c r="T4" s="11">
        <v>-200</v>
      </c>
      <c r="U4" s="11">
        <v>404</v>
      </c>
      <c r="V4" s="12">
        <f t="shared" si="1"/>
        <v>1086</v>
      </c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3">
      <c r="A5" s="1"/>
      <c r="B5" s="14" t="s">
        <v>26</v>
      </c>
      <c r="C5" s="15">
        <f t="shared" ref="C5:I5" ca="1" si="2">(C3/C4)-1</f>
        <v>-2.2199312714776598E-2</v>
      </c>
      <c r="D5" s="15">
        <f t="shared" ca="1" si="2"/>
        <v>-2.2199312714776598E-2</v>
      </c>
      <c r="E5" s="15">
        <f t="shared" si="2"/>
        <v>-3.4224598930481243E-3</v>
      </c>
      <c r="F5" s="15">
        <f t="shared" si="2"/>
        <v>1.7517136329017413E-2</v>
      </c>
      <c r="G5" s="15">
        <f t="shared" si="2"/>
        <v>1.703163017031617E-2</v>
      </c>
      <c r="H5" s="15">
        <f t="shared" si="2"/>
        <v>0</v>
      </c>
      <c r="I5" s="15">
        <f t="shared" si="2"/>
        <v>0.14141414141414144</v>
      </c>
      <c r="J5" s="15"/>
      <c r="K5" s="15">
        <f t="shared" ref="K5:S5" si="3">(K3/K4)-1</f>
        <v>0.47540983606557385</v>
      </c>
      <c r="L5" s="15">
        <f t="shared" si="3"/>
        <v>0</v>
      </c>
      <c r="M5" s="15">
        <f t="shared" si="3"/>
        <v>0.10419906687402802</v>
      </c>
      <c r="N5" s="15">
        <f t="shared" si="3"/>
        <v>6.5374382364120187E-2</v>
      </c>
      <c r="O5" s="15">
        <f t="shared" si="3"/>
        <v>0.1164012477425711</v>
      </c>
      <c r="P5" s="15">
        <f t="shared" si="3"/>
        <v>9.6120237679133247E-2</v>
      </c>
      <c r="Q5" s="15">
        <f t="shared" si="3"/>
        <v>0.26200873362445409</v>
      </c>
      <c r="R5" s="15">
        <f t="shared" si="3"/>
        <v>-0.7931034482758621</v>
      </c>
      <c r="S5" s="15">
        <f t="shared" si="3"/>
        <v>-8.1632653061224469E-2</v>
      </c>
      <c r="T5" s="14" t="s">
        <v>27</v>
      </c>
      <c r="U5" s="14" t="s">
        <v>27</v>
      </c>
      <c r="V5" s="15">
        <f>(V3/V4)-1</f>
        <v>-1.3020257826887662</v>
      </c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75" customHeight="1" x14ac:dyDescent="0.3">
      <c r="A7" s="1"/>
      <c r="B7" s="16" t="s">
        <v>26</v>
      </c>
      <c r="C7" s="2"/>
      <c r="D7" s="16" t="s">
        <v>28</v>
      </c>
      <c r="E7" s="2"/>
      <c r="F7" s="2"/>
      <c r="G7" s="16" t="s">
        <v>29</v>
      </c>
      <c r="H7" s="2"/>
      <c r="I7" s="2"/>
      <c r="J7" s="16" t="s">
        <v>30</v>
      </c>
      <c r="K7" s="2"/>
      <c r="L7" s="2"/>
      <c r="M7" s="16" t="s">
        <v>31</v>
      </c>
      <c r="N7" s="2"/>
      <c r="O7" s="2"/>
      <c r="P7" s="2"/>
      <c r="Q7" s="1"/>
      <c r="R7" s="17" t="s">
        <v>32</v>
      </c>
      <c r="S7" s="18"/>
      <c r="T7" s="1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 x14ac:dyDescent="0.3">
      <c r="A8" s="4"/>
      <c r="B8" s="20" t="s">
        <v>33</v>
      </c>
      <c r="C8" s="20" t="s">
        <v>34</v>
      </c>
      <c r="D8" s="21" t="s">
        <v>35</v>
      </c>
      <c r="E8" s="22" t="s">
        <v>36</v>
      </c>
      <c r="F8" s="20" t="s">
        <v>37</v>
      </c>
      <c r="G8" s="20" t="s">
        <v>38</v>
      </c>
      <c r="H8" s="23" t="s">
        <v>39</v>
      </c>
      <c r="I8" s="20" t="s">
        <v>40</v>
      </c>
      <c r="J8" s="22" t="s">
        <v>41</v>
      </c>
      <c r="K8" s="24" t="s">
        <v>42</v>
      </c>
      <c r="L8" s="23" t="s">
        <v>43</v>
      </c>
      <c r="M8" s="24" t="s">
        <v>44</v>
      </c>
      <c r="N8" s="25" t="s">
        <v>45</v>
      </c>
      <c r="O8" s="25" t="s">
        <v>46</v>
      </c>
      <c r="P8" s="25" t="s">
        <v>47</v>
      </c>
      <c r="Q8" s="25" t="s">
        <v>48</v>
      </c>
      <c r="R8" s="25" t="s">
        <v>49</v>
      </c>
      <c r="S8" s="25" t="s">
        <v>50</v>
      </c>
      <c r="T8" s="25" t="s">
        <v>51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75" customHeight="1" x14ac:dyDescent="0.3">
      <c r="A9" s="4"/>
      <c r="B9" s="26">
        <f>F37</f>
        <v>-1.4E-2</v>
      </c>
      <c r="C9" s="26">
        <f>F39</f>
        <v>7.0000000000000007E-2</v>
      </c>
      <c r="D9" s="27">
        <f>F38</f>
        <v>0.28499999999999998</v>
      </c>
      <c r="E9" s="28">
        <f>M3/N3</f>
        <v>2.0264002854084908</v>
      </c>
      <c r="F9" s="29">
        <f>(Q3/E3)*365</f>
        <v>135.84674822923375</v>
      </c>
      <c r="G9" s="26">
        <f>J3/(I3+H3)</f>
        <v>0</v>
      </c>
      <c r="H9" s="26">
        <f>P3/O3</f>
        <v>0.4611764705882353</v>
      </c>
      <c r="I9" s="29">
        <f>C32</f>
        <v>96.5</v>
      </c>
      <c r="J9" s="26">
        <f>F3/(H3+I3)</f>
        <v>0.36472836472836473</v>
      </c>
      <c r="K9" s="26" t="e">
        <f>#REF!/(O3-N3)</f>
        <v>#REF!</v>
      </c>
      <c r="L9" s="26">
        <f>F3/O3</f>
        <v>0.19647058823529412</v>
      </c>
      <c r="M9" s="29">
        <f ca="1">C3/G3</f>
        <v>42.544856459330148</v>
      </c>
      <c r="N9" s="27">
        <f ca="1">G3/C3</f>
        <v>2.3504603922119911E-2</v>
      </c>
      <c r="O9" s="29">
        <f>(H3+I3)/(H3/L3)</f>
        <v>45.787500000000001</v>
      </c>
      <c r="P9" s="29">
        <f ca="1">C3/O9</f>
        <v>15.535899535899535</v>
      </c>
      <c r="Q9" s="28">
        <f ca="1">S37</f>
        <v>4.0743375442744476</v>
      </c>
      <c r="R9" s="28">
        <f>S3-N3</f>
        <v>-1993</v>
      </c>
      <c r="S9" s="28">
        <f>S3-J3</f>
        <v>810</v>
      </c>
      <c r="T9" s="29">
        <f>S3-R3</f>
        <v>762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75" customHeigh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.75" customHeight="1" x14ac:dyDescent="0.3">
      <c r="A11" s="31" t="s">
        <v>52</v>
      </c>
      <c r="B11" s="31" t="s">
        <v>53</v>
      </c>
      <c r="C11" s="31" t="s">
        <v>54</v>
      </c>
      <c r="D11" s="31" t="s">
        <v>55</v>
      </c>
      <c r="E11" s="31" t="s">
        <v>56</v>
      </c>
      <c r="F11" s="31" t="s">
        <v>57</v>
      </c>
    </row>
    <row r="12" spans="1:33" ht="15.75" customHeight="1" x14ac:dyDescent="0.3">
      <c r="B12" s="5" t="s">
        <v>24</v>
      </c>
      <c r="C12" s="32">
        <f ca="1">IFERROR(__xludf.DUMMYFUNCTION("GOOGLEFINANCE(""NSE:""&amp;B12,""price"")"),711.35)</f>
        <v>711.35</v>
      </c>
      <c r="D12" s="33">
        <v>1.4999999999999999E-2</v>
      </c>
      <c r="E12" s="34">
        <f ca="1">IFERROR(MAX(0.5, MIN(1,0.75 - 0.3*((C12/M17)-1))),"")</f>
        <v>0.850263669589433</v>
      </c>
      <c r="F12" s="35">
        <f ca="1">D12*E12</f>
        <v>1.2753955043841494E-2</v>
      </c>
    </row>
    <row r="13" spans="1:33" x14ac:dyDescent="0.25">
      <c r="S13" s="36"/>
    </row>
    <row r="14" spans="1:33" x14ac:dyDescent="0.25">
      <c r="A14" s="16" t="s">
        <v>58</v>
      </c>
      <c r="B14" s="16" t="s">
        <v>59</v>
      </c>
      <c r="C14" s="16" t="s">
        <v>60</v>
      </c>
      <c r="D14" s="16" t="s">
        <v>7</v>
      </c>
      <c r="E14" s="16" t="s">
        <v>8</v>
      </c>
      <c r="F14" s="16" t="s">
        <v>61</v>
      </c>
      <c r="G14" s="16" t="s">
        <v>62</v>
      </c>
      <c r="H14" s="16" t="s">
        <v>63</v>
      </c>
      <c r="I14" s="16" t="s">
        <v>64</v>
      </c>
      <c r="J14" s="16" t="s">
        <v>62</v>
      </c>
      <c r="K14" s="16" t="s">
        <v>65</v>
      </c>
      <c r="L14" s="16" t="s">
        <v>64</v>
      </c>
      <c r="M14" s="16" t="s">
        <v>66</v>
      </c>
    </row>
    <row r="15" spans="1:33" x14ac:dyDescent="0.25">
      <c r="B15" s="37" t="s">
        <v>67</v>
      </c>
      <c r="C15" s="38">
        <f t="shared" ref="C15:E15" si="4">FV(12%,5,0,-C16,0)</f>
        <v>15130.468963818699</v>
      </c>
      <c r="D15" s="38">
        <f t="shared" si="4"/>
        <v>4039.8352133395929</v>
      </c>
      <c r="E15" s="38">
        <f t="shared" si="4"/>
        <v>50.594199165442362</v>
      </c>
      <c r="F15" s="38">
        <f>FV(9.5%,5,0,-F16,0)</f>
        <v>148.01863159975557</v>
      </c>
      <c r="G15" s="39">
        <f t="shared" ref="G15:G17" si="5">40*E15</f>
        <v>2023.7679666176946</v>
      </c>
      <c r="H15" s="39">
        <f t="shared" ref="H15:H17" si="6">AVERAGE(G15,I15)</f>
        <v>2909.1664520129361</v>
      </c>
      <c r="I15" s="39">
        <f t="shared" ref="I15:I17" si="7">75*E15</f>
        <v>3794.5649374081772</v>
      </c>
      <c r="J15" s="40">
        <f t="shared" ref="J15:J17" si="8">F15*14</f>
        <v>2072.260842396578</v>
      </c>
      <c r="K15" s="39">
        <f t="shared" ref="K15:K17" si="9">AVERAGE(J15,L15)</f>
        <v>2886.3633161952339</v>
      </c>
      <c r="L15" s="40">
        <f t="shared" ref="L15:L17" si="10">F15*25</f>
        <v>3700.4657899938893</v>
      </c>
      <c r="M15" s="39">
        <f t="shared" ref="M15:M17" si="11">H15*60%+K15*40%</f>
        <v>2900.0451976858549</v>
      </c>
    </row>
    <row r="16" spans="1:33" x14ac:dyDescent="0.25">
      <c r="B16" s="37" t="s">
        <v>68</v>
      </c>
      <c r="C16" s="38">
        <f>FV(C20,4,0,-C17,0)</f>
        <v>8585.434429687497</v>
      </c>
      <c r="D16" s="38">
        <f t="shared" ref="D16:D17" si="12">C16*F20</f>
        <v>2292.3109927265618</v>
      </c>
      <c r="E16" s="38">
        <f>(D16*E17)/D17</f>
        <v>28.708507350047537</v>
      </c>
      <c r="F16" s="38">
        <f>FV(12%,4,0,-F17,0)</f>
        <v>94.025529769328671</v>
      </c>
      <c r="G16" s="39">
        <f t="shared" si="5"/>
        <v>1148.3402940019014</v>
      </c>
      <c r="H16" s="39">
        <f t="shared" si="6"/>
        <v>1650.7391726277333</v>
      </c>
      <c r="I16" s="39">
        <f t="shared" si="7"/>
        <v>2153.1380512535652</v>
      </c>
      <c r="J16" s="40">
        <f t="shared" si="8"/>
        <v>1316.3574167706015</v>
      </c>
      <c r="K16" s="39">
        <f t="shared" si="9"/>
        <v>1833.4978305019092</v>
      </c>
      <c r="L16" s="40">
        <f t="shared" si="10"/>
        <v>2350.6382442332169</v>
      </c>
      <c r="M16" s="39">
        <f t="shared" si="11"/>
        <v>1723.8426357774038</v>
      </c>
    </row>
    <row r="17" spans="1:27" x14ac:dyDescent="0.25">
      <c r="B17" s="37" t="s">
        <v>69</v>
      </c>
      <c r="C17" s="38">
        <f>FV(C21,1,0,-C48,0)</f>
        <v>4908.75</v>
      </c>
      <c r="D17" s="38">
        <f t="shared" si="12"/>
        <v>1394.0849999999998</v>
      </c>
      <c r="E17" s="41">
        <f>FV(E21,1,0,-E48,0)</f>
        <v>17.459280000000003</v>
      </c>
      <c r="F17" s="42">
        <f>(E17*80%)+M48</f>
        <v>59.754924000000003</v>
      </c>
      <c r="G17" s="39">
        <f t="shared" si="5"/>
        <v>698.37120000000016</v>
      </c>
      <c r="H17" s="39">
        <f t="shared" si="6"/>
        <v>1003.9086000000002</v>
      </c>
      <c r="I17" s="39">
        <f t="shared" si="7"/>
        <v>1309.4460000000001</v>
      </c>
      <c r="J17" s="40">
        <f t="shared" si="8"/>
        <v>836.56893600000001</v>
      </c>
      <c r="K17" s="39">
        <f t="shared" si="9"/>
        <v>1165.221018</v>
      </c>
      <c r="L17" s="40">
        <f t="shared" si="10"/>
        <v>1493.8731</v>
      </c>
      <c r="M17" s="39">
        <f t="shared" si="11"/>
        <v>1068.4335672000002</v>
      </c>
    </row>
    <row r="18" spans="1:27" x14ac:dyDescent="0.25">
      <c r="W18" s="43"/>
      <c r="X18" s="44"/>
    </row>
    <row r="19" spans="1:27" x14ac:dyDescent="0.25">
      <c r="A19" s="16" t="s">
        <v>58</v>
      </c>
      <c r="B19" s="45" t="s">
        <v>59</v>
      </c>
      <c r="C19" s="45" t="s">
        <v>60</v>
      </c>
      <c r="D19" s="45" t="s">
        <v>7</v>
      </c>
      <c r="E19" s="45" t="s">
        <v>8</v>
      </c>
      <c r="F19" s="45" t="s">
        <v>70</v>
      </c>
      <c r="W19" s="43"/>
      <c r="X19" s="44"/>
    </row>
    <row r="20" spans="1:27" x14ac:dyDescent="0.25">
      <c r="B20" s="46" t="s">
        <v>71</v>
      </c>
      <c r="C20" s="47">
        <v>0.15</v>
      </c>
      <c r="D20" s="47">
        <v>0.15</v>
      </c>
      <c r="E20" s="47">
        <v>0.15</v>
      </c>
      <c r="F20" s="48">
        <v>0.26700000000000002</v>
      </c>
      <c r="W20" s="44"/>
      <c r="X20" s="44"/>
      <c r="Y20" s="44"/>
    </row>
    <row r="21" spans="1:27" x14ac:dyDescent="0.25">
      <c r="B21" s="46" t="s">
        <v>69</v>
      </c>
      <c r="C21" s="47">
        <v>0.05</v>
      </c>
      <c r="D21" s="47">
        <f>(D17/D48)-1</f>
        <v>6.1755521706016614E-2</v>
      </c>
      <c r="E21" s="47">
        <v>6.2E-2</v>
      </c>
      <c r="F21" s="48">
        <v>0.28399999999999997</v>
      </c>
    </row>
    <row r="23" spans="1:27" ht="15.75" customHeight="1" x14ac:dyDescent="0.35">
      <c r="A23" s="49" t="s">
        <v>72</v>
      </c>
      <c r="B23" s="49" t="s">
        <v>72</v>
      </c>
      <c r="C23" s="50" t="s">
        <v>73</v>
      </c>
      <c r="D23" s="50" t="s">
        <v>74</v>
      </c>
      <c r="E23" s="51" t="s">
        <v>26</v>
      </c>
      <c r="G23" s="49" t="s">
        <v>75</v>
      </c>
      <c r="H23" s="49" t="s">
        <v>75</v>
      </c>
      <c r="I23" s="49" t="s">
        <v>76</v>
      </c>
      <c r="J23" s="51" t="s">
        <v>26</v>
      </c>
      <c r="L23" s="49" t="s">
        <v>72</v>
      </c>
      <c r="M23" s="49" t="s">
        <v>77</v>
      </c>
      <c r="N23" s="49" t="s">
        <v>78</v>
      </c>
      <c r="O23" s="51" t="s">
        <v>26</v>
      </c>
      <c r="Q23" s="16" t="s">
        <v>79</v>
      </c>
      <c r="R23" s="50" t="s">
        <v>73</v>
      </c>
      <c r="S23" s="50" t="s">
        <v>74</v>
      </c>
      <c r="T23" s="16" t="s">
        <v>80</v>
      </c>
      <c r="U23" s="16" t="s">
        <v>26</v>
      </c>
      <c r="W23" s="49" t="s">
        <v>81</v>
      </c>
      <c r="X23" s="50" t="s">
        <v>73</v>
      </c>
      <c r="Y23" s="50" t="s">
        <v>74</v>
      </c>
      <c r="Z23" s="51" t="s">
        <v>82</v>
      </c>
      <c r="AA23" s="51" t="s">
        <v>26</v>
      </c>
    </row>
    <row r="24" spans="1:27" ht="15.75" customHeight="1" x14ac:dyDescent="0.35">
      <c r="B24" s="52" t="s">
        <v>6</v>
      </c>
      <c r="C24" s="53">
        <v>1160</v>
      </c>
      <c r="D24" s="53">
        <v>1176</v>
      </c>
      <c r="E24" s="54">
        <f t="shared" ref="E24:E29" si="13">(C24/D24)^(1/1)-1</f>
        <v>-1.3605442176870763E-2</v>
      </c>
      <c r="F24" s="55"/>
      <c r="G24" s="52" t="s">
        <v>6</v>
      </c>
      <c r="H24" s="53">
        <v>1268</v>
      </c>
      <c r="I24" s="53">
        <v>1152</v>
      </c>
      <c r="J24" s="54">
        <f t="shared" ref="J24:J28" si="14">(H24/I24)^(1/1)-1</f>
        <v>0.10069444444444442</v>
      </c>
      <c r="K24" s="36"/>
      <c r="L24" s="52" t="s">
        <v>6</v>
      </c>
      <c r="M24" s="53">
        <v>4675</v>
      </c>
      <c r="N24" s="53">
        <v>4260</v>
      </c>
      <c r="O24" s="54">
        <v>9.7417840375586762E-2</v>
      </c>
      <c r="Q24" s="46" t="s">
        <v>83</v>
      </c>
      <c r="R24" s="46">
        <v>547</v>
      </c>
      <c r="S24" s="46">
        <v>559</v>
      </c>
      <c r="T24" s="48">
        <f t="shared" ref="T24:T28" si="15">R24/$R$30</f>
        <v>0.47565217391304349</v>
      </c>
      <c r="U24" s="48">
        <f t="shared" ref="U24:U28" si="16">(R24/S24)^(1/1)-1</f>
        <v>-2.146690518783545E-2</v>
      </c>
      <c r="W24" s="52" t="s">
        <v>84</v>
      </c>
      <c r="X24" s="56">
        <v>419</v>
      </c>
      <c r="Y24" s="56">
        <v>394</v>
      </c>
      <c r="Z24" s="44">
        <f t="shared" ref="Z24:Z34" si="17">X24/$X$34</f>
        <v>0.53897607409313097</v>
      </c>
      <c r="AA24" s="57">
        <f t="shared" ref="AA24:AA34" si="18">(X24/Y24)^(1/1)-1</f>
        <v>6.3451776649746217E-2</v>
      </c>
    </row>
    <row r="25" spans="1:27" ht="15.75" customHeight="1" x14ac:dyDescent="0.35">
      <c r="B25" s="52" t="s">
        <v>81</v>
      </c>
      <c r="C25" s="53">
        <v>778</v>
      </c>
      <c r="D25" s="53">
        <v>759</v>
      </c>
      <c r="E25" s="58">
        <f t="shared" si="13"/>
        <v>2.5032938076416267E-2</v>
      </c>
      <c r="G25" s="52" t="s">
        <v>81</v>
      </c>
      <c r="H25" s="53">
        <v>903</v>
      </c>
      <c r="I25" s="53">
        <v>810</v>
      </c>
      <c r="J25" s="58">
        <f t="shared" si="14"/>
        <v>0.11481481481481493</v>
      </c>
      <c r="L25" s="52" t="s">
        <v>81</v>
      </c>
      <c r="M25" s="53">
        <v>3194</v>
      </c>
      <c r="N25" s="53">
        <v>2870</v>
      </c>
      <c r="O25" s="58">
        <v>0.11289198606271778</v>
      </c>
      <c r="Q25" s="46" t="s">
        <v>85</v>
      </c>
      <c r="R25" s="46">
        <v>111</v>
      </c>
      <c r="S25" s="46">
        <v>112</v>
      </c>
      <c r="T25" s="48">
        <f t="shared" si="15"/>
        <v>9.6521739130434783E-2</v>
      </c>
      <c r="U25" s="48">
        <f t="shared" si="16"/>
        <v>-8.9285714285713969E-3</v>
      </c>
      <c r="W25" s="52" t="s">
        <v>86</v>
      </c>
      <c r="X25" s="53">
        <v>113</v>
      </c>
      <c r="Y25" s="53">
        <v>95</v>
      </c>
      <c r="Z25" s="44">
        <f t="shared" si="17"/>
        <v>0.1453563159248778</v>
      </c>
      <c r="AA25" s="57">
        <f t="shared" si="18"/>
        <v>0.18947368421052624</v>
      </c>
    </row>
    <row r="26" spans="1:27" ht="18" x14ac:dyDescent="0.35">
      <c r="B26" s="52" t="s">
        <v>87</v>
      </c>
      <c r="C26" s="53">
        <f t="shared" ref="C26:D26" si="19">C24-C25+C27+X31</f>
        <v>398</v>
      </c>
      <c r="D26" s="53">
        <f t="shared" si="19"/>
        <v>434</v>
      </c>
      <c r="E26" s="58">
        <f t="shared" si="13"/>
        <v>-8.2949308755760343E-2</v>
      </c>
      <c r="G26" s="52" t="s">
        <v>88</v>
      </c>
      <c r="H26" s="53">
        <v>8</v>
      </c>
      <c r="I26" s="53">
        <v>5</v>
      </c>
      <c r="J26" s="58">
        <f t="shared" si="14"/>
        <v>0.60000000000000009</v>
      </c>
      <c r="L26" s="52" t="s">
        <v>87</v>
      </c>
      <c r="M26" s="56">
        <v>1552.0700000000002</v>
      </c>
      <c r="N26" s="56">
        <v>1479</v>
      </c>
      <c r="O26" s="58">
        <v>4.9405003380662782E-2</v>
      </c>
      <c r="Q26" s="46" t="s">
        <v>89</v>
      </c>
      <c r="R26" s="46">
        <v>359</v>
      </c>
      <c r="S26" s="46">
        <v>329</v>
      </c>
      <c r="T26" s="48">
        <f t="shared" si="15"/>
        <v>0.31217391304347825</v>
      </c>
      <c r="U26" s="48">
        <f t="shared" si="16"/>
        <v>9.1185410334346573E-2</v>
      </c>
      <c r="W26" s="52" t="s">
        <v>90</v>
      </c>
      <c r="X26" s="53">
        <v>76</v>
      </c>
      <c r="Y26" s="53">
        <v>74</v>
      </c>
      <c r="Z26" s="44">
        <f t="shared" si="17"/>
        <v>9.7761770002572676E-2</v>
      </c>
      <c r="AA26" s="57">
        <f t="shared" si="18"/>
        <v>2.7027027027026973E-2</v>
      </c>
    </row>
    <row r="27" spans="1:27" ht="18" x14ac:dyDescent="0.35">
      <c r="B27" s="52" t="s">
        <v>88</v>
      </c>
      <c r="C27" s="53">
        <v>4</v>
      </c>
      <c r="D27" s="53">
        <v>3</v>
      </c>
      <c r="E27" s="58">
        <f t="shared" si="13"/>
        <v>0.33333333333333326</v>
      </c>
      <c r="G27" s="52" t="s">
        <v>7</v>
      </c>
      <c r="H27" s="53">
        <v>357</v>
      </c>
      <c r="I27" s="53">
        <v>284</v>
      </c>
      <c r="J27" s="58">
        <f t="shared" si="14"/>
        <v>0.25704225352112675</v>
      </c>
      <c r="L27" s="52" t="s">
        <v>88</v>
      </c>
      <c r="M27" s="53">
        <v>17</v>
      </c>
      <c r="N27" s="53">
        <v>19</v>
      </c>
      <c r="O27" s="58">
        <v>-0.10526315789473684</v>
      </c>
      <c r="Q27" s="46" t="s">
        <v>91</v>
      </c>
      <c r="R27" s="46">
        <v>148</v>
      </c>
      <c r="S27" s="46">
        <v>122</v>
      </c>
      <c r="T27" s="48">
        <f t="shared" si="15"/>
        <v>0.12869565217391304</v>
      </c>
      <c r="U27" s="48">
        <f t="shared" si="16"/>
        <v>0.21311475409836067</v>
      </c>
      <c r="W27" s="52" t="s">
        <v>92</v>
      </c>
      <c r="X27" s="56">
        <v>41</v>
      </c>
      <c r="Y27" s="56">
        <v>43</v>
      </c>
      <c r="Z27" s="44">
        <f t="shared" si="17"/>
        <v>5.2739902238229996E-2</v>
      </c>
      <c r="AA27" s="57">
        <f t="shared" si="18"/>
        <v>-4.6511627906976716E-2</v>
      </c>
    </row>
    <row r="28" spans="1:27" ht="18" x14ac:dyDescent="0.35">
      <c r="B28" s="52" t="s">
        <v>7</v>
      </c>
      <c r="C28" s="53">
        <v>331</v>
      </c>
      <c r="D28" s="53">
        <v>308</v>
      </c>
      <c r="E28" s="58">
        <f t="shared" si="13"/>
        <v>7.4675324675324672E-2</v>
      </c>
      <c r="G28" s="52" t="s">
        <v>8</v>
      </c>
      <c r="H28" s="59">
        <v>4.4800000000000004</v>
      </c>
      <c r="I28" s="59">
        <v>3.55</v>
      </c>
      <c r="J28" s="58">
        <f t="shared" si="14"/>
        <v>0.26197183098591559</v>
      </c>
      <c r="L28" s="52" t="s">
        <v>93</v>
      </c>
      <c r="M28" s="56">
        <v>1535.0700000000002</v>
      </c>
      <c r="N28" s="56">
        <v>1460</v>
      </c>
      <c r="O28" s="58">
        <v>5.1417808219178296E-2</v>
      </c>
      <c r="Q28" s="46" t="s">
        <v>94</v>
      </c>
      <c r="R28" s="46">
        <v>-15</v>
      </c>
      <c r="S28" s="46">
        <v>-14</v>
      </c>
      <c r="T28" s="48">
        <f t="shared" si="15"/>
        <v>-1.3043478260869565E-2</v>
      </c>
      <c r="U28" s="48">
        <f t="shared" si="16"/>
        <v>7.1428571428571397E-2</v>
      </c>
      <c r="W28" s="52" t="s">
        <v>95</v>
      </c>
      <c r="X28" s="56">
        <v>44</v>
      </c>
      <c r="Y28" s="56">
        <v>72</v>
      </c>
      <c r="Z28" s="44">
        <f t="shared" si="17"/>
        <v>5.6598919475173655E-2</v>
      </c>
      <c r="AA28" s="57">
        <f t="shared" si="18"/>
        <v>-0.38888888888888884</v>
      </c>
    </row>
    <row r="29" spans="1:27" ht="18" x14ac:dyDescent="0.35">
      <c r="B29" s="52" t="s">
        <v>8</v>
      </c>
      <c r="C29" s="59">
        <v>4.13</v>
      </c>
      <c r="D29" s="59">
        <v>3.85</v>
      </c>
      <c r="E29" s="58">
        <f t="shared" si="13"/>
        <v>7.2727272727272751E-2</v>
      </c>
      <c r="G29" s="52" t="s">
        <v>96</v>
      </c>
      <c r="H29" s="54">
        <f t="shared" ref="H29:I29" si="20">H27/H24</f>
        <v>0.28154574132492116</v>
      </c>
      <c r="I29" s="54">
        <f t="shared" si="20"/>
        <v>0.24652777777777779</v>
      </c>
      <c r="J29" s="54">
        <f t="shared" ref="J29:J30" si="21">H29-I29</f>
        <v>3.5017963547143371E-2</v>
      </c>
      <c r="K29" s="36"/>
      <c r="L29" s="52" t="s">
        <v>97</v>
      </c>
      <c r="M29" s="53">
        <v>1757</v>
      </c>
      <c r="N29" s="53">
        <v>1496</v>
      </c>
      <c r="O29" s="58">
        <v>0.17446524064171132</v>
      </c>
      <c r="W29" s="52" t="s">
        <v>98</v>
      </c>
      <c r="X29" s="53">
        <v>51</v>
      </c>
      <c r="Y29" s="53">
        <v>47</v>
      </c>
      <c r="Z29" s="44">
        <f t="shared" si="17"/>
        <v>6.5603293028042201E-2</v>
      </c>
      <c r="AA29" s="57">
        <f t="shared" si="18"/>
        <v>8.5106382978723305E-2</v>
      </c>
    </row>
    <row r="30" spans="1:27" ht="18" x14ac:dyDescent="0.35">
      <c r="B30" s="52" t="s">
        <v>99</v>
      </c>
      <c r="C30" s="54">
        <f t="shared" ref="C30:D30" si="22">C26/C24</f>
        <v>0.34310344827586209</v>
      </c>
      <c r="D30" s="54">
        <f t="shared" si="22"/>
        <v>0.36904761904761907</v>
      </c>
      <c r="E30" s="54">
        <f t="shared" ref="E30:E32" si="23">C30-D30</f>
        <v>-2.594417077175698E-2</v>
      </c>
      <c r="F30" s="55"/>
      <c r="G30" s="52" t="s">
        <v>40</v>
      </c>
      <c r="H30" s="56">
        <f t="shared" ref="H30:I30" si="24">(H24-H25+H26)/H26</f>
        <v>46.625</v>
      </c>
      <c r="I30" s="56">
        <f t="shared" si="24"/>
        <v>69.400000000000006</v>
      </c>
      <c r="J30" s="60">
        <f t="shared" si="21"/>
        <v>-22.775000000000006</v>
      </c>
      <c r="L30" s="52" t="s">
        <v>7</v>
      </c>
      <c r="M30" s="53">
        <v>1313</v>
      </c>
      <c r="N30" s="53">
        <v>1111</v>
      </c>
      <c r="O30" s="58">
        <v>0.18181818181818188</v>
      </c>
      <c r="Q30" s="61" t="s">
        <v>100</v>
      </c>
      <c r="R30" s="61">
        <f t="shared" ref="R30:S30" si="25">SUM(R24:R28)</f>
        <v>1150</v>
      </c>
      <c r="S30" s="61">
        <f t="shared" si="25"/>
        <v>1108</v>
      </c>
      <c r="T30" s="62">
        <f>R30/$R$30</f>
        <v>1</v>
      </c>
      <c r="U30" s="62">
        <f>(R30/S30)^(1/1)-1</f>
        <v>3.7906137184115618E-2</v>
      </c>
      <c r="W30" s="52" t="s">
        <v>101</v>
      </c>
      <c r="X30" s="53">
        <v>18</v>
      </c>
      <c r="Y30" s="53">
        <v>17</v>
      </c>
      <c r="Z30" s="44">
        <f t="shared" si="17"/>
        <v>2.3154103421661951E-2</v>
      </c>
      <c r="AA30" s="57">
        <f t="shared" si="18"/>
        <v>5.8823529411764719E-2</v>
      </c>
    </row>
    <row r="31" spans="1:27" ht="18" x14ac:dyDescent="0.35">
      <c r="B31" s="52" t="s">
        <v>96</v>
      </c>
      <c r="C31" s="54">
        <f t="shared" ref="C31:D31" si="26">C28/C24</f>
        <v>0.28534482758620688</v>
      </c>
      <c r="D31" s="54">
        <f t="shared" si="26"/>
        <v>0.26190476190476192</v>
      </c>
      <c r="E31" s="54">
        <f t="shared" si="23"/>
        <v>2.3440065681444966E-2</v>
      </c>
      <c r="L31" s="52" t="s">
        <v>8</v>
      </c>
      <c r="M31" s="59">
        <v>16.440000000000001</v>
      </c>
      <c r="N31" s="59">
        <v>13.89</v>
      </c>
      <c r="O31" s="58">
        <v>0.18358531317494609</v>
      </c>
      <c r="W31" s="52" t="s">
        <v>102</v>
      </c>
      <c r="X31" s="53">
        <v>12</v>
      </c>
      <c r="Y31" s="53">
        <v>14</v>
      </c>
      <c r="Z31" s="44">
        <f t="shared" si="17"/>
        <v>1.5436068947774634E-2</v>
      </c>
      <c r="AA31" s="57">
        <f t="shared" si="18"/>
        <v>-0.1428571428571429</v>
      </c>
    </row>
    <row r="32" spans="1:27" ht="18" x14ac:dyDescent="0.35">
      <c r="B32" s="52" t="s">
        <v>40</v>
      </c>
      <c r="C32" s="56">
        <f t="shared" ref="C32:D32" si="27">(C24-C25+C27)/C27</f>
        <v>96.5</v>
      </c>
      <c r="D32" s="56">
        <f t="shared" si="27"/>
        <v>140</v>
      </c>
      <c r="E32" s="60">
        <f t="shared" si="23"/>
        <v>-43.5</v>
      </c>
      <c r="L32" s="52" t="s">
        <v>99</v>
      </c>
      <c r="M32" s="54">
        <v>0.32835721925133693</v>
      </c>
      <c r="N32" s="54">
        <v>0.34272300469483569</v>
      </c>
      <c r="O32" s="54">
        <v>-1.4365785443498758E-2</v>
      </c>
      <c r="W32" s="52" t="s">
        <v>88</v>
      </c>
      <c r="X32" s="53">
        <v>4</v>
      </c>
      <c r="Y32" s="53">
        <v>3</v>
      </c>
      <c r="Z32" s="44">
        <f t="shared" si="17"/>
        <v>5.1453563159248776E-3</v>
      </c>
      <c r="AA32" s="57">
        <f t="shared" si="18"/>
        <v>0.33333333333333326</v>
      </c>
    </row>
    <row r="33" spans="1:27" ht="18" x14ac:dyDescent="0.35">
      <c r="F33" s="36"/>
      <c r="L33" s="52" t="s">
        <v>96</v>
      </c>
      <c r="M33" s="54">
        <v>0.28085561497326206</v>
      </c>
      <c r="N33" s="54">
        <v>0.26079812206572772</v>
      </c>
      <c r="O33" s="54">
        <v>2.0057492907534336E-2</v>
      </c>
      <c r="W33" s="52" t="s">
        <v>103</v>
      </c>
      <c r="X33" s="53">
        <v>-0.6</v>
      </c>
      <c r="Y33" s="53">
        <v>0.6</v>
      </c>
      <c r="Z33" s="44">
        <f t="shared" si="17"/>
        <v>-7.7180344738873169E-4</v>
      </c>
      <c r="AA33" s="57">
        <f t="shared" si="18"/>
        <v>-2</v>
      </c>
    </row>
    <row r="34" spans="1:27" ht="18" x14ac:dyDescent="0.35">
      <c r="L34" s="52" t="s">
        <v>40</v>
      </c>
      <c r="M34" s="56">
        <v>88.117647058823536</v>
      </c>
      <c r="N34" s="56">
        <v>74.15789473684211</v>
      </c>
      <c r="O34" s="60">
        <v>13.959752321981426</v>
      </c>
      <c r="W34" s="52" t="s">
        <v>104</v>
      </c>
      <c r="X34" s="63">
        <f t="shared" ref="X34:Y34" si="28">SUM(X24:X33)</f>
        <v>777.4</v>
      </c>
      <c r="Y34" s="63">
        <f t="shared" si="28"/>
        <v>759.6</v>
      </c>
      <c r="Z34" s="44">
        <f t="shared" si="17"/>
        <v>1</v>
      </c>
      <c r="AA34" s="57">
        <f t="shared" si="18"/>
        <v>2.3433385992627676E-2</v>
      </c>
    </row>
    <row r="35" spans="1:27" ht="13.2" x14ac:dyDescent="0.25"/>
    <row r="36" spans="1:27" ht="18" x14ac:dyDescent="0.35">
      <c r="A36" s="52" t="s">
        <v>105</v>
      </c>
      <c r="B36" s="52" t="s">
        <v>105</v>
      </c>
      <c r="C36" s="64" t="s">
        <v>106</v>
      </c>
      <c r="D36" s="64" t="s">
        <v>107</v>
      </c>
      <c r="E36" s="64" t="s">
        <v>77</v>
      </c>
      <c r="F36" s="64" t="s">
        <v>73</v>
      </c>
      <c r="G36" s="64" t="s">
        <v>108</v>
      </c>
      <c r="I36" s="49" t="s">
        <v>109</v>
      </c>
      <c r="J36" s="51" t="s">
        <v>110</v>
      </c>
      <c r="K36" s="51" t="s">
        <v>111</v>
      </c>
      <c r="L36" s="51" t="s">
        <v>75</v>
      </c>
      <c r="M36" s="51" t="s">
        <v>73</v>
      </c>
      <c r="N36" s="51" t="s">
        <v>112</v>
      </c>
      <c r="P36" s="50" t="s">
        <v>113</v>
      </c>
      <c r="Q36" s="65" t="s">
        <v>114</v>
      </c>
      <c r="R36" s="65" t="s">
        <v>115</v>
      </c>
      <c r="S36" s="65" t="s">
        <v>48</v>
      </c>
      <c r="U36" s="49" t="s">
        <v>116</v>
      </c>
      <c r="V36" s="49" t="s">
        <v>117</v>
      </c>
      <c r="W36" s="49" t="s">
        <v>118</v>
      </c>
      <c r="X36" s="49" t="s">
        <v>26</v>
      </c>
    </row>
    <row r="37" spans="1:27" ht="18" x14ac:dyDescent="0.35">
      <c r="B37" s="66" t="s">
        <v>6</v>
      </c>
      <c r="C37" s="67">
        <v>9.4E-2</v>
      </c>
      <c r="D37" s="67">
        <v>9.6000000000000002E-2</v>
      </c>
      <c r="E37" s="67">
        <v>9.7000000000000003E-2</v>
      </c>
      <c r="F37" s="67">
        <v>-1.4E-2</v>
      </c>
      <c r="G37" s="48">
        <v>0.05</v>
      </c>
      <c r="I37" s="66" t="s">
        <v>8</v>
      </c>
      <c r="J37" s="53">
        <v>3.85</v>
      </c>
      <c r="K37" s="53">
        <v>4.26</v>
      </c>
      <c r="L37" s="53">
        <v>4.4800000000000004</v>
      </c>
      <c r="M37" s="53">
        <v>4.13</v>
      </c>
      <c r="N37" s="53">
        <f>SUM(J37:M37)</f>
        <v>16.72</v>
      </c>
      <c r="P37" s="68">
        <v>13.89</v>
      </c>
      <c r="Q37" s="69">
        <f>N37</f>
        <v>16.72</v>
      </c>
      <c r="R37" s="70">
        <f>E17</f>
        <v>17.459280000000003</v>
      </c>
      <c r="S37" s="90">
        <f ca="1">R39/10</f>
        <v>4.0743375442744476</v>
      </c>
      <c r="U37" s="49" t="s">
        <v>119</v>
      </c>
      <c r="V37" s="32">
        <v>62.4</v>
      </c>
      <c r="W37" s="32">
        <v>87.4</v>
      </c>
      <c r="X37" s="48">
        <f t="shared" ref="X37:X41" si="29">(V37/W37)-1</f>
        <v>-0.28604118993135019</v>
      </c>
    </row>
    <row r="38" spans="1:27" ht="18" x14ac:dyDescent="0.35">
      <c r="B38" s="66" t="s">
        <v>96</v>
      </c>
      <c r="C38" s="54">
        <v>0.28199999999999997</v>
      </c>
      <c r="D38" s="54">
        <v>0.28100000000000003</v>
      </c>
      <c r="E38" s="54">
        <v>0.28100000000000003</v>
      </c>
      <c r="F38" s="54">
        <v>0.28499999999999998</v>
      </c>
      <c r="G38" s="71">
        <v>0.06</v>
      </c>
      <c r="P38" s="72" t="s">
        <v>120</v>
      </c>
      <c r="Q38" s="73" t="s">
        <v>121</v>
      </c>
      <c r="R38" s="73" t="s">
        <v>122</v>
      </c>
      <c r="S38" s="91"/>
      <c r="U38" s="49" t="s">
        <v>123</v>
      </c>
      <c r="V38" s="32">
        <v>8.73</v>
      </c>
      <c r="W38" s="32">
        <f>5.1-W39</f>
        <v>3.6199999999999997</v>
      </c>
      <c r="X38" s="48">
        <f t="shared" si="29"/>
        <v>1.4116022099447516</v>
      </c>
    </row>
    <row r="39" spans="1:27" ht="18" x14ac:dyDescent="0.35">
      <c r="B39" s="74" t="s">
        <v>7</v>
      </c>
      <c r="C39" s="58">
        <v>0.17</v>
      </c>
      <c r="D39" s="58">
        <v>0.16</v>
      </c>
      <c r="E39" s="58">
        <v>0.18</v>
      </c>
      <c r="F39" s="58">
        <v>7.0000000000000007E-2</v>
      </c>
      <c r="G39" s="75">
        <v>0.1</v>
      </c>
      <c r="P39" s="76">
        <f>930/P37</f>
        <v>66.954643628509714</v>
      </c>
      <c r="Q39" s="77">
        <f ca="1">C3/Q37</f>
        <v>42.544856459330148</v>
      </c>
      <c r="R39" s="78">
        <f ca="1">C3/R37</f>
        <v>40.74337544274448</v>
      </c>
      <c r="S39" s="91"/>
      <c r="U39" s="49" t="s">
        <v>124</v>
      </c>
      <c r="V39" s="32">
        <v>6.84</v>
      </c>
      <c r="W39" s="32">
        <v>1.48</v>
      </c>
      <c r="X39" s="48">
        <f t="shared" si="29"/>
        <v>3.6216216216216219</v>
      </c>
    </row>
    <row r="40" spans="1:27" ht="18" x14ac:dyDescent="0.35">
      <c r="B40" s="43"/>
      <c r="C40" s="43"/>
      <c r="U40" s="49" t="s">
        <v>125</v>
      </c>
      <c r="V40" s="32">
        <f>19.08+0.08</f>
        <v>19.159999999999997</v>
      </c>
      <c r="W40" s="32">
        <f>5.34+0.5</f>
        <v>5.84</v>
      </c>
      <c r="X40" s="48">
        <f t="shared" si="29"/>
        <v>2.2808219178082187</v>
      </c>
    </row>
    <row r="41" spans="1:27" ht="18" x14ac:dyDescent="0.35">
      <c r="A41" s="16" t="s">
        <v>26</v>
      </c>
      <c r="B41" s="79" t="s">
        <v>59</v>
      </c>
      <c r="C41" s="79" t="s">
        <v>60</v>
      </c>
      <c r="D41" s="79" t="s">
        <v>7</v>
      </c>
      <c r="E41" s="79" t="s">
        <v>8</v>
      </c>
      <c r="F41" s="79" t="s">
        <v>96</v>
      </c>
      <c r="G41" s="79" t="s">
        <v>9</v>
      </c>
      <c r="H41" s="79" t="s">
        <v>126</v>
      </c>
      <c r="I41" s="79" t="s">
        <v>127</v>
      </c>
      <c r="J41" s="79" t="s">
        <v>128</v>
      </c>
      <c r="K41" s="79" t="s">
        <v>129</v>
      </c>
      <c r="L41" s="79" t="s">
        <v>130</v>
      </c>
      <c r="M41" s="79" t="s">
        <v>131</v>
      </c>
      <c r="N41" s="79" t="s">
        <v>132</v>
      </c>
      <c r="O41" s="79" t="s">
        <v>133</v>
      </c>
      <c r="U41" s="49" t="s">
        <v>134</v>
      </c>
      <c r="V41" s="32">
        <v>3</v>
      </c>
      <c r="W41" s="32">
        <v>2</v>
      </c>
      <c r="X41" s="48">
        <f t="shared" si="29"/>
        <v>0.5</v>
      </c>
    </row>
    <row r="42" spans="1:27" ht="13.2" x14ac:dyDescent="0.25">
      <c r="B42" s="46" t="s">
        <v>135</v>
      </c>
      <c r="C42" s="47">
        <f t="shared" ref="C42:D42" si="30">(C48/C57)^(1/9)-1</f>
        <v>0.14500708685177055</v>
      </c>
      <c r="D42" s="47">
        <f t="shared" si="30"/>
        <v>0.23461959830101398</v>
      </c>
      <c r="E42" s="47">
        <f>((5*E48)/E57)^(1/9)-1</f>
        <v>0.22616429240805336</v>
      </c>
      <c r="F42" s="47">
        <f>MEDIAN(F48:F57)</f>
        <v>0.23945658736732006</v>
      </c>
      <c r="G42" s="47">
        <f t="shared" ref="G42:H42" si="31">(G48/G57)^(1/9)-1</f>
        <v>0.16652903957611653</v>
      </c>
      <c r="H42" s="47">
        <f t="shared" si="31"/>
        <v>0.23555844290659</v>
      </c>
      <c r="I42" s="47" t="e">
        <f t="shared" ref="I42:J42" si="32">((5*I48)/I57)^(1/9)-1</f>
        <v>#DIV/0!</v>
      </c>
      <c r="J42" s="47" t="e">
        <f t="shared" si="32"/>
        <v>#DIV/0!</v>
      </c>
      <c r="K42" s="38">
        <f t="shared" ref="K42:L42" si="33">MEDIAN(K48:K57)</f>
        <v>40.604751619870406</v>
      </c>
      <c r="L42" s="38">
        <f t="shared" si="33"/>
        <v>75.521958243340535</v>
      </c>
      <c r="M42" s="47">
        <f>((5*M48)/M57)^(1/9)-1</f>
        <v>5.5747515269255921E-2</v>
      </c>
      <c r="N42" s="80">
        <f t="shared" ref="N42:O42" si="34">MEDIAN(N48:N57)</f>
        <v>13.973366367296377</v>
      </c>
      <c r="O42" s="80">
        <f t="shared" si="34"/>
        <v>25.473843821076571</v>
      </c>
    </row>
    <row r="43" spans="1:27" ht="13.2" x14ac:dyDescent="0.25">
      <c r="B43" s="46" t="s">
        <v>136</v>
      </c>
      <c r="C43" s="47">
        <f t="shared" ref="C43:D43" si="35">(C48/C52)^(1/4)-1</f>
        <v>0.56316550700728474</v>
      </c>
      <c r="D43" s="47">
        <f t="shared" si="35"/>
        <v>0.61501609303007609</v>
      </c>
      <c r="E43" s="47">
        <f>((5*E48)/E52)^(1/4)-1</f>
        <v>0.62220327799263719</v>
      </c>
      <c r="F43" s="47">
        <f>MEDIAN(F48:F52)</f>
        <v>0.28085561497326206</v>
      </c>
      <c r="G43" s="47">
        <f t="shared" ref="G43:H43" si="36">(G48/G52)^(1/4)-1</f>
        <v>0</v>
      </c>
      <c r="H43" s="47">
        <f t="shared" si="36"/>
        <v>0.27950249601982735</v>
      </c>
      <c r="I43" s="47">
        <f t="shared" ref="I43:J43" si="37">((5*I48)/I52)^(1/4)-1</f>
        <v>0.51355586950869325</v>
      </c>
      <c r="J43" s="48">
        <f t="shared" si="37"/>
        <v>0.29999638193913358</v>
      </c>
      <c r="K43" s="38">
        <f t="shared" ref="K43:L43" si="38">MEDIAN(K48:K52)</f>
        <v>40.604751619870406</v>
      </c>
      <c r="L43" s="38">
        <f t="shared" si="38"/>
        <v>75.521958243340535</v>
      </c>
      <c r="M43" s="48">
        <f>((5*M48)/M52)^(1/4)-1</f>
        <v>0.2570475363032394</v>
      </c>
      <c r="N43" s="80">
        <f t="shared" ref="N43:O43" si="39">MEDIAN(N48:N52)</f>
        <v>13.973366367296377</v>
      </c>
      <c r="O43" s="80">
        <f t="shared" si="39"/>
        <v>25.473843821076571</v>
      </c>
      <c r="U43" s="81" t="s">
        <v>100</v>
      </c>
      <c r="V43" s="82">
        <f t="shared" ref="V43:W43" si="40">SUM(V37:V41)</f>
        <v>100.13</v>
      </c>
      <c r="W43" s="82">
        <f t="shared" si="40"/>
        <v>100.34000000000002</v>
      </c>
      <c r="X43" s="83">
        <f>(V43/W43)-1</f>
        <v>-2.0928841937415399E-3</v>
      </c>
    </row>
    <row r="44" spans="1:27" ht="13.2" x14ac:dyDescent="0.25">
      <c r="B44" s="46" t="s">
        <v>137</v>
      </c>
      <c r="C44" s="48">
        <f t="shared" ref="C44:E44" si="41">(C48/C49)-1</f>
        <v>9.7417840375586762E-2</v>
      </c>
      <c r="D44" s="48">
        <f t="shared" si="41"/>
        <v>0.18181818181818188</v>
      </c>
      <c r="E44" s="48">
        <f t="shared" si="41"/>
        <v>0.18358531317494609</v>
      </c>
      <c r="F44" s="47">
        <v>0.28000000000000003</v>
      </c>
      <c r="G44" s="48">
        <f t="shared" ref="G44:J44" si="42">(G48/G49)-1</f>
        <v>0</v>
      </c>
      <c r="H44" s="48">
        <f t="shared" si="42"/>
        <v>0.14141414141414144</v>
      </c>
      <c r="I44" s="48">
        <f t="shared" si="42"/>
        <v>0.16312056737588643</v>
      </c>
      <c r="J44" s="48">
        <f t="shared" si="42"/>
        <v>8.5795996186844636E-2</v>
      </c>
      <c r="K44" s="42">
        <f t="shared" ref="K44:L44" si="43">K48</f>
        <v>39.90267639902676</v>
      </c>
      <c r="L44" s="42">
        <f t="shared" si="43"/>
        <v>69.282238442822376</v>
      </c>
      <c r="M44" s="48">
        <f>(M48/M49)-1</f>
        <v>0.13440693713223917</v>
      </c>
      <c r="N44" s="80">
        <f t="shared" ref="N44:O44" si="44">N48</f>
        <v>14.327054327054327</v>
      </c>
      <c r="O44" s="80">
        <f t="shared" si="44"/>
        <v>24.875784875784873</v>
      </c>
    </row>
    <row r="45" spans="1:27" ht="13.2" x14ac:dyDescent="0.25">
      <c r="B45" s="44"/>
      <c r="C45" s="43"/>
      <c r="D45" s="84"/>
      <c r="E45" s="84"/>
      <c r="I45" s="44"/>
      <c r="K45" s="84"/>
      <c r="L45" s="43"/>
      <c r="M45" s="84"/>
    </row>
    <row r="46" spans="1:27" ht="13.8" x14ac:dyDescent="0.25">
      <c r="A46" s="79" t="s">
        <v>138</v>
      </c>
      <c r="B46" s="79" t="s">
        <v>59</v>
      </c>
      <c r="C46" s="79" t="s">
        <v>60</v>
      </c>
      <c r="D46" s="79" t="s">
        <v>7</v>
      </c>
      <c r="E46" s="79" t="s">
        <v>8</v>
      </c>
      <c r="F46" s="79" t="s">
        <v>96</v>
      </c>
      <c r="G46" s="79" t="s">
        <v>9</v>
      </c>
      <c r="H46" s="79" t="s">
        <v>126</v>
      </c>
      <c r="I46" s="79" t="s">
        <v>127</v>
      </c>
      <c r="J46" s="79" t="s">
        <v>128</v>
      </c>
      <c r="K46" s="79" t="s">
        <v>129</v>
      </c>
      <c r="L46" s="79" t="s">
        <v>130</v>
      </c>
      <c r="M46" s="79" t="s">
        <v>131</v>
      </c>
      <c r="N46" s="79" t="s">
        <v>132</v>
      </c>
      <c r="O46" s="79" t="s">
        <v>133</v>
      </c>
    </row>
    <row r="47" spans="1:27" ht="13.8" x14ac:dyDescent="0.25">
      <c r="B47" s="85" t="s">
        <v>139</v>
      </c>
      <c r="C47" s="46">
        <f>C48+C24-D24</f>
        <v>4659</v>
      </c>
      <c r="D47" s="42">
        <f>D48+C28-D28</f>
        <v>1336</v>
      </c>
      <c r="E47" s="46">
        <f>N37</f>
        <v>16.72</v>
      </c>
      <c r="F47" s="48">
        <f t="shared" ref="F47:F57" si="45">D47/C47</f>
        <v>0.2867568147671174</v>
      </c>
      <c r="G47" s="46">
        <v>160</v>
      </c>
      <c r="H47" s="46">
        <v>3503</v>
      </c>
      <c r="I47" s="46">
        <v>656</v>
      </c>
      <c r="J47" s="46">
        <v>820</v>
      </c>
      <c r="K47" s="42">
        <f t="shared" ref="K47:K52" si="46">I47/E47</f>
        <v>39.23444976076555</v>
      </c>
      <c r="L47" s="42">
        <f t="shared" ref="L47:L52" si="47">J47/E47</f>
        <v>49.043062200956939</v>
      </c>
      <c r="M47" s="42">
        <f t="shared" ref="M47:M51" si="48">(G47+H47)/(G47/2)</f>
        <v>45.787500000000001</v>
      </c>
      <c r="N47" s="80">
        <f t="shared" ref="N47:N52" si="49">I47/M47</f>
        <v>14.327054327054327</v>
      </c>
      <c r="O47" s="80">
        <f t="shared" ref="O47:O52" si="50">J47/M47</f>
        <v>17.908817908817909</v>
      </c>
    </row>
    <row r="48" spans="1:27" ht="13.8" x14ac:dyDescent="0.25">
      <c r="B48" s="85" t="s">
        <v>140</v>
      </c>
      <c r="C48" s="46">
        <v>4675</v>
      </c>
      <c r="D48" s="42">
        <v>1313</v>
      </c>
      <c r="E48" s="46">
        <v>16.440000000000001</v>
      </c>
      <c r="F48" s="48">
        <f t="shared" si="45"/>
        <v>0.28085561497326206</v>
      </c>
      <c r="G48" s="46">
        <v>160</v>
      </c>
      <c r="H48" s="46">
        <v>3503</v>
      </c>
      <c r="I48" s="46">
        <v>656</v>
      </c>
      <c r="J48" s="46">
        <v>1139</v>
      </c>
      <c r="K48" s="42">
        <f t="shared" si="46"/>
        <v>39.90267639902676</v>
      </c>
      <c r="L48" s="42">
        <f t="shared" si="47"/>
        <v>69.282238442822376</v>
      </c>
      <c r="M48" s="42">
        <f t="shared" si="48"/>
        <v>45.787500000000001</v>
      </c>
      <c r="N48" s="80">
        <f t="shared" si="49"/>
        <v>14.327054327054327</v>
      </c>
      <c r="O48" s="80">
        <f t="shared" si="50"/>
        <v>24.875784875784873</v>
      </c>
    </row>
    <row r="49" spans="1:15" ht="13.8" x14ac:dyDescent="0.25">
      <c r="B49" s="85" t="s">
        <v>141</v>
      </c>
      <c r="C49" s="46">
        <v>4260</v>
      </c>
      <c r="D49" s="46">
        <v>1111</v>
      </c>
      <c r="E49" s="46">
        <v>13.89</v>
      </c>
      <c r="F49" s="48">
        <f t="shared" si="45"/>
        <v>0.26079812206572772</v>
      </c>
      <c r="G49" s="46">
        <v>160</v>
      </c>
      <c r="H49" s="46">
        <v>3069</v>
      </c>
      <c r="I49" s="46">
        <v>564</v>
      </c>
      <c r="J49" s="46">
        <v>1049</v>
      </c>
      <c r="K49" s="42">
        <f t="shared" si="46"/>
        <v>40.604751619870406</v>
      </c>
      <c r="L49" s="42">
        <f t="shared" si="47"/>
        <v>75.521958243340535</v>
      </c>
      <c r="M49" s="42">
        <f t="shared" si="48"/>
        <v>40.362499999999997</v>
      </c>
      <c r="N49" s="80">
        <f t="shared" si="49"/>
        <v>13.973366367296377</v>
      </c>
      <c r="O49" s="80">
        <f t="shared" si="50"/>
        <v>25.989470424279965</v>
      </c>
    </row>
    <row r="50" spans="1:15" ht="13.8" x14ac:dyDescent="0.25">
      <c r="B50" s="85" t="s">
        <v>142</v>
      </c>
      <c r="C50" s="46">
        <v>3541</v>
      </c>
      <c r="D50" s="46">
        <v>1005</v>
      </c>
      <c r="E50" s="46">
        <v>12.57</v>
      </c>
      <c r="F50" s="48">
        <f t="shared" si="45"/>
        <v>0.28381813047161819</v>
      </c>
      <c r="G50" s="46">
        <v>160</v>
      </c>
      <c r="H50" s="46">
        <v>2478</v>
      </c>
      <c r="I50" s="46">
        <v>557</v>
      </c>
      <c r="J50" s="46">
        <v>840</v>
      </c>
      <c r="K50" s="42">
        <f t="shared" si="46"/>
        <v>44.311853619729511</v>
      </c>
      <c r="L50" s="42">
        <f t="shared" si="47"/>
        <v>66.825775656324581</v>
      </c>
      <c r="M50" s="42">
        <f t="shared" si="48"/>
        <v>32.975000000000001</v>
      </c>
      <c r="N50" s="80">
        <f t="shared" si="49"/>
        <v>16.891584533737678</v>
      </c>
      <c r="O50" s="80">
        <f t="shared" si="50"/>
        <v>25.473843821076571</v>
      </c>
    </row>
    <row r="51" spans="1:15" ht="13.8" x14ac:dyDescent="0.25">
      <c r="A51" s="43" t="s">
        <v>143</v>
      </c>
      <c r="B51" s="85" t="s">
        <v>144</v>
      </c>
      <c r="C51" s="86">
        <v>1880</v>
      </c>
      <c r="D51" s="86">
        <v>668</v>
      </c>
      <c r="E51" s="87">
        <v>8.3000000000000007</v>
      </c>
      <c r="F51" s="48">
        <f t="shared" si="45"/>
        <v>0.35531914893617023</v>
      </c>
      <c r="G51" s="46">
        <v>160</v>
      </c>
      <c r="H51" s="86">
        <v>1724</v>
      </c>
      <c r="I51" s="46">
        <v>310</v>
      </c>
      <c r="J51" s="46">
        <v>1279</v>
      </c>
      <c r="K51" s="42">
        <f t="shared" si="46"/>
        <v>37.349397590361441</v>
      </c>
      <c r="L51" s="42">
        <f t="shared" si="47"/>
        <v>154.09638554216866</v>
      </c>
      <c r="M51" s="42">
        <f t="shared" si="48"/>
        <v>23.55</v>
      </c>
      <c r="N51" s="80">
        <f t="shared" si="49"/>
        <v>13.163481953290869</v>
      </c>
      <c r="O51" s="80">
        <f t="shared" si="50"/>
        <v>54.309978768577494</v>
      </c>
    </row>
    <row r="52" spans="1:15" ht="13.8" x14ac:dyDescent="0.25">
      <c r="B52" s="85" t="s">
        <v>145</v>
      </c>
      <c r="C52" s="86">
        <v>783</v>
      </c>
      <c r="D52" s="86">
        <v>193</v>
      </c>
      <c r="E52" s="87">
        <v>11.87</v>
      </c>
      <c r="F52" s="48">
        <f t="shared" si="45"/>
        <v>0.24648786717752236</v>
      </c>
      <c r="G52" s="46">
        <v>160</v>
      </c>
      <c r="H52" s="86">
        <v>1307</v>
      </c>
      <c r="I52" s="46">
        <v>625</v>
      </c>
      <c r="J52" s="46">
        <v>1994</v>
      </c>
      <c r="K52" s="42">
        <f t="shared" si="46"/>
        <v>52.653748946925027</v>
      </c>
      <c r="L52" s="42">
        <f t="shared" si="47"/>
        <v>167.98652064026959</v>
      </c>
      <c r="M52" s="42">
        <f t="shared" ref="M52:M57" si="51">(G52+H52)/(G52/10)</f>
        <v>91.6875</v>
      </c>
      <c r="N52" s="80">
        <f t="shared" si="49"/>
        <v>6.8166325835037496</v>
      </c>
      <c r="O52" s="80">
        <f t="shared" si="50"/>
        <v>21.747784594410362</v>
      </c>
    </row>
    <row r="53" spans="1:15" ht="13.8" x14ac:dyDescent="0.25">
      <c r="B53" s="85" t="s">
        <v>146</v>
      </c>
      <c r="C53" s="86">
        <v>2276</v>
      </c>
      <c r="D53" s="86">
        <v>529</v>
      </c>
      <c r="E53" s="87">
        <v>33.04</v>
      </c>
      <c r="F53" s="48">
        <f t="shared" si="45"/>
        <v>0.23242530755711774</v>
      </c>
      <c r="G53" s="46">
        <v>160</v>
      </c>
      <c r="H53" s="86">
        <v>1168</v>
      </c>
      <c r="I53" s="46"/>
      <c r="J53" s="46"/>
      <c r="K53" s="46"/>
      <c r="L53" s="46"/>
      <c r="M53" s="42">
        <f t="shared" si="51"/>
        <v>83</v>
      </c>
      <c r="N53" s="46"/>
      <c r="O53" s="46"/>
    </row>
    <row r="54" spans="1:15" ht="13.8" x14ac:dyDescent="0.25">
      <c r="A54" s="16" t="s">
        <v>147</v>
      </c>
      <c r="B54" s="85" t="s">
        <v>148</v>
      </c>
      <c r="C54" s="86">
        <v>1870</v>
      </c>
      <c r="D54" s="86">
        <v>309</v>
      </c>
      <c r="E54" s="87">
        <v>19.12</v>
      </c>
      <c r="F54" s="48">
        <f t="shared" si="45"/>
        <v>0.16524064171122996</v>
      </c>
      <c r="G54" s="46">
        <v>160</v>
      </c>
      <c r="H54" s="86">
        <v>911</v>
      </c>
      <c r="I54" s="46"/>
      <c r="J54" s="46"/>
      <c r="K54" s="46"/>
      <c r="L54" s="46"/>
      <c r="M54" s="42">
        <f t="shared" si="51"/>
        <v>66.9375</v>
      </c>
      <c r="N54" s="46"/>
      <c r="O54" s="46"/>
    </row>
    <row r="55" spans="1:15" ht="13.8" x14ac:dyDescent="0.25">
      <c r="B55" s="85" t="s">
        <v>149</v>
      </c>
      <c r="C55" s="88">
        <v>1471</v>
      </c>
      <c r="D55" s="88">
        <v>220</v>
      </c>
      <c r="E55" s="89">
        <v>13.79</v>
      </c>
      <c r="F55" s="48">
        <f t="shared" si="45"/>
        <v>0.1495581237253569</v>
      </c>
      <c r="G55" s="46">
        <v>40</v>
      </c>
      <c r="H55" s="88">
        <v>493</v>
      </c>
      <c r="I55" s="46"/>
      <c r="J55" s="46"/>
      <c r="K55" s="46"/>
      <c r="L55" s="46"/>
      <c r="M55" s="42">
        <f t="shared" si="51"/>
        <v>133.25</v>
      </c>
      <c r="N55" s="46"/>
      <c r="O55" s="46"/>
    </row>
    <row r="56" spans="1:15" ht="13.8" x14ac:dyDescent="0.25">
      <c r="B56" s="85" t="s">
        <v>150</v>
      </c>
      <c r="C56" s="88">
        <v>1539</v>
      </c>
      <c r="D56" s="88">
        <v>215</v>
      </c>
      <c r="E56" s="89">
        <v>14.32</v>
      </c>
      <c r="F56" s="48">
        <f t="shared" si="45"/>
        <v>0.13970110461338531</v>
      </c>
      <c r="G56" s="46">
        <v>40</v>
      </c>
      <c r="H56" s="88">
        <v>486</v>
      </c>
      <c r="I56" s="46"/>
      <c r="J56" s="46"/>
      <c r="K56" s="46"/>
      <c r="L56" s="46"/>
      <c r="M56" s="42">
        <f t="shared" si="51"/>
        <v>131.5</v>
      </c>
      <c r="N56" s="46"/>
      <c r="O56" s="46"/>
    </row>
    <row r="57" spans="1:15" ht="13.8" x14ac:dyDescent="0.25">
      <c r="B57" s="85" t="s">
        <v>151</v>
      </c>
      <c r="C57" s="46">
        <v>1382</v>
      </c>
      <c r="D57" s="46">
        <v>197</v>
      </c>
      <c r="E57" s="46">
        <v>13.12</v>
      </c>
      <c r="F57" s="48">
        <f t="shared" si="45"/>
        <v>0.14254703328509408</v>
      </c>
      <c r="G57" s="46">
        <v>40</v>
      </c>
      <c r="H57" s="46">
        <v>522</v>
      </c>
      <c r="I57" s="46"/>
      <c r="J57" s="46"/>
      <c r="K57" s="46"/>
      <c r="L57" s="46"/>
      <c r="M57" s="42">
        <f t="shared" si="51"/>
        <v>140.5</v>
      </c>
      <c r="N57" s="46"/>
      <c r="O57" s="46"/>
    </row>
    <row r="58" spans="1:15" ht="13.2" x14ac:dyDescent="0.25"/>
    <row r="59" spans="1:15" ht="13.2" x14ac:dyDescent="0.25"/>
    <row r="60" spans="1:15" ht="13.2" x14ac:dyDescent="0.25"/>
    <row r="61" spans="1:15" ht="13.2" x14ac:dyDescent="0.25"/>
    <row r="62" spans="1:15" ht="13.2" x14ac:dyDescent="0.25"/>
    <row r="63" spans="1:15" ht="13.2" x14ac:dyDescent="0.25"/>
    <row r="64" spans="1:15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  <row r="1001" ht="13.2" x14ac:dyDescent="0.25"/>
    <row r="1002" ht="13.2" x14ac:dyDescent="0.25"/>
    <row r="1003" ht="13.2" x14ac:dyDescent="0.25"/>
    <row r="1004" ht="13.2" x14ac:dyDescent="0.25"/>
    <row r="1005" ht="13.2" x14ac:dyDescent="0.25"/>
  </sheetData>
  <mergeCells count="1">
    <mergeCell ref="S37:S39"/>
  </mergeCells>
  <conditionalFormatting sqref="C46:C6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9:E2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7:F37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F38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F39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6:D60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4:E37 O24:O37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6:E6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6:F6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7:G60">
    <cfRule type="colorScale" priority="18">
      <colorScale>
        <cfvo type="min"/>
        <cfvo type="max"/>
        <color rgb="FFFFFFFF"/>
        <color rgb="FF57BB8A"/>
      </colorScale>
    </cfRule>
  </conditionalFormatting>
  <conditionalFormatting sqref="H46:H59">
    <cfRule type="colorScale" priority="3">
      <colorScale>
        <cfvo type="min"/>
        <cfvo type="max"/>
        <color rgb="FFFFFFFF"/>
        <color rgb="FF57BB8A"/>
      </colorScale>
    </cfRule>
  </conditionalFormatting>
  <conditionalFormatting sqref="I47:J55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4:J33 E28:E37 O29:O37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7:M37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2:L44">
    <cfRule type="colorScale" priority="2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46:L55">
    <cfRule type="colorScale" priority="1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47:M60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42:O44">
    <cfRule type="colorScale" priority="2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47:O55">
    <cfRule type="colorScale" priority="2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24:T3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24:U3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23:Z3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23:AA37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IRCTC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2025-09-03T06:38:10Z</dcterms:created>
  <dcterms:modified xsi:type="dcterms:W3CDTF">2025-09-03T06:38:10Z</dcterms:modified>
</cp:coreProperties>
</file>