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25\"/>
    </mc:Choice>
  </mc:AlternateContent>
  <xr:revisionPtr revIDLastSave="0" documentId="8_{F946C1B9-5BDF-4C68-B37C-A105E97977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RCTC" sheetId="1" r:id="rId1"/>
  </sheets>
  <calcPr calcId="191029"/>
</workbook>
</file>

<file path=xl/calcChain.xml><?xml version="1.0" encoding="utf-8"?>
<calcChain xmlns="http://schemas.openxmlformats.org/spreadsheetml/2006/main">
  <c r="R52" i="1" l="1"/>
  <c r="Q52" i="1"/>
  <c r="T52" i="1" s="1"/>
  <c r="T50" i="1"/>
  <c r="T49" i="1"/>
  <c r="T48" i="1"/>
  <c r="T47" i="1"/>
  <c r="T46" i="1"/>
  <c r="T45" i="1"/>
  <c r="T44" i="1"/>
  <c r="X43" i="1"/>
  <c r="Y43" i="1" s="1"/>
  <c r="W43" i="1"/>
  <c r="T43" i="1"/>
  <c r="T42" i="1"/>
  <c r="Y41" i="1"/>
  <c r="T41" i="1"/>
  <c r="X40" i="1"/>
  <c r="Y40" i="1" s="1"/>
  <c r="W40" i="1"/>
  <c r="Y39" i="1"/>
  <c r="Y38" i="1"/>
  <c r="X38" i="1"/>
  <c r="Y37" i="1"/>
  <c r="S37" i="1"/>
  <c r="R37" i="1"/>
  <c r="Q37" i="1"/>
  <c r="I9" i="1" s="1"/>
  <c r="R36" i="1"/>
  <c r="S36" i="1" s="1"/>
  <c r="Q36" i="1"/>
  <c r="Q35" i="1"/>
  <c r="S34" i="1"/>
  <c r="H34" i="1"/>
  <c r="AB33" i="1"/>
  <c r="AC33" i="1" s="1"/>
  <c r="AA33" i="1"/>
  <c r="W33" i="1"/>
  <c r="V33" i="1"/>
  <c r="X33" i="1" s="1"/>
  <c r="S33" i="1"/>
  <c r="H33" i="1"/>
  <c r="AB32" i="1"/>
  <c r="AC32" i="1" s="1"/>
  <c r="AA32" i="1"/>
  <c r="W32" i="1"/>
  <c r="V32" i="1"/>
  <c r="X32" i="1" s="1"/>
  <c r="S32" i="1"/>
  <c r="H32" i="1"/>
  <c r="AC31" i="1"/>
  <c r="X31" i="1"/>
  <c r="Q31" i="1"/>
  <c r="I31" i="1"/>
  <c r="H31" i="1"/>
  <c r="AC30" i="1"/>
  <c r="X30" i="1"/>
  <c r="S30" i="1"/>
  <c r="I30" i="1"/>
  <c r="H30" i="1"/>
  <c r="AC29" i="1"/>
  <c r="X29" i="1"/>
  <c r="R29" i="1"/>
  <c r="R31" i="1" s="1"/>
  <c r="R35" i="1" s="1"/>
  <c r="Q29" i="1"/>
  <c r="N29" i="1"/>
  <c r="M29" i="1"/>
  <c r="I29" i="1"/>
  <c r="H29" i="1"/>
  <c r="H21" i="1" s="1"/>
  <c r="AC28" i="1"/>
  <c r="X28" i="1"/>
  <c r="S28" i="1"/>
  <c r="N28" i="1"/>
  <c r="M28" i="1"/>
  <c r="I28" i="1"/>
  <c r="H28" i="1"/>
  <c r="AC27" i="1"/>
  <c r="X27" i="1"/>
  <c r="S27" i="1"/>
  <c r="N27" i="1"/>
  <c r="N21" i="1" s="1"/>
  <c r="M27" i="1"/>
  <c r="I27" i="1"/>
  <c r="H27" i="1"/>
  <c r="N26" i="1"/>
  <c r="M26" i="1"/>
  <c r="M21" i="1" s="1"/>
  <c r="I26" i="1"/>
  <c r="I22" i="1" s="1"/>
  <c r="H26" i="1"/>
  <c r="N25" i="1"/>
  <c r="M25" i="1"/>
  <c r="F25" i="1"/>
  <c r="E25" i="1"/>
  <c r="D25" i="1"/>
  <c r="I25" i="1" s="1"/>
  <c r="C25" i="1"/>
  <c r="H25" i="1" s="1"/>
  <c r="T24" i="1"/>
  <c r="R24" i="1"/>
  <c r="Q24" i="1"/>
  <c r="S24" i="1" s="1"/>
  <c r="T22" i="1"/>
  <c r="S22" i="1"/>
  <c r="N22" i="1"/>
  <c r="L22" i="1"/>
  <c r="K22" i="1"/>
  <c r="J22" i="1"/>
  <c r="G22" i="1"/>
  <c r="F22" i="1"/>
  <c r="E22" i="1"/>
  <c r="D22" i="1"/>
  <c r="C22" i="1"/>
  <c r="T21" i="1"/>
  <c r="S21" i="1"/>
  <c r="J21" i="1"/>
  <c r="I21" i="1"/>
  <c r="G21" i="1"/>
  <c r="F21" i="1"/>
  <c r="E21" i="1"/>
  <c r="D21" i="1"/>
  <c r="C21" i="1"/>
  <c r="T20" i="1"/>
  <c r="S20" i="1"/>
  <c r="T19" i="1"/>
  <c r="S19" i="1"/>
  <c r="C19" i="1"/>
  <c r="T18" i="1"/>
  <c r="S18" i="1"/>
  <c r="R15" i="1"/>
  <c r="S13" i="1" s="1"/>
  <c r="Q9" i="1" s="1"/>
  <c r="Q15" i="1"/>
  <c r="P15" i="1"/>
  <c r="G14" i="1"/>
  <c r="E14" i="1"/>
  <c r="D14" i="1"/>
  <c r="D18" i="1" s="1"/>
  <c r="C14" i="1"/>
  <c r="C13" i="1" s="1"/>
  <c r="C12" i="1" s="1"/>
  <c r="N13" i="1"/>
  <c r="G13" i="1"/>
  <c r="E13" i="1"/>
  <c r="E12" i="1" s="1"/>
  <c r="G12" i="1" s="1"/>
  <c r="D13" i="1"/>
  <c r="D12" i="1" s="1"/>
  <c r="T9" i="1"/>
  <c r="S9" i="1"/>
  <c r="R9" i="1"/>
  <c r="O9" i="1"/>
  <c r="K9" i="1"/>
  <c r="H9" i="1"/>
  <c r="G9" i="1"/>
  <c r="E9" i="1"/>
  <c r="D9" i="1"/>
  <c r="C9" i="1"/>
  <c r="B9" i="1"/>
  <c r="T5" i="1"/>
  <c r="S5" i="1"/>
  <c r="R5" i="1"/>
  <c r="Q5" i="1"/>
  <c r="P5" i="1"/>
  <c r="O5" i="1"/>
  <c r="N5" i="1"/>
  <c r="M5" i="1"/>
  <c r="L5" i="1"/>
  <c r="J5" i="1"/>
  <c r="I5" i="1"/>
  <c r="G5" i="1"/>
  <c r="W4" i="1"/>
  <c r="Q4" i="1"/>
  <c r="P4" i="1"/>
  <c r="H4" i="1"/>
  <c r="F4" i="1"/>
  <c r="E4" i="1"/>
  <c r="W3" i="1"/>
  <c r="W5" i="1" s="1"/>
  <c r="Q3" i="1"/>
  <c r="P3" i="1"/>
  <c r="H3" i="1"/>
  <c r="N9" i="1" s="1"/>
  <c r="F3" i="1"/>
  <c r="L9" i="1" s="1"/>
  <c r="E3" i="1"/>
  <c r="F9" i="1" s="1"/>
  <c r="D3" i="1"/>
  <c r="C3" i="1"/>
  <c r="P9" i="1" s="1"/>
  <c r="S31" i="1" l="1"/>
  <c r="S35" i="1"/>
  <c r="S41" i="1"/>
  <c r="C5" i="1"/>
  <c r="S45" i="1"/>
  <c r="S49" i="1"/>
  <c r="D4" i="1"/>
  <c r="D5" i="1" s="1"/>
  <c r="S43" i="1"/>
  <c r="E5" i="1"/>
  <c r="J9" i="1"/>
  <c r="S46" i="1"/>
  <c r="S50" i="1"/>
  <c r="F5" i="1"/>
  <c r="M22" i="1"/>
  <c r="S29" i="1"/>
  <c r="S47" i="1"/>
  <c r="H5" i="1"/>
  <c r="M9" i="1"/>
  <c r="S44" i="1"/>
  <c r="S48" i="1"/>
  <c r="S52" i="1"/>
  <c r="S42" i="1"/>
</calcChain>
</file>

<file path=xl/sharedStrings.xml><?xml version="1.0" encoding="utf-8"?>
<sst xmlns="http://schemas.openxmlformats.org/spreadsheetml/2006/main" count="210" uniqueCount="135">
  <si>
    <t>INC. STAT.</t>
  </si>
  <si>
    <t>BAL. SHEET</t>
  </si>
  <si>
    <t>CASHFLOW</t>
  </si>
  <si>
    <t>COMPANY</t>
  </si>
  <si>
    <t>PRICE</t>
  </si>
  <si>
    <t>MCAP</t>
  </si>
  <si>
    <t>SALES</t>
  </si>
  <si>
    <t>PROFIT</t>
  </si>
  <si>
    <t>PBITDA</t>
  </si>
  <si>
    <t>F-EPS</t>
  </si>
  <si>
    <t>EQUITY</t>
  </si>
  <si>
    <t>RESERVE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</si>
  <si>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</si>
  <si>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</si>
  <si>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</si>
  <si>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</si>
  <si>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</si>
  <si>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</si>
  <si>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</si>
  <si>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</si>
  <si>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PPE_CF</t>
  </si>
  <si>
    <t>CFO</t>
  </si>
  <si>
    <t>CFI</t>
  </si>
  <si>
    <t>CFF</t>
  </si>
  <si>
    <t>NETCASHFLOW</t>
  </si>
  <si>
    <t>IRCTC</t>
  </si>
  <si>
    <t>LAST Year_FY_24</t>
  </si>
  <si>
    <t>GROWTH</t>
  </si>
  <si>
    <t>LIQUIDITY</t>
  </si>
  <si>
    <t>SOLVENCY</t>
  </si>
  <si>
    <t>PROFITABILITY</t>
  </si>
  <si>
    <t>VALUATIONS</t>
  </si>
  <si>
    <t>CFR</t>
  </si>
  <si>
    <t>SALES GROWTH</t>
  </si>
  <si>
    <t>PROFIT GROWTH</t>
  </si>
  <si>
    <t>P-MARGIN</t>
  </si>
  <si>
    <t>CUR.RATIO</t>
  </si>
  <si>
    <t>TRADE CYC</t>
  </si>
  <si>
    <t>DEBT2EQUITY</t>
  </si>
  <si>
    <t>DEBTRATIO</t>
  </si>
  <si>
    <t>ICR</t>
  </si>
  <si>
    <t>ROE</t>
  </si>
  <si>
    <t>ROCE</t>
  </si>
  <si>
    <t>ROA</t>
  </si>
  <si>
    <t>F_PE</t>
  </si>
  <si>
    <t>F_YIELD</t>
  </si>
  <si>
    <t>BOOKVALUE</t>
  </si>
  <si>
    <t>PBV</t>
  </si>
  <si>
    <t>PEG</t>
  </si>
  <si>
    <t>OCFR</t>
  </si>
  <si>
    <t>CFD</t>
  </si>
  <si>
    <t>FCF IN CR</t>
  </si>
  <si>
    <t>ESTIMATE</t>
  </si>
  <si>
    <t>Year</t>
  </si>
  <si>
    <t>REVENUE</t>
  </si>
  <si>
    <t>EPS</t>
  </si>
  <si>
    <t>MARGIN</t>
  </si>
  <si>
    <t>FAIRVALUE</t>
  </si>
  <si>
    <t>FY_2035</t>
  </si>
  <si>
    <t>TRAIL</t>
  </si>
  <si>
    <t>Q2_FY24</t>
  </si>
  <si>
    <t>Q3_FY24</t>
  </si>
  <si>
    <t>Q4_FY24</t>
  </si>
  <si>
    <t>Q1_FY25</t>
  </si>
  <si>
    <t>EPS_24</t>
  </si>
  <si>
    <t>TRAIL_EPS</t>
  </si>
  <si>
    <t>F_EPS_25</t>
  </si>
  <si>
    <t>FY_2030</t>
  </si>
  <si>
    <t>FY_2025</t>
  </si>
  <si>
    <t>PE_24</t>
  </si>
  <si>
    <t>TRAIL_PE</t>
  </si>
  <si>
    <t>TREND</t>
  </si>
  <si>
    <t>H1_FY_24</t>
  </si>
  <si>
    <t>9M_FY_24</t>
  </si>
  <si>
    <t>FY_24</t>
  </si>
  <si>
    <t>EST - 2025</t>
  </si>
  <si>
    <t>Margin</t>
  </si>
  <si>
    <t>LONG TERM</t>
  </si>
  <si>
    <t>SEGMENT</t>
  </si>
  <si>
    <t>Q1_FY24</t>
  </si>
  <si>
    <t>SHARE.</t>
  </si>
  <si>
    <t>CATERING</t>
  </si>
  <si>
    <t>TICKETING</t>
  </si>
  <si>
    <t>EXP</t>
  </si>
  <si>
    <t>FINANCE</t>
  </si>
  <si>
    <t>RESEARVE</t>
  </si>
  <si>
    <t>HIGH PRICE.</t>
  </si>
  <si>
    <t>LOW PRICE</t>
  </si>
  <si>
    <t>HIGH PE.</t>
  </si>
  <si>
    <t>LOW PE</t>
  </si>
  <si>
    <t>TOURISM</t>
  </si>
  <si>
    <t>POST_IPO</t>
  </si>
  <si>
    <t>5 Years</t>
  </si>
  <si>
    <t>RAILNEER</t>
  </si>
  <si>
    <t>LAST YEAR</t>
  </si>
  <si>
    <t>LESS INTERSEGMENT</t>
  </si>
  <si>
    <t>ACTUAL</t>
  </si>
  <si>
    <t>TOTAL</t>
  </si>
  <si>
    <t>TRAIL_FY25</t>
  </si>
  <si>
    <t>FY_2024</t>
  </si>
  <si>
    <t>RESULTS</t>
  </si>
  <si>
    <t>Q4_FY23</t>
  </si>
  <si>
    <t>FY_23</t>
  </si>
  <si>
    <t>FY_2023</t>
  </si>
  <si>
    <t>FY_2022</t>
  </si>
  <si>
    <t>COST</t>
  </si>
  <si>
    <t>FY_2021</t>
  </si>
  <si>
    <t>EBITDA</t>
  </si>
  <si>
    <t>FY_2020</t>
  </si>
  <si>
    <t>IPO</t>
  </si>
  <si>
    <t>FY_2019</t>
  </si>
  <si>
    <t>EBTDA</t>
  </si>
  <si>
    <t>FY_2018</t>
  </si>
  <si>
    <t>PBT</t>
  </si>
  <si>
    <t>FY_2017</t>
  </si>
  <si>
    <t>FY_2016</t>
  </si>
  <si>
    <t>EBTDA%</t>
  </si>
  <si>
    <t>SHP</t>
  </si>
  <si>
    <t>FY_23 %</t>
  </si>
  <si>
    <t>FY_19 %</t>
  </si>
  <si>
    <t>PROMOTER</t>
  </si>
  <si>
    <t>MF, INSURANCE</t>
  </si>
  <si>
    <t>FPI</t>
  </si>
  <si>
    <t>M.SHARE</t>
  </si>
  <si>
    <t>RETAIL</t>
  </si>
  <si>
    <t>RAWMATERIAL</t>
  </si>
  <si>
    <t>OTHERS</t>
  </si>
  <si>
    <t>Stock In Trade</t>
  </si>
  <si>
    <t>Inventory</t>
  </si>
  <si>
    <t>Cattering</t>
  </si>
  <si>
    <t>Tourism</t>
  </si>
  <si>
    <t>MANUFACTURING</t>
  </si>
  <si>
    <t>EMPLOYEE</t>
  </si>
  <si>
    <t>D&amp;A</t>
  </si>
  <si>
    <t>OTHER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</si>
</sst>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4" x14ac:knownFonts="1">
    <font>
      <sz val="10"/>
      <color rgb="FF000000"/>
      <name val="Arial"/>
      <scheme val="minor"/>
    </font>
    <font>
      <sz val="11"/>
      <color theme="1"/>
      <name val="Calibri"/>
    </font>
    <font>
      <sz val="11"/>
      <color rgb="FFFFFFFF"/>
      <name val="Arial"/>
    </font>
    <font>
      <sz val="11"/>
      <color theme="1"/>
      <name val="Arial"/>
    </font>
    <font>
      <sz val="10"/>
      <color theme="1"/>
      <name val="Arial"/>
      <scheme val="minor"/>
    </font>
    <font>
      <sz val="10"/>
      <color rgb="FF000000"/>
      <name val="Calibri"/>
    </font>
    <font>
      <b/>
      <i/>
      <sz val="11"/>
      <color theme="1"/>
      <name val="Calibri"/>
    </font>
    <font>
      <b/>
      <sz val="11"/>
      <color rgb="FFFFFFFF"/>
      <name val="Calibri"/>
    </font>
    <font>
      <sz val="11"/>
      <color rgb="FF000000"/>
      <name val="Calibri"/>
    </font>
    <font>
      <b/>
      <sz val="14"/>
      <color rgb="FFFFFFFF"/>
      <name val="Calibri"/>
    </font>
    <font>
      <b/>
      <sz val="24"/>
      <color theme="1"/>
      <name val="Calibri"/>
    </font>
    <font>
      <b/>
      <i/>
      <sz val="10"/>
      <color theme="1"/>
      <name val="Arial"/>
      <scheme val="minor"/>
    </font>
    <font>
      <sz val="11"/>
      <color rgb="FF000000"/>
      <name val="Arial"/>
      <scheme val="minor"/>
    </font>
    <font>
      <sz val="11"/>
      <color theme="1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57BB8A"/>
        <bgColor rgb="FF57BB8A"/>
      </patternFill>
    </fill>
    <fill>
      <patternFill patternType="solid">
        <fgColor rgb="FF65C194"/>
        <bgColor rgb="FF65C194"/>
      </patternFill>
    </fill>
    <fill>
      <patternFill patternType="solid">
        <fgColor rgb="FFE67C73"/>
        <bgColor rgb="FFE67C73"/>
      </patternFill>
    </fill>
    <fill>
      <patternFill patternType="solid">
        <fgColor rgb="FFFEFFFE"/>
        <bgColor rgb="FFFEFFFE"/>
      </patternFill>
    </fill>
    <fill>
      <patternFill patternType="solid">
        <fgColor rgb="FFF0B1AC"/>
        <bgColor rgb="FFF0B1AC"/>
      </patternFill>
    </fill>
    <fill>
      <patternFill patternType="solid">
        <fgColor rgb="FFEB968F"/>
        <bgColor rgb="FFEB968F"/>
      </patternFill>
    </fill>
    <fill>
      <patternFill patternType="solid">
        <fgColor rgb="FFFAFDFC"/>
        <bgColor rgb="FFFAFDFC"/>
      </patternFill>
    </fill>
    <fill>
      <patternFill patternType="solid">
        <fgColor rgb="FFFDFFFE"/>
        <bgColor rgb="FFFDFFF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2" xfId="0" applyFont="1" applyFill="1" applyBorder="1"/>
    <xf numFmtId="0" fontId="1" fillId="0" borderId="3" xfId="0" applyFont="1" applyBorder="1"/>
    <xf numFmtId="0" fontId="2" fillId="2" borderId="4" xfId="0" applyFont="1" applyFill="1" applyBorder="1"/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" fillId="0" borderId="4" xfId="0" applyFont="1" applyBorder="1"/>
    <xf numFmtId="1" fontId="1" fillId="0" borderId="4" xfId="0" applyNumberFormat="1" applyFont="1" applyBorder="1"/>
    <xf numFmtId="0" fontId="6" fillId="3" borderId="4" xfId="0" applyFont="1" applyFill="1" applyBorder="1"/>
    <xf numFmtId="9" fontId="6" fillId="3" borderId="4" xfId="0" applyNumberFormat="1" applyFont="1" applyFill="1" applyBorder="1"/>
    <xf numFmtId="0" fontId="2" fillId="2" borderId="1" xfId="0" applyFont="1" applyFill="1" applyBorder="1"/>
    <xf numFmtId="0" fontId="7" fillId="4" borderId="0" xfId="0" applyFont="1" applyFill="1" applyAlignment="1">
      <alignment horizontal="left"/>
    </xf>
    <xf numFmtId="0" fontId="8" fillId="5" borderId="0" xfId="0" applyFont="1" applyFill="1"/>
    <xf numFmtId="0" fontId="5" fillId="0" borderId="0" xfId="0" applyFont="1"/>
    <xf numFmtId="9" fontId="3" fillId="3" borderId="4" xfId="0" applyNumberFormat="1" applyFont="1" applyFill="1" applyBorder="1"/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/>
    <xf numFmtId="165" fontId="3" fillId="3" borderId="4" xfId="0" applyNumberFormat="1" applyFont="1" applyFill="1" applyBorder="1"/>
    <xf numFmtId="1" fontId="3" fillId="3" borderId="4" xfId="0" applyNumberFormat="1" applyFont="1" applyFill="1" applyBorder="1"/>
    <xf numFmtId="0" fontId="3" fillId="3" borderId="4" xfId="0" applyFont="1" applyFill="1" applyBorder="1"/>
    <xf numFmtId="9" fontId="3" fillId="3" borderId="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66" fontId="3" fillId="3" borderId="4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1" fontId="1" fillId="0" borderId="0" xfId="0" applyNumberFormat="1" applyFont="1"/>
    <xf numFmtId="0" fontId="4" fillId="0" borderId="4" xfId="0" applyFont="1" applyBorder="1" applyAlignment="1">
      <alignment horizontal="left"/>
    </xf>
    <xf numFmtId="3" fontId="4" fillId="0" borderId="4" xfId="0" applyNumberFormat="1" applyFont="1" applyBorder="1"/>
    <xf numFmtId="9" fontId="4" fillId="0" borderId="4" xfId="0" applyNumberFormat="1" applyFont="1" applyBorder="1"/>
    <xf numFmtId="1" fontId="4" fillId="0" borderId="4" xfId="0" applyNumberFormat="1" applyFont="1" applyBorder="1"/>
    <xf numFmtId="0" fontId="9" fillId="4" borderId="4" xfId="0" applyFont="1" applyFill="1" applyBorder="1"/>
    <xf numFmtId="0" fontId="9" fillId="4" borderId="6" xfId="0" applyFont="1" applyFill="1" applyBorder="1"/>
    <xf numFmtId="0" fontId="9" fillId="4" borderId="4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" fillId="0" borderId="5" xfId="0" applyFont="1" applyBorder="1"/>
    <xf numFmtId="0" fontId="1" fillId="0" borderId="2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66" fontId="4" fillId="0" borderId="4" xfId="0" applyNumberFormat="1" applyFont="1" applyBorder="1"/>
    <xf numFmtId="0" fontId="9" fillId="4" borderId="5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5" xfId="0" applyFont="1" applyFill="1" applyBorder="1"/>
    <xf numFmtId="0" fontId="9" fillId="4" borderId="2" xfId="0" applyFont="1" applyFill="1" applyBorder="1"/>
    <xf numFmtId="1" fontId="3" fillId="8" borderId="5" xfId="0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9" fontId="3" fillId="6" borderId="2" xfId="0" applyNumberFormat="1" applyFont="1" applyFill="1" applyBorder="1" applyAlignment="1">
      <alignment horizontal="right"/>
    </xf>
    <xf numFmtId="165" fontId="4" fillId="0" borderId="4" xfId="0" applyNumberFormat="1" applyFont="1" applyBorder="1"/>
    <xf numFmtId="0" fontId="4" fillId="0" borderId="0" xfId="0" applyFont="1"/>
    <xf numFmtId="9" fontId="1" fillId="0" borderId="2" xfId="0" applyNumberFormat="1" applyFont="1" applyBorder="1" applyAlignment="1">
      <alignment horizontal="right"/>
    </xf>
    <xf numFmtId="9" fontId="1" fillId="0" borderId="4" xfId="0" applyNumberFormat="1" applyFont="1" applyBorder="1" applyAlignment="1">
      <alignment horizontal="right"/>
    </xf>
    <xf numFmtId="0" fontId="1" fillId="0" borderId="5" xfId="0" applyFont="1" applyBorder="1"/>
    <xf numFmtId="9" fontId="4" fillId="0" borderId="0" xfId="0" applyNumberFormat="1" applyFont="1"/>
    <xf numFmtId="164" fontId="4" fillId="0" borderId="0" xfId="0" applyNumberFormat="1" applyFont="1"/>
    <xf numFmtId="0" fontId="11" fillId="0" borderId="4" xfId="0" applyFont="1" applyBorder="1"/>
    <xf numFmtId="9" fontId="11" fillId="0" borderId="4" xfId="0" applyNumberFormat="1" applyFont="1" applyBorder="1"/>
    <xf numFmtId="0" fontId="12" fillId="5" borderId="4" xfId="0" applyFont="1" applyFill="1" applyBorder="1" applyAlignment="1">
      <alignment horizontal="left"/>
    </xf>
    <xf numFmtId="1" fontId="13" fillId="0" borderId="4" xfId="0" applyNumberFormat="1" applyFont="1" applyBorder="1"/>
    <xf numFmtId="165" fontId="1" fillId="0" borderId="2" xfId="0" applyNumberFormat="1" applyFont="1" applyBorder="1" applyAlignment="1">
      <alignment horizontal="right"/>
    </xf>
    <xf numFmtId="165" fontId="4" fillId="0" borderId="0" xfId="0" applyNumberFormat="1" applyFont="1"/>
    <xf numFmtId="0" fontId="12" fillId="0" borderId="4" xfId="0" applyFont="1" applyBorder="1"/>
    <xf numFmtId="1" fontId="12" fillId="0" borderId="4" xfId="0" applyNumberFormat="1" applyFont="1" applyBorder="1"/>
    <xf numFmtId="164" fontId="12" fillId="0" borderId="4" xfId="0" applyNumberFormat="1" applyFont="1" applyBorder="1"/>
    <xf numFmtId="1" fontId="1" fillId="0" borderId="2" xfId="0" applyNumberFormat="1" applyFont="1" applyBorder="1" applyAlignment="1">
      <alignment horizontal="right"/>
    </xf>
    <xf numFmtId="0" fontId="13" fillId="0" borderId="4" xfId="0" applyFont="1" applyBorder="1"/>
    <xf numFmtId="164" fontId="13" fillId="0" borderId="4" xfId="0" applyNumberFormat="1" applyFont="1" applyBorder="1"/>
    <xf numFmtId="166" fontId="1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0" fontId="4" fillId="0" borderId="0" xfId="0" applyNumberFormat="1" applyFont="1"/>
    <xf numFmtId="1" fontId="1" fillId="0" borderId="4" xfId="0" applyNumberFormat="1" applyFont="1" applyBorder="1" applyAlignment="1">
      <alignment horizontal="right"/>
    </xf>
    <xf numFmtId="1" fontId="4" fillId="0" borderId="0" xfId="0" applyNumberFormat="1" applyFont="1"/>
    <xf numFmtId="9" fontId="1" fillId="6" borderId="2" xfId="0" applyNumberFormat="1" applyFont="1" applyFill="1" applyBorder="1" applyAlignment="1">
      <alignment horizontal="right"/>
    </xf>
    <xf numFmtId="9" fontId="1" fillId="10" borderId="2" xfId="0" applyNumberFormat="1" applyFont="1" applyFill="1" applyBorder="1" applyAlignment="1">
      <alignment horizontal="right"/>
    </xf>
    <xf numFmtId="9" fontId="1" fillId="8" borderId="2" xfId="0" applyNumberFormat="1" applyFont="1" applyFill="1" applyBorder="1" applyAlignment="1">
      <alignment horizontal="right"/>
    </xf>
    <xf numFmtId="0" fontId="11" fillId="0" borderId="7" xfId="0" applyFont="1" applyBorder="1"/>
    <xf numFmtId="1" fontId="11" fillId="0" borderId="7" xfId="0" applyNumberFormat="1" applyFont="1" applyBorder="1"/>
    <xf numFmtId="9" fontId="11" fillId="0" borderId="7" xfId="0" applyNumberFormat="1" applyFont="1" applyBorder="1"/>
    <xf numFmtId="9" fontId="1" fillId="11" borderId="2" xfId="0" applyNumberFormat="1" applyFont="1" applyFill="1" applyBorder="1" applyAlignment="1">
      <alignment horizontal="right"/>
    </xf>
    <xf numFmtId="9" fontId="1" fillId="12" borderId="2" xfId="0" applyNumberFormat="1" applyFont="1" applyFill="1" applyBorder="1" applyAlignment="1">
      <alignment horizontal="right"/>
    </xf>
    <xf numFmtId="9" fontId="1" fillId="13" borderId="2" xfId="0" applyNumberFormat="1" applyFont="1" applyFill="1" applyBorder="1" applyAlignment="1">
      <alignment horizontal="right"/>
    </xf>
    <xf numFmtId="9" fontId="1" fillId="5" borderId="2" xfId="0" applyNumberFormat="1" applyFont="1" applyFill="1" applyBorder="1" applyAlignment="1">
      <alignment horizontal="right"/>
    </xf>
    <xf numFmtId="0" fontId="6" fillId="0" borderId="5" xfId="0" applyFont="1" applyBorder="1"/>
    <xf numFmtId="0" fontId="6" fillId="0" borderId="2" xfId="0" applyFont="1" applyBorder="1" applyAlignment="1">
      <alignment horizontal="right"/>
    </xf>
    <xf numFmtId="9" fontId="6" fillId="0" borderId="2" xfId="0" applyNumberFormat="1" applyFont="1" applyBorder="1" applyAlignment="1">
      <alignment horizontal="right"/>
    </xf>
    <xf numFmtId="164" fontId="10" fillId="3" borderId="0" xfId="0" applyNumberFormat="1" applyFont="1" applyFill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35</xdr:row>
      <xdr:rowOff>-190500</xdr:rowOff>
    </xdr:from>
    <xdr:ext cx="5762625" cy="57626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5"/>
  <sheetViews>
    <sheetView showGridLines="0" tabSelected="1" workbookViewId="0"/>
  </sheetViews>
  <sheetFormatPr defaultColWidth="12.6640625" defaultRowHeight="15.75" customHeight="1" x14ac:dyDescent="0.25"/>
  <cols>
    <col min="1" max="1" width="11.21875" customWidth="1"/>
    <col min="2" max="2" width="19.109375" customWidth="1"/>
    <col min="3" max="3" width="16.6640625" customWidth="1"/>
    <col min="4" max="4" width="10.109375" customWidth="1"/>
    <col min="5" max="5" width="11" customWidth="1"/>
    <col min="6" max="6" width="11.6640625" customWidth="1"/>
    <col min="7" max="7" width="13.77734375" customWidth="1"/>
    <col min="8" max="8" width="11.33203125" customWidth="1"/>
    <col min="9" max="9" width="9.77734375" customWidth="1"/>
    <col min="10" max="10" width="14.33203125" customWidth="1"/>
    <col min="11" max="11" width="12.21875" customWidth="1"/>
    <col min="12" max="12" width="11.21875" customWidth="1"/>
    <col min="13" max="13" width="12.33203125" customWidth="1"/>
    <col min="14" max="14" width="13.88671875" customWidth="1"/>
    <col min="15" max="15" width="12.109375" customWidth="1"/>
    <col min="16" max="16" width="15.6640625" customWidth="1"/>
    <col min="17" max="17" width="16.88671875" customWidth="1"/>
    <col min="18" max="18" width="15.33203125" customWidth="1"/>
    <col min="19" max="20" width="10.109375" customWidth="1"/>
    <col min="21" max="21" width="13.21875" customWidth="1"/>
    <col min="22" max="22" width="10.88671875" customWidth="1"/>
    <col min="23" max="23" width="10.21875" customWidth="1"/>
    <col min="24" max="24" width="7.88671875" customWidth="1"/>
    <col min="25" max="25" width="9.33203125" customWidth="1"/>
    <col min="26" max="27" width="10" customWidth="1"/>
    <col min="28" max="29" width="10.109375" customWidth="1"/>
    <col min="30" max="31" width="7.6640625" customWidth="1"/>
  </cols>
  <sheetData>
    <row r="1" spans="1:31" ht="15.75" customHeight="1" x14ac:dyDescent="0.3">
      <c r="A1" s="1"/>
      <c r="B1" s="2"/>
      <c r="C1" s="2"/>
      <c r="D1" s="2"/>
      <c r="E1" s="3" t="s">
        <v>0</v>
      </c>
      <c r="F1" s="2"/>
      <c r="G1" s="2"/>
      <c r="H1" s="2"/>
      <c r="I1" s="3" t="s">
        <v>1</v>
      </c>
      <c r="J1" s="2"/>
      <c r="K1" s="2"/>
      <c r="L1" s="2"/>
      <c r="M1" s="2"/>
      <c r="N1" s="2"/>
      <c r="O1" s="2"/>
      <c r="P1" s="2"/>
      <c r="Q1" s="2"/>
      <c r="R1" s="1"/>
      <c r="S1" s="3" t="s">
        <v>2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customHeight="1" x14ac:dyDescent="0.3">
      <c r="A2" s="4"/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5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1"/>
      <c r="Y2" s="1"/>
      <c r="Z2" s="1"/>
      <c r="AA2" s="1"/>
      <c r="AB2" s="1"/>
      <c r="AC2" s="1"/>
      <c r="AD2" s="1"/>
      <c r="AE2" s="1"/>
    </row>
    <row r="3" spans="1:31" ht="15.75" customHeight="1" x14ac:dyDescent="0.3">
      <c r="A3" s="4"/>
      <c r="B3" s="6" t="s">
        <v>25</v>
      </c>
      <c r="C3" s="7">
        <f ca="1">IFERROR(__xludf.DUMMYFUNCTION("GOOGLEFINANCE(""nse:""&amp;$B$3,""price"")"),918)</f>
        <v>918</v>
      </c>
      <c r="D3" s="7">
        <f ca="1">IFERROR(__xludf.DUMMYFUNCTION("GOOGLEFINANCE(""nse:""&amp;$B$3,""MARKETCAP"")/10000000"),73467.9660793)</f>
        <v>73467.966079299993</v>
      </c>
      <c r="E3" s="8">
        <f t="shared" ref="E3:F3" si="0">C14</f>
        <v>4910.5</v>
      </c>
      <c r="F3" s="8">
        <f t="shared" si="0"/>
        <v>1325.835</v>
      </c>
      <c r="G3" s="9"/>
      <c r="H3" s="8">
        <f>E14</f>
        <v>16.570770000000003</v>
      </c>
      <c r="I3" s="7">
        <v>160</v>
      </c>
      <c r="J3" s="7">
        <v>3069</v>
      </c>
      <c r="K3" s="8">
        <v>0</v>
      </c>
      <c r="L3" s="8">
        <v>60</v>
      </c>
      <c r="M3" s="8">
        <v>2</v>
      </c>
      <c r="N3" s="7">
        <v>5129</v>
      </c>
      <c r="O3" s="7">
        <v>2631</v>
      </c>
      <c r="P3" s="7">
        <f>N3+961</f>
        <v>6090</v>
      </c>
      <c r="Q3" s="7">
        <f>O3+229</f>
        <v>2860</v>
      </c>
      <c r="R3" s="7">
        <v>1374</v>
      </c>
      <c r="S3" s="10">
        <v>232</v>
      </c>
      <c r="T3" s="11">
        <v>882</v>
      </c>
      <c r="U3" s="12">
        <v>-215</v>
      </c>
      <c r="V3" s="12">
        <v>-404</v>
      </c>
      <c r="W3" s="13">
        <f t="shared" ref="W3:W4" si="1">SUM(T3:V3)</f>
        <v>263</v>
      </c>
      <c r="X3" s="1"/>
      <c r="Y3" s="1"/>
      <c r="Z3" s="1"/>
      <c r="AA3" s="1"/>
      <c r="AB3" s="1"/>
      <c r="AC3" s="1"/>
      <c r="AD3" s="1"/>
      <c r="AE3" s="1"/>
    </row>
    <row r="4" spans="1:31" ht="15.75" customHeight="1" x14ac:dyDescent="0.3">
      <c r="A4" s="1"/>
      <c r="B4" s="13" t="s">
        <v>26</v>
      </c>
      <c r="C4" s="13">
        <v>929</v>
      </c>
      <c r="D4" s="14">
        <f ca="1">C4*D3/C3</f>
        <v>74348.301184825366</v>
      </c>
      <c r="E4" s="13">
        <f>C26</f>
        <v>4270</v>
      </c>
      <c r="F4" s="14">
        <f>F25</f>
        <v>1186.5</v>
      </c>
      <c r="G4" s="9"/>
      <c r="H4" s="13">
        <f>G26</f>
        <v>13.89</v>
      </c>
      <c r="I4" s="13">
        <v>160</v>
      </c>
      <c r="J4" s="13">
        <v>2318</v>
      </c>
      <c r="K4" s="13">
        <v>0</v>
      </c>
      <c r="L4" s="13">
        <v>83</v>
      </c>
      <c r="M4" s="13">
        <v>2</v>
      </c>
      <c r="N4" s="13">
        <v>4351</v>
      </c>
      <c r="O4" s="13">
        <v>2391</v>
      </c>
      <c r="P4" s="13">
        <f>N4+736</f>
        <v>5087</v>
      </c>
      <c r="Q4" s="13">
        <f>O4+219</f>
        <v>2610</v>
      </c>
      <c r="R4" s="13">
        <v>1142</v>
      </c>
      <c r="S4" s="10">
        <v>68</v>
      </c>
      <c r="T4" s="11">
        <v>811</v>
      </c>
      <c r="U4" s="12">
        <v>-316</v>
      </c>
      <c r="V4" s="12">
        <v>-434</v>
      </c>
      <c r="W4" s="13">
        <f t="shared" si="1"/>
        <v>61</v>
      </c>
      <c r="X4" s="1"/>
      <c r="Y4" s="1"/>
      <c r="Z4" s="1"/>
      <c r="AA4" s="1"/>
      <c r="AB4" s="1"/>
      <c r="AC4" s="1"/>
      <c r="AD4" s="1"/>
      <c r="AE4" s="1"/>
    </row>
    <row r="5" spans="1:31" ht="15.75" customHeight="1" x14ac:dyDescent="0.3">
      <c r="A5" s="1"/>
      <c r="B5" s="15" t="s">
        <v>27</v>
      </c>
      <c r="C5" s="16">
        <f t="shared" ref="C5:J5" ca="1" si="2">(C3/C4)-1</f>
        <v>-1.1840688912809427E-2</v>
      </c>
      <c r="D5" s="16">
        <f t="shared" ca="1" si="2"/>
        <v>-1.1840688912809316E-2</v>
      </c>
      <c r="E5" s="16">
        <f t="shared" si="2"/>
        <v>0.14999999999999991</v>
      </c>
      <c r="F5" s="16">
        <f t="shared" si="2"/>
        <v>0.11743362831858417</v>
      </c>
      <c r="G5" s="16" t="e">
        <f t="shared" si="2"/>
        <v>#DIV/0!</v>
      </c>
      <c r="H5" s="16">
        <f t="shared" si="2"/>
        <v>0.19300000000000028</v>
      </c>
      <c r="I5" s="16">
        <f t="shared" si="2"/>
        <v>0</v>
      </c>
      <c r="J5" s="16">
        <f t="shared" si="2"/>
        <v>0.32398619499568593</v>
      </c>
      <c r="K5" s="16"/>
      <c r="L5" s="16">
        <f t="shared" ref="L5:T5" si="3">(L3/L4)-1</f>
        <v>-0.27710843373493976</v>
      </c>
      <c r="M5" s="16">
        <f t="shared" si="3"/>
        <v>0</v>
      </c>
      <c r="N5" s="16">
        <f t="shared" si="3"/>
        <v>0.17880946908756612</v>
      </c>
      <c r="O5" s="16">
        <f t="shared" si="3"/>
        <v>0.10037641154328725</v>
      </c>
      <c r="P5" s="16">
        <f t="shared" si="3"/>
        <v>0.1971692549636328</v>
      </c>
      <c r="Q5" s="16">
        <f t="shared" si="3"/>
        <v>9.578544061302674E-2</v>
      </c>
      <c r="R5" s="16">
        <f t="shared" si="3"/>
        <v>0.20315236427320493</v>
      </c>
      <c r="S5" s="16">
        <f t="shared" si="3"/>
        <v>2.4117647058823528</v>
      </c>
      <c r="T5" s="16">
        <f t="shared" si="3"/>
        <v>8.7546239210850807E-2</v>
      </c>
      <c r="U5" s="16">
        <v>-0.3</v>
      </c>
      <c r="V5" s="16">
        <v>-0.68</v>
      </c>
      <c r="W5" s="16">
        <f>(W3/W4)-1</f>
        <v>3.3114754098360653</v>
      </c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customHeight="1" x14ac:dyDescent="0.3">
      <c r="A7" s="1"/>
      <c r="B7" s="17" t="s">
        <v>27</v>
      </c>
      <c r="C7" s="2"/>
      <c r="D7" s="17" t="s">
        <v>28</v>
      </c>
      <c r="E7" s="2"/>
      <c r="F7" s="2"/>
      <c r="G7" s="17" t="s">
        <v>29</v>
      </c>
      <c r="H7" s="2"/>
      <c r="I7" s="2"/>
      <c r="J7" s="17" t="s">
        <v>30</v>
      </c>
      <c r="K7" s="2"/>
      <c r="L7" s="2"/>
      <c r="M7" s="17" t="s">
        <v>31</v>
      </c>
      <c r="N7" s="2"/>
      <c r="O7" s="2"/>
      <c r="P7" s="2"/>
      <c r="Q7" s="1"/>
      <c r="R7" s="18" t="s">
        <v>32</v>
      </c>
      <c r="S7" s="19"/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customHeight="1" x14ac:dyDescent="0.3">
      <c r="A8" s="4"/>
      <c r="B8" s="21" t="s">
        <v>33</v>
      </c>
      <c r="C8" s="21" t="s">
        <v>34</v>
      </c>
      <c r="D8" s="22" t="s">
        <v>35</v>
      </c>
      <c r="E8" s="23" t="s">
        <v>36</v>
      </c>
      <c r="F8" s="21" t="s">
        <v>37</v>
      </c>
      <c r="G8" s="21" t="s">
        <v>38</v>
      </c>
      <c r="H8" s="24" t="s">
        <v>39</v>
      </c>
      <c r="I8" s="21" t="s">
        <v>40</v>
      </c>
      <c r="J8" s="23" t="s">
        <v>41</v>
      </c>
      <c r="K8" s="25" t="s">
        <v>42</v>
      </c>
      <c r="L8" s="24" t="s">
        <v>43</v>
      </c>
      <c r="M8" s="25" t="s">
        <v>44</v>
      </c>
      <c r="N8" s="26" t="s">
        <v>45</v>
      </c>
      <c r="O8" s="26" t="s">
        <v>46</v>
      </c>
      <c r="P8" s="26" t="s">
        <v>47</v>
      </c>
      <c r="Q8" s="26" t="s">
        <v>48</v>
      </c>
      <c r="R8" s="26" t="s">
        <v>49</v>
      </c>
      <c r="S8" s="26" t="s">
        <v>50</v>
      </c>
      <c r="T8" s="26" t="s">
        <v>51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 x14ac:dyDescent="0.3">
      <c r="A9" s="4"/>
      <c r="B9" s="27">
        <f>M16</f>
        <v>0.11799999999999999</v>
      </c>
      <c r="C9" s="27">
        <f>M18</f>
        <v>0.33</v>
      </c>
      <c r="D9" s="28">
        <f>M17</f>
        <v>0.27500000000000002</v>
      </c>
      <c r="E9" s="29">
        <f>N3/O3</f>
        <v>1.9494488787533257</v>
      </c>
      <c r="F9" s="30">
        <f>(R3/E3)*365</f>
        <v>102.13012931473372</v>
      </c>
      <c r="G9" s="27">
        <f>K3/(J3+I3)</f>
        <v>0</v>
      </c>
      <c r="H9" s="27">
        <f>Q3/P3</f>
        <v>0.46962233169129719</v>
      </c>
      <c r="I9" s="30">
        <f>Q37</f>
        <v>128.85714285714286</v>
      </c>
      <c r="J9" s="27">
        <f>F3/(I3+J3)</f>
        <v>0.41060235366986686</v>
      </c>
      <c r="K9" s="27">
        <f>G3/(P3-O3)</f>
        <v>0</v>
      </c>
      <c r="L9" s="27">
        <f>F3/P3</f>
        <v>0.21770689655172415</v>
      </c>
      <c r="M9" s="30">
        <f ca="1">C3/H3</f>
        <v>55.398753347008004</v>
      </c>
      <c r="N9" s="28">
        <f ca="1">H3/C3</f>
        <v>1.8050947712418303E-2</v>
      </c>
      <c r="O9" s="30">
        <f>(I3+J3)/(I3/M3)</f>
        <v>40.362499999999997</v>
      </c>
      <c r="P9" s="30">
        <f ca="1">C3/O9</f>
        <v>22.743883555280274</v>
      </c>
      <c r="Q9" s="29">
        <f ca="1">S13</f>
        <v>2.910589727330374</v>
      </c>
      <c r="R9" s="29">
        <f>T3-O3</f>
        <v>-1749</v>
      </c>
      <c r="S9" s="29">
        <f>T3-K3</f>
        <v>882</v>
      </c>
      <c r="T9" s="30">
        <f>T3-S3</f>
        <v>650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customHeight="1" x14ac:dyDescent="0.3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7" t="s">
        <v>52</v>
      </c>
      <c r="B11" s="17" t="s">
        <v>53</v>
      </c>
      <c r="C11" s="17" t="s">
        <v>54</v>
      </c>
      <c r="D11" s="17" t="s">
        <v>7</v>
      </c>
      <c r="E11" s="17" t="s">
        <v>55</v>
      </c>
      <c r="F11" s="17" t="s">
        <v>56</v>
      </c>
      <c r="G11" s="17" t="s">
        <v>57</v>
      </c>
    </row>
    <row r="12" spans="1:31" ht="15.75" customHeight="1" x14ac:dyDescent="0.35">
      <c r="B12" s="32" t="s">
        <v>58</v>
      </c>
      <c r="C12" s="33">
        <f t="shared" ref="C12:E12" si="4">FV(12%,5,0,-C13,0)</f>
        <v>17406.242530961343</v>
      </c>
      <c r="D12" s="33">
        <f t="shared" si="4"/>
        <v>4699.6854833595626</v>
      </c>
      <c r="E12" s="33">
        <f t="shared" si="4"/>
        <v>58.738385407754471</v>
      </c>
      <c r="F12" s="34">
        <v>0.26</v>
      </c>
      <c r="G12" s="35">
        <f t="shared" ref="G12:G14" si="5">E12*30</f>
        <v>1762.1515622326342</v>
      </c>
      <c r="I12" s="36" t="s">
        <v>59</v>
      </c>
      <c r="J12" s="37" t="s">
        <v>60</v>
      </c>
      <c r="K12" s="37" t="s">
        <v>61</v>
      </c>
      <c r="L12" s="37" t="s">
        <v>62</v>
      </c>
      <c r="M12" s="37" t="s">
        <v>63</v>
      </c>
      <c r="N12" s="37" t="s">
        <v>64</v>
      </c>
      <c r="P12" s="38" t="s">
        <v>64</v>
      </c>
      <c r="Q12" s="39" t="s">
        <v>65</v>
      </c>
      <c r="R12" s="39" t="s">
        <v>66</v>
      </c>
      <c r="S12" s="39" t="s">
        <v>48</v>
      </c>
    </row>
    <row r="13" spans="1:31" ht="15.75" customHeight="1" x14ac:dyDescent="0.3">
      <c r="B13" s="32" t="s">
        <v>67</v>
      </c>
      <c r="C13" s="33">
        <f t="shared" ref="C13:E13" si="6">FV(C17,5,0,-C14,0)</f>
        <v>9876.769469218747</v>
      </c>
      <c r="D13" s="33">
        <f t="shared" si="6"/>
        <v>2666.7277566890616</v>
      </c>
      <c r="E13" s="33">
        <f t="shared" si="6"/>
        <v>33.329737341909372</v>
      </c>
      <c r="F13" s="34">
        <v>0.26</v>
      </c>
      <c r="G13" s="35">
        <f t="shared" si="5"/>
        <v>999.89212025728114</v>
      </c>
      <c r="I13" s="40" t="s">
        <v>55</v>
      </c>
      <c r="J13" s="41">
        <v>3.68</v>
      </c>
      <c r="K13" s="41">
        <v>3.75</v>
      </c>
      <c r="L13" s="41">
        <v>3.55</v>
      </c>
      <c r="M13" s="41">
        <v>3.9</v>
      </c>
      <c r="N13" s="41">
        <f>SUM(J13:M13)</f>
        <v>14.88</v>
      </c>
      <c r="P13" s="42">
        <v>13.89</v>
      </c>
      <c r="Q13" s="43">
        <v>14.88</v>
      </c>
      <c r="R13" s="44">
        <v>16.600000000000001</v>
      </c>
      <c r="S13" s="91">
        <f ca="1">R15/19</f>
        <v>2.910589727330374</v>
      </c>
    </row>
    <row r="14" spans="1:31" ht="15.75" customHeight="1" x14ac:dyDescent="0.35">
      <c r="B14" s="32" t="s">
        <v>68</v>
      </c>
      <c r="C14" s="33">
        <f>FV(C18,1,0,-C26,0)</f>
        <v>4910.5</v>
      </c>
      <c r="D14" s="33">
        <f>C14*F18</f>
        <v>1325.835</v>
      </c>
      <c r="E14" s="45">
        <f>FV(E18,1,0,-G26,0)</f>
        <v>16.570770000000003</v>
      </c>
      <c r="F14" s="34">
        <v>0.26</v>
      </c>
      <c r="G14" s="35">
        <f t="shared" si="5"/>
        <v>497.12310000000008</v>
      </c>
      <c r="P14" s="46" t="s">
        <v>69</v>
      </c>
      <c r="Q14" s="47" t="s">
        <v>70</v>
      </c>
      <c r="R14" s="47" t="s">
        <v>44</v>
      </c>
      <c r="S14" s="92"/>
    </row>
    <row r="15" spans="1:31" ht="15.75" customHeight="1" x14ac:dyDescent="0.35">
      <c r="I15" s="48" t="s">
        <v>71</v>
      </c>
      <c r="J15" s="49" t="s">
        <v>72</v>
      </c>
      <c r="K15" s="49" t="s">
        <v>73</v>
      </c>
      <c r="L15" s="49" t="s">
        <v>74</v>
      </c>
      <c r="M15" s="49" t="s">
        <v>63</v>
      </c>
      <c r="N15" s="49" t="s">
        <v>75</v>
      </c>
      <c r="P15" s="50">
        <f>930/P13</f>
        <v>66.954643628509714</v>
      </c>
      <c r="Q15" s="51">
        <f ca="1">C3/Q13</f>
        <v>61.693548387096769</v>
      </c>
      <c r="R15" s="52">
        <f ca="1">C3/R13</f>
        <v>55.301204819277103</v>
      </c>
      <c r="S15" s="92"/>
    </row>
    <row r="16" spans="1:31" x14ac:dyDescent="0.25">
      <c r="A16" s="17" t="s">
        <v>52</v>
      </c>
      <c r="B16" s="5" t="s">
        <v>53</v>
      </c>
      <c r="C16" s="5" t="s">
        <v>54</v>
      </c>
      <c r="D16" s="5" t="s">
        <v>7</v>
      </c>
      <c r="E16" s="5" t="s">
        <v>55</v>
      </c>
      <c r="F16" s="5" t="s">
        <v>76</v>
      </c>
      <c r="I16" s="40" t="s">
        <v>6</v>
      </c>
      <c r="J16" s="53">
        <v>0.2</v>
      </c>
      <c r="K16" s="53">
        <v>0.21</v>
      </c>
      <c r="L16" s="53">
        <v>0.21</v>
      </c>
      <c r="M16" s="53">
        <v>0.11799999999999999</v>
      </c>
      <c r="N16" s="34">
        <v>0.15</v>
      </c>
    </row>
    <row r="17" spans="1:29" ht="15.75" customHeight="1" x14ac:dyDescent="0.35">
      <c r="B17" s="9" t="s">
        <v>77</v>
      </c>
      <c r="C17" s="54">
        <v>0.15</v>
      </c>
      <c r="D17" s="54">
        <v>0.15</v>
      </c>
      <c r="E17" s="54">
        <v>0.15</v>
      </c>
      <c r="F17" s="34">
        <v>0.26</v>
      </c>
      <c r="G17" s="55"/>
      <c r="I17" s="40" t="s">
        <v>56</v>
      </c>
      <c r="J17" s="56">
        <v>0.26400000000000001</v>
      </c>
      <c r="K17" s="56">
        <v>0.26500000000000001</v>
      </c>
      <c r="L17" s="56">
        <v>0.26</v>
      </c>
      <c r="M17" s="56">
        <v>0.27500000000000002</v>
      </c>
      <c r="N17" s="57">
        <v>0.27</v>
      </c>
      <c r="P17" s="17" t="s">
        <v>78</v>
      </c>
      <c r="Q17" s="36" t="s">
        <v>63</v>
      </c>
      <c r="R17" s="36" t="s">
        <v>79</v>
      </c>
      <c r="S17" s="17" t="s">
        <v>80</v>
      </c>
      <c r="T17" s="17" t="s">
        <v>27</v>
      </c>
    </row>
    <row r="18" spans="1:29" ht="15.75" customHeight="1" x14ac:dyDescent="0.3">
      <c r="B18" s="9" t="s">
        <v>68</v>
      </c>
      <c r="C18" s="54">
        <v>0.15</v>
      </c>
      <c r="D18" s="54">
        <f>(D14/F26)-1</f>
        <v>0.19337083708370839</v>
      </c>
      <c r="E18" s="54">
        <v>0.193</v>
      </c>
      <c r="F18" s="34">
        <v>0.27</v>
      </c>
      <c r="G18" s="55"/>
      <c r="I18" s="58" t="s">
        <v>7</v>
      </c>
      <c r="J18" s="56">
        <v>0.11</v>
      </c>
      <c r="K18" s="56">
        <v>0.13</v>
      </c>
      <c r="L18" s="56">
        <v>0.1</v>
      </c>
      <c r="M18" s="56">
        <v>0.33</v>
      </c>
      <c r="N18" s="57">
        <v>0.193</v>
      </c>
      <c r="P18" s="9" t="s">
        <v>81</v>
      </c>
      <c r="Q18" s="9">
        <v>559</v>
      </c>
      <c r="R18" s="9">
        <v>477</v>
      </c>
      <c r="S18" s="34">
        <f t="shared" ref="S18:S22" si="7">Q18/$Q$24</f>
        <v>0.49875089221984298</v>
      </c>
      <c r="T18" s="34">
        <f t="shared" ref="T18:T22" si="8">(Q18/R18)^(1/1)-1</f>
        <v>0.1719077568134173</v>
      </c>
    </row>
    <row r="19" spans="1:29" x14ac:dyDescent="0.25">
      <c r="B19" s="55"/>
      <c r="C19" s="55">
        <f>(C27/C32)^(1/5)-1</f>
        <v>0.19207244917107391</v>
      </c>
      <c r="D19" s="55"/>
      <c r="E19" s="55"/>
      <c r="F19" s="55"/>
      <c r="G19" s="55"/>
      <c r="J19" s="59"/>
      <c r="K19" s="55"/>
      <c r="L19" s="55"/>
      <c r="M19" s="55"/>
      <c r="P19" s="9" t="s">
        <v>82</v>
      </c>
      <c r="Q19" s="9">
        <v>329</v>
      </c>
      <c r="R19" s="9">
        <v>290</v>
      </c>
      <c r="S19" s="34">
        <f t="shared" si="7"/>
        <v>0.29354032833690225</v>
      </c>
      <c r="T19" s="34">
        <f t="shared" si="8"/>
        <v>0.13448275862068959</v>
      </c>
    </row>
    <row r="20" spans="1:29" x14ac:dyDescent="0.25">
      <c r="A20" s="17" t="s">
        <v>27</v>
      </c>
      <c r="B20" s="17" t="s">
        <v>53</v>
      </c>
      <c r="C20" s="17" t="s">
        <v>54</v>
      </c>
      <c r="D20" s="17" t="s">
        <v>83</v>
      </c>
      <c r="E20" s="17" t="s">
        <v>84</v>
      </c>
      <c r="F20" s="17" t="s">
        <v>7</v>
      </c>
      <c r="G20" s="17" t="s">
        <v>55</v>
      </c>
      <c r="H20" s="17" t="s">
        <v>56</v>
      </c>
      <c r="I20" s="17" t="s">
        <v>40</v>
      </c>
      <c r="J20" s="17" t="s">
        <v>85</v>
      </c>
      <c r="K20" s="17" t="s">
        <v>86</v>
      </c>
      <c r="L20" s="17" t="s">
        <v>87</v>
      </c>
      <c r="M20" s="17" t="s">
        <v>88</v>
      </c>
      <c r="N20" s="17" t="s">
        <v>89</v>
      </c>
      <c r="P20" s="9" t="s">
        <v>90</v>
      </c>
      <c r="Q20" s="9">
        <v>125</v>
      </c>
      <c r="R20" s="9">
        <v>143</v>
      </c>
      <c r="S20" s="34">
        <f t="shared" si="7"/>
        <v>0.11152748037116346</v>
      </c>
      <c r="T20" s="34">
        <f t="shared" si="8"/>
        <v>-0.12587412587412583</v>
      </c>
    </row>
    <row r="21" spans="1:29" x14ac:dyDescent="0.25">
      <c r="A21" s="55" t="s">
        <v>91</v>
      </c>
      <c r="B21" s="9" t="s">
        <v>92</v>
      </c>
      <c r="C21" s="54">
        <f t="shared" ref="C21:F21" si="9">(C26/C31)^(1/5)-1</f>
        <v>0.17955244103890911</v>
      </c>
      <c r="D21" s="54">
        <f t="shared" si="9"/>
        <v>0.13656421658817952</v>
      </c>
      <c r="E21" s="54">
        <f t="shared" si="9"/>
        <v>0.4962778697388448</v>
      </c>
      <c r="F21" s="54">
        <f t="shared" si="9"/>
        <v>0.29166864086594479</v>
      </c>
      <c r="G21" s="54">
        <f>((G26*5)/G31)^(1/5)-1</f>
        <v>0.29430572580063807</v>
      </c>
      <c r="H21" s="34">
        <f t="shared" ref="H21:I21" si="10">MEDIAN(H26:H31)</f>
        <v>0.25333761040374947</v>
      </c>
      <c r="I21" s="33">
        <f t="shared" si="10"/>
        <v>77.326388888888886</v>
      </c>
      <c r="J21" s="54">
        <f>(J26/J31)^(1/5)-1</f>
        <v>0.27495748310740908</v>
      </c>
      <c r="K21" s="54"/>
      <c r="L21" s="9"/>
      <c r="M21" s="35">
        <f t="shared" ref="M21:N21" si="11">AVERAGE(M26:M29)</f>
        <v>116.10766002052584</v>
      </c>
      <c r="N21" s="35">
        <f t="shared" si="11"/>
        <v>43.729937944221597</v>
      </c>
      <c r="P21" s="9" t="s">
        <v>93</v>
      </c>
      <c r="Q21" s="9">
        <v>112</v>
      </c>
      <c r="R21" s="9">
        <v>96</v>
      </c>
      <c r="S21" s="34">
        <f t="shared" si="7"/>
        <v>9.9928622412562465E-2</v>
      </c>
      <c r="T21" s="34">
        <f t="shared" si="8"/>
        <v>0.16666666666666674</v>
      </c>
      <c r="U21" s="55"/>
      <c r="V21" s="59"/>
    </row>
    <row r="22" spans="1:29" x14ac:dyDescent="0.25">
      <c r="B22" s="9" t="s">
        <v>94</v>
      </c>
      <c r="C22" s="34">
        <f t="shared" ref="C22:G22" si="12">(C26/C27)-1</f>
        <v>0.20587404687941269</v>
      </c>
      <c r="D22" s="34">
        <f t="shared" si="12"/>
        <v>0.23297644539614559</v>
      </c>
      <c r="E22" s="34">
        <f t="shared" si="12"/>
        <v>0.125</v>
      </c>
      <c r="F22" s="34">
        <f t="shared" si="12"/>
        <v>0.10547263681592045</v>
      </c>
      <c r="G22" s="34">
        <f t="shared" si="12"/>
        <v>0.1050119331742243</v>
      </c>
      <c r="H22" s="34">
        <v>0.26</v>
      </c>
      <c r="I22" s="35">
        <f>I26</f>
        <v>78.277777777777771</v>
      </c>
      <c r="J22" s="34">
        <f t="shared" ref="J22:L22" si="13">(J26/J27)-1</f>
        <v>0.23849878934624691</v>
      </c>
      <c r="K22" s="34">
        <f t="shared" si="13"/>
        <v>0.24880952380952381</v>
      </c>
      <c r="L22" s="34">
        <f t="shared" si="13"/>
        <v>1.2567324955116588E-2</v>
      </c>
      <c r="M22" s="35">
        <f t="shared" ref="M22:N22" si="14">M26</f>
        <v>75.521958243340535</v>
      </c>
      <c r="N22" s="35">
        <f t="shared" si="14"/>
        <v>40.604751619870406</v>
      </c>
      <c r="P22" s="9" t="s">
        <v>95</v>
      </c>
      <c r="Q22" s="9">
        <v>-4.2</v>
      </c>
      <c r="R22" s="9">
        <v>-3.8</v>
      </c>
      <c r="S22" s="34">
        <f t="shared" si="7"/>
        <v>-3.7473233404710922E-3</v>
      </c>
      <c r="T22" s="34">
        <f t="shared" si="8"/>
        <v>0.10526315789473695</v>
      </c>
      <c r="U22" s="55"/>
      <c r="V22" s="59"/>
    </row>
    <row r="23" spans="1:29" x14ac:dyDescent="0.25">
      <c r="B23" s="59"/>
      <c r="C23" s="55"/>
      <c r="D23" s="60"/>
      <c r="E23" s="60"/>
      <c r="F23" s="60"/>
      <c r="G23" s="60"/>
      <c r="J23" s="59"/>
      <c r="K23" s="55"/>
      <c r="L23" s="60"/>
      <c r="M23" s="60"/>
      <c r="U23" s="59"/>
      <c r="V23" s="59"/>
      <c r="W23" s="59"/>
    </row>
    <row r="24" spans="1:29" x14ac:dyDescent="0.25">
      <c r="A24" s="17" t="s">
        <v>96</v>
      </c>
      <c r="B24" s="17" t="s">
        <v>53</v>
      </c>
      <c r="C24" s="17" t="s">
        <v>54</v>
      </c>
      <c r="D24" s="17" t="s">
        <v>83</v>
      </c>
      <c r="E24" s="17" t="s">
        <v>84</v>
      </c>
      <c r="F24" s="17" t="s">
        <v>7</v>
      </c>
      <c r="G24" s="17" t="s">
        <v>55</v>
      </c>
      <c r="H24" s="17" t="s">
        <v>56</v>
      </c>
      <c r="I24" s="17" t="s">
        <v>40</v>
      </c>
      <c r="J24" s="17" t="s">
        <v>85</v>
      </c>
      <c r="K24" s="17" t="s">
        <v>86</v>
      </c>
      <c r="L24" s="17" t="s">
        <v>87</v>
      </c>
      <c r="M24" s="17" t="s">
        <v>88</v>
      </c>
      <c r="N24" s="17" t="s">
        <v>89</v>
      </c>
      <c r="P24" s="61" t="s">
        <v>97</v>
      </c>
      <c r="Q24" s="61">
        <f t="shared" ref="Q24:R24" si="15">SUM(Q18:Q22)</f>
        <v>1120.8</v>
      </c>
      <c r="R24" s="61">
        <f t="shared" si="15"/>
        <v>1002.2</v>
      </c>
      <c r="S24" s="62">
        <f>Q24/$Q$24</f>
        <v>1</v>
      </c>
      <c r="T24" s="62">
        <f>(Q24/R24)^(1/1)-1</f>
        <v>0.11833965276391933</v>
      </c>
    </row>
    <row r="25" spans="1:29" x14ac:dyDescent="0.25">
      <c r="B25" s="63" t="s">
        <v>98</v>
      </c>
      <c r="C25" s="9">
        <f>C26+Q27-R27</f>
        <v>4388</v>
      </c>
      <c r="D25" s="9">
        <f>D26+Q28-R28</f>
        <v>2964</v>
      </c>
      <c r="E25" s="9">
        <f>E26+Q30-R30</f>
        <v>16.700000000000003</v>
      </c>
      <c r="F25" s="35">
        <f>F26+Q33-R33</f>
        <v>1186.5</v>
      </c>
      <c r="G25" s="9">
        <v>14.88</v>
      </c>
      <c r="H25" s="34">
        <f t="shared" ref="H25:H34" si="16">F25/C25</f>
        <v>0.27039653600729263</v>
      </c>
      <c r="I25" s="64">
        <f t="shared" ref="I25:I31" si="17">(C25-D25+E25)/E25</f>
        <v>86.269461077844298</v>
      </c>
      <c r="J25" s="9">
        <v>3069</v>
      </c>
      <c r="K25" s="9">
        <v>1139</v>
      </c>
      <c r="L25" s="9">
        <v>845</v>
      </c>
      <c r="M25" s="35">
        <f t="shared" ref="M25:M29" si="18">K25/G25</f>
        <v>76.545698924731184</v>
      </c>
      <c r="N25" s="35">
        <f t="shared" ref="N25:N29" si="19">L25/G25</f>
        <v>56.787634408602145</v>
      </c>
    </row>
    <row r="26" spans="1:29" ht="15.75" customHeight="1" x14ac:dyDescent="0.35">
      <c r="B26" s="63" t="s">
        <v>99</v>
      </c>
      <c r="C26" s="9">
        <v>4270</v>
      </c>
      <c r="D26" s="9">
        <v>2879</v>
      </c>
      <c r="E26" s="9">
        <v>18</v>
      </c>
      <c r="F26" s="9">
        <v>1111</v>
      </c>
      <c r="G26" s="9">
        <v>13.89</v>
      </c>
      <c r="H26" s="34">
        <f t="shared" si="16"/>
        <v>0.26018735362997658</v>
      </c>
      <c r="I26" s="64">
        <f t="shared" si="17"/>
        <v>78.277777777777771</v>
      </c>
      <c r="J26" s="9">
        <v>3069</v>
      </c>
      <c r="K26" s="9">
        <v>1049</v>
      </c>
      <c r="L26" s="9">
        <v>564</v>
      </c>
      <c r="M26" s="35">
        <f t="shared" si="18"/>
        <v>75.521958243340535</v>
      </c>
      <c r="N26" s="35">
        <f t="shared" si="19"/>
        <v>40.604751619870406</v>
      </c>
      <c r="P26" s="36" t="s">
        <v>100</v>
      </c>
      <c r="Q26" s="36" t="s">
        <v>63</v>
      </c>
      <c r="R26" s="36" t="s">
        <v>79</v>
      </c>
      <c r="S26" s="37" t="s">
        <v>27</v>
      </c>
      <c r="U26" s="36" t="s">
        <v>62</v>
      </c>
      <c r="V26" s="36" t="s">
        <v>62</v>
      </c>
      <c r="W26" s="36" t="s">
        <v>101</v>
      </c>
      <c r="X26" s="37" t="s">
        <v>27</v>
      </c>
      <c r="Z26" s="36" t="s">
        <v>74</v>
      </c>
      <c r="AA26" s="36" t="s">
        <v>74</v>
      </c>
      <c r="AB26" s="36" t="s">
        <v>102</v>
      </c>
      <c r="AC26" s="37" t="s">
        <v>27</v>
      </c>
    </row>
    <row r="27" spans="1:29" ht="15.75" customHeight="1" x14ac:dyDescent="0.35">
      <c r="B27" s="63" t="s">
        <v>103</v>
      </c>
      <c r="C27" s="9">
        <v>3541</v>
      </c>
      <c r="D27" s="9">
        <v>2335</v>
      </c>
      <c r="E27" s="9">
        <v>16</v>
      </c>
      <c r="F27" s="9">
        <v>1005</v>
      </c>
      <c r="G27" s="9">
        <v>12.57</v>
      </c>
      <c r="H27" s="34">
        <f t="shared" si="16"/>
        <v>0.28381813047161819</v>
      </c>
      <c r="I27" s="64">
        <f t="shared" si="17"/>
        <v>76.375</v>
      </c>
      <c r="J27" s="9">
        <v>2478</v>
      </c>
      <c r="K27" s="9">
        <v>840</v>
      </c>
      <c r="L27" s="9">
        <v>557</v>
      </c>
      <c r="M27" s="35">
        <f t="shared" si="18"/>
        <v>66.825775656324581</v>
      </c>
      <c r="N27" s="35">
        <f t="shared" si="19"/>
        <v>44.311853619729511</v>
      </c>
      <c r="P27" s="48" t="s">
        <v>6</v>
      </c>
      <c r="Q27" s="41">
        <v>1120</v>
      </c>
      <c r="R27" s="41">
        <v>1002</v>
      </c>
      <c r="S27" s="65">
        <f t="shared" ref="S27:S34" si="20">(Q27/R27)^(1/1)-1</f>
        <v>0.11776447105788423</v>
      </c>
      <c r="T27" s="66"/>
      <c r="U27" s="48" t="s">
        <v>6</v>
      </c>
      <c r="V27" s="41">
        <v>1154</v>
      </c>
      <c r="W27" s="41">
        <v>965</v>
      </c>
      <c r="X27" s="56">
        <f t="shared" ref="X27:X31" si="21">(V27/W27)^(1/1)-1</f>
        <v>0.19585492227979273</v>
      </c>
      <c r="Z27" s="48" t="s">
        <v>6</v>
      </c>
      <c r="AA27" s="41">
        <v>4270</v>
      </c>
      <c r="AB27" s="41">
        <v>3541</v>
      </c>
      <c r="AC27" s="56">
        <f t="shared" ref="AC27:AC31" si="22">(AA27/AB27)^(1/1)-1</f>
        <v>0.20587404687941269</v>
      </c>
    </row>
    <row r="28" spans="1:29" ht="18" x14ac:dyDescent="0.35">
      <c r="B28" s="63" t="s">
        <v>104</v>
      </c>
      <c r="C28" s="67">
        <v>1880</v>
      </c>
      <c r="D28" s="67">
        <v>1059</v>
      </c>
      <c r="E28" s="68">
        <v>11</v>
      </c>
      <c r="F28" s="67">
        <v>668</v>
      </c>
      <c r="G28" s="69">
        <v>8.3000000000000007</v>
      </c>
      <c r="H28" s="34">
        <f t="shared" si="16"/>
        <v>0.35531914893617023</v>
      </c>
      <c r="I28" s="64">
        <f t="shared" si="17"/>
        <v>75.63636363636364</v>
      </c>
      <c r="J28" s="67">
        <v>1724</v>
      </c>
      <c r="K28" s="9">
        <v>1279</v>
      </c>
      <c r="L28" s="9">
        <v>310</v>
      </c>
      <c r="M28" s="35">
        <f t="shared" si="18"/>
        <v>154.09638554216866</v>
      </c>
      <c r="N28" s="35">
        <f t="shared" si="19"/>
        <v>37.349397590361441</v>
      </c>
      <c r="P28" s="48" t="s">
        <v>105</v>
      </c>
      <c r="Q28" s="41">
        <v>762</v>
      </c>
      <c r="R28" s="41">
        <v>677</v>
      </c>
      <c r="S28" s="56">
        <f t="shared" si="20"/>
        <v>0.12555391432791718</v>
      </c>
      <c r="U28" s="48" t="s">
        <v>105</v>
      </c>
      <c r="V28" s="41">
        <v>813</v>
      </c>
      <c r="W28" s="41">
        <v>655</v>
      </c>
      <c r="X28" s="56">
        <f t="shared" si="21"/>
        <v>0.24122137404580157</v>
      </c>
      <c r="Z28" s="48" t="s">
        <v>105</v>
      </c>
      <c r="AA28" s="41">
        <v>2879</v>
      </c>
      <c r="AB28" s="41">
        <v>2335</v>
      </c>
      <c r="AC28" s="56">
        <f t="shared" si="22"/>
        <v>0.23297644539614559</v>
      </c>
    </row>
    <row r="29" spans="1:29" ht="18" x14ac:dyDescent="0.35">
      <c r="B29" s="63" t="s">
        <v>106</v>
      </c>
      <c r="C29" s="67">
        <v>783</v>
      </c>
      <c r="D29" s="67">
        <v>647</v>
      </c>
      <c r="E29" s="68">
        <v>8.1999999999999993</v>
      </c>
      <c r="F29" s="67">
        <v>193</v>
      </c>
      <c r="G29" s="69">
        <v>11.87</v>
      </c>
      <c r="H29" s="34">
        <f t="shared" si="16"/>
        <v>0.24648786717752236</v>
      </c>
      <c r="I29" s="64">
        <f t="shared" si="17"/>
        <v>17.585365853658537</v>
      </c>
      <c r="J29" s="67">
        <v>1307</v>
      </c>
      <c r="K29" s="9">
        <v>1994</v>
      </c>
      <c r="L29" s="9">
        <v>625</v>
      </c>
      <c r="M29" s="35">
        <f t="shared" si="18"/>
        <v>167.98652064026959</v>
      </c>
      <c r="N29" s="35">
        <f t="shared" si="19"/>
        <v>52.653748946925027</v>
      </c>
      <c r="P29" s="48" t="s">
        <v>107</v>
      </c>
      <c r="Q29" s="70">
        <f t="shared" ref="Q29:R29" si="23">Q27-(Q41+Q42+Q43+Q44+Q45+Q46+Q47+Q50)</f>
        <v>374.4</v>
      </c>
      <c r="R29" s="70">
        <f t="shared" si="23"/>
        <v>343.28000000000009</v>
      </c>
      <c r="S29" s="56">
        <f t="shared" si="20"/>
        <v>9.0654859007224031E-2</v>
      </c>
      <c r="U29" s="48" t="s">
        <v>84</v>
      </c>
      <c r="V29" s="41">
        <v>5</v>
      </c>
      <c r="W29" s="41">
        <v>4</v>
      </c>
      <c r="X29" s="56">
        <f t="shared" si="21"/>
        <v>0.25</v>
      </c>
      <c r="Z29" s="48" t="s">
        <v>84</v>
      </c>
      <c r="AA29" s="41">
        <v>18</v>
      </c>
      <c r="AB29" s="41">
        <v>16</v>
      </c>
      <c r="AC29" s="56">
        <f t="shared" si="22"/>
        <v>0.125</v>
      </c>
    </row>
    <row r="30" spans="1:29" ht="18" x14ac:dyDescent="0.35">
      <c r="B30" s="63" t="s">
        <v>108</v>
      </c>
      <c r="C30" s="67">
        <v>2276</v>
      </c>
      <c r="D30" s="67">
        <v>1609</v>
      </c>
      <c r="E30" s="68">
        <v>7.3</v>
      </c>
      <c r="F30" s="67">
        <v>529</v>
      </c>
      <c r="G30" s="69">
        <v>33.04</v>
      </c>
      <c r="H30" s="34">
        <f t="shared" si="16"/>
        <v>0.23242530755711774</v>
      </c>
      <c r="I30" s="64">
        <f t="shared" si="17"/>
        <v>92.36986301369862</v>
      </c>
      <c r="J30" s="67">
        <v>1168</v>
      </c>
      <c r="K30" s="9"/>
      <c r="L30" s="9"/>
      <c r="M30" s="9"/>
      <c r="N30" s="9"/>
      <c r="P30" s="48" t="s">
        <v>84</v>
      </c>
      <c r="Q30" s="41">
        <v>2.8</v>
      </c>
      <c r="R30" s="41">
        <v>4.0999999999999996</v>
      </c>
      <c r="S30" s="56">
        <f t="shared" si="20"/>
        <v>-0.31707317073170727</v>
      </c>
      <c r="U30" s="48" t="s">
        <v>7</v>
      </c>
      <c r="V30" s="41">
        <v>284</v>
      </c>
      <c r="W30" s="41">
        <v>278</v>
      </c>
      <c r="X30" s="56">
        <f t="shared" si="21"/>
        <v>2.1582733812949728E-2</v>
      </c>
      <c r="Z30" s="48" t="s">
        <v>7</v>
      </c>
      <c r="AA30" s="41">
        <v>1111</v>
      </c>
      <c r="AB30" s="41">
        <v>1008</v>
      </c>
      <c r="AC30" s="56">
        <f t="shared" si="22"/>
        <v>0.10218253968253976</v>
      </c>
    </row>
    <row r="31" spans="1:29" ht="18" x14ac:dyDescent="0.35">
      <c r="A31" s="17" t="s">
        <v>109</v>
      </c>
      <c r="B31" s="63" t="s">
        <v>110</v>
      </c>
      <c r="C31" s="67">
        <v>1870</v>
      </c>
      <c r="D31" s="67">
        <v>1518</v>
      </c>
      <c r="E31" s="68">
        <v>2.4</v>
      </c>
      <c r="F31" s="67">
        <v>309</v>
      </c>
      <c r="G31" s="69">
        <v>19.12</v>
      </c>
      <c r="H31" s="34">
        <f t="shared" si="16"/>
        <v>0.16524064171122996</v>
      </c>
      <c r="I31" s="64">
        <f t="shared" si="17"/>
        <v>147.66666666666666</v>
      </c>
      <c r="J31" s="67">
        <v>911</v>
      </c>
      <c r="K31" s="9"/>
      <c r="L31" s="9"/>
      <c r="M31" s="9"/>
      <c r="N31" s="9"/>
      <c r="P31" s="48" t="s">
        <v>111</v>
      </c>
      <c r="Q31" s="70">
        <f t="shared" ref="Q31:R31" si="24">Q29-Q30</f>
        <v>371.59999999999997</v>
      </c>
      <c r="R31" s="70">
        <f t="shared" si="24"/>
        <v>339.18000000000006</v>
      </c>
      <c r="S31" s="56">
        <f t="shared" si="20"/>
        <v>9.5583466006250006E-2</v>
      </c>
      <c r="U31" s="48" t="s">
        <v>55</v>
      </c>
      <c r="V31" s="70">
        <v>3.55</v>
      </c>
      <c r="W31" s="70">
        <v>3.48</v>
      </c>
      <c r="X31" s="56">
        <f t="shared" si="21"/>
        <v>2.0114942528735691E-2</v>
      </c>
      <c r="Z31" s="48" t="s">
        <v>55</v>
      </c>
      <c r="AA31" s="70">
        <v>13.89</v>
      </c>
      <c r="AB31" s="70">
        <v>12.57</v>
      </c>
      <c r="AC31" s="56">
        <f t="shared" si="22"/>
        <v>0.1050119331742243</v>
      </c>
    </row>
    <row r="32" spans="1:29" ht="18" x14ac:dyDescent="0.35">
      <c r="B32" s="63" t="s">
        <v>112</v>
      </c>
      <c r="C32" s="71">
        <v>1471</v>
      </c>
      <c r="D32" s="71"/>
      <c r="E32" s="71"/>
      <c r="F32" s="71">
        <v>220</v>
      </c>
      <c r="G32" s="72">
        <v>13.79</v>
      </c>
      <c r="H32" s="34">
        <f t="shared" si="16"/>
        <v>0.1495581237253569</v>
      </c>
      <c r="I32" s="71"/>
      <c r="J32" s="71">
        <v>493</v>
      </c>
      <c r="K32" s="9"/>
      <c r="L32" s="9"/>
      <c r="M32" s="9"/>
      <c r="N32" s="9"/>
      <c r="P32" s="48" t="s">
        <v>113</v>
      </c>
      <c r="Q32" s="41">
        <v>412</v>
      </c>
      <c r="R32" s="41">
        <v>313</v>
      </c>
      <c r="S32" s="56">
        <f t="shared" si="20"/>
        <v>0.31629392971246006</v>
      </c>
      <c r="U32" s="48" t="s">
        <v>56</v>
      </c>
      <c r="V32" s="65">
        <f t="shared" ref="V32:W32" si="25">V30/V27</f>
        <v>0.24610051993067592</v>
      </c>
      <c r="W32" s="65">
        <f t="shared" si="25"/>
        <v>0.28808290155440414</v>
      </c>
      <c r="X32" s="65">
        <f t="shared" ref="X32:X33" si="26">V32-W32</f>
        <v>-4.1982381623728221E-2</v>
      </c>
      <c r="Z32" s="48" t="s">
        <v>56</v>
      </c>
      <c r="AA32" s="65">
        <f t="shared" ref="AA32:AB32" si="27">AA30/AA27</f>
        <v>0.26018735362997658</v>
      </c>
      <c r="AB32" s="65">
        <f t="shared" si="27"/>
        <v>0.28466534877153349</v>
      </c>
      <c r="AC32" s="65">
        <f t="shared" ref="AC32:AC33" si="28">AA32-AB32</f>
        <v>-2.4477995141556907E-2</v>
      </c>
    </row>
    <row r="33" spans="2:29" ht="18" x14ac:dyDescent="0.35">
      <c r="B33" s="63" t="s">
        <v>114</v>
      </c>
      <c r="C33" s="71">
        <v>1539</v>
      </c>
      <c r="D33" s="71"/>
      <c r="E33" s="71"/>
      <c r="F33" s="71">
        <v>215</v>
      </c>
      <c r="G33" s="72">
        <v>14.32</v>
      </c>
      <c r="H33" s="34">
        <f t="shared" si="16"/>
        <v>0.13970110461338531</v>
      </c>
      <c r="I33" s="71"/>
      <c r="J33" s="71">
        <v>486</v>
      </c>
      <c r="K33" s="9"/>
      <c r="L33" s="9"/>
      <c r="M33" s="9"/>
      <c r="N33" s="9"/>
      <c r="P33" s="48" t="s">
        <v>7</v>
      </c>
      <c r="Q33" s="41">
        <v>307.7</v>
      </c>
      <c r="R33" s="41">
        <v>232.2</v>
      </c>
      <c r="S33" s="56">
        <f t="shared" si="20"/>
        <v>0.32515073212747625</v>
      </c>
      <c r="T33" s="66"/>
      <c r="U33" s="48" t="s">
        <v>40</v>
      </c>
      <c r="V33" s="70">
        <f t="shared" ref="V33:W33" si="29">(V27-V28+V29)/V29</f>
        <v>69.2</v>
      </c>
      <c r="W33" s="70">
        <f t="shared" si="29"/>
        <v>78.5</v>
      </c>
      <c r="X33" s="73">
        <f t="shared" si="26"/>
        <v>-9.2999999999999972</v>
      </c>
      <c r="Z33" s="48" t="s">
        <v>40</v>
      </c>
      <c r="AA33" s="70">
        <f t="shared" ref="AA33:AB33" si="30">(AA27-AA28+AA29)/AA29</f>
        <v>78.277777777777771</v>
      </c>
      <c r="AB33" s="70">
        <f t="shared" si="30"/>
        <v>76.375</v>
      </c>
      <c r="AC33" s="73">
        <f t="shared" si="28"/>
        <v>1.9027777777777715</v>
      </c>
    </row>
    <row r="34" spans="2:29" ht="18" x14ac:dyDescent="0.35">
      <c r="B34" s="63" t="s">
        <v>115</v>
      </c>
      <c r="C34" s="9">
        <v>1382</v>
      </c>
      <c r="D34" s="9"/>
      <c r="E34" s="9"/>
      <c r="F34" s="9">
        <v>197</v>
      </c>
      <c r="G34" s="9"/>
      <c r="H34" s="34">
        <f t="shared" si="16"/>
        <v>0.14254703328509408</v>
      </c>
      <c r="I34" s="9"/>
      <c r="J34" s="9"/>
      <c r="K34" s="9"/>
      <c r="L34" s="9"/>
      <c r="M34" s="9"/>
      <c r="N34" s="9"/>
      <c r="P34" s="48" t="s">
        <v>55</v>
      </c>
      <c r="Q34" s="74">
        <v>3.85</v>
      </c>
      <c r="R34" s="74">
        <v>2.9</v>
      </c>
      <c r="S34" s="56">
        <f t="shared" si="20"/>
        <v>0.32758620689655182</v>
      </c>
    </row>
    <row r="35" spans="2:29" ht="18" x14ac:dyDescent="0.35">
      <c r="P35" s="48" t="s">
        <v>116</v>
      </c>
      <c r="Q35" s="65">
        <f t="shared" ref="Q35:R35" si="31">Q31/Q27</f>
        <v>0.33178571428571424</v>
      </c>
      <c r="R35" s="65">
        <f t="shared" si="31"/>
        <v>0.33850299401197609</v>
      </c>
      <c r="S35" s="65">
        <f t="shared" ref="S35:S37" si="32">Q35-R35</f>
        <v>-6.7172797262618489E-3</v>
      </c>
    </row>
    <row r="36" spans="2:29" ht="18" x14ac:dyDescent="0.35">
      <c r="P36" s="48" t="s">
        <v>56</v>
      </c>
      <c r="Q36" s="65">
        <f t="shared" ref="Q36:R36" si="33">Q33/Q27</f>
        <v>0.27473214285714287</v>
      </c>
      <c r="R36" s="65">
        <f t="shared" si="33"/>
        <v>0.23173652694610777</v>
      </c>
      <c r="S36" s="65">
        <f t="shared" si="32"/>
        <v>4.2995615911035096E-2</v>
      </c>
      <c r="T36" s="75"/>
      <c r="V36" s="36" t="s">
        <v>117</v>
      </c>
      <c r="W36" s="36" t="s">
        <v>118</v>
      </c>
      <c r="X36" s="36" t="s">
        <v>119</v>
      </c>
      <c r="Y36" s="36" t="s">
        <v>27</v>
      </c>
    </row>
    <row r="37" spans="2:29" ht="18" x14ac:dyDescent="0.35">
      <c r="P37" s="48" t="s">
        <v>40</v>
      </c>
      <c r="Q37" s="70">
        <f t="shared" ref="Q37:R37" si="34">(Q27-Q28+Q30)/Q30</f>
        <v>128.85714285714286</v>
      </c>
      <c r="R37" s="70">
        <f t="shared" si="34"/>
        <v>80.268292682926841</v>
      </c>
      <c r="S37" s="73">
        <f t="shared" si="32"/>
        <v>48.58885017421602</v>
      </c>
      <c r="V37" s="36" t="s">
        <v>120</v>
      </c>
      <c r="W37" s="76">
        <v>62.4</v>
      </c>
      <c r="X37" s="76">
        <v>87.4</v>
      </c>
      <c r="Y37" s="34">
        <f t="shared" ref="Y37:Y41" si="35">(W37/X37)-1</f>
        <v>-0.28604118993135019</v>
      </c>
    </row>
    <row r="38" spans="2:29" ht="18" x14ac:dyDescent="0.35">
      <c r="V38" s="36" t="s">
        <v>121</v>
      </c>
      <c r="W38" s="76">
        <v>8.73</v>
      </c>
      <c r="X38" s="76">
        <f>5.1-X39</f>
        <v>3.6199999999999997</v>
      </c>
      <c r="Y38" s="34">
        <f t="shared" si="35"/>
        <v>1.4116022099447516</v>
      </c>
    </row>
    <row r="39" spans="2:29" ht="18" x14ac:dyDescent="0.35">
      <c r="V39" s="36" t="s">
        <v>122</v>
      </c>
      <c r="W39" s="76">
        <v>6.84</v>
      </c>
      <c r="X39" s="76">
        <v>1.48</v>
      </c>
      <c r="Y39" s="34">
        <f t="shared" si="35"/>
        <v>3.6216216216216219</v>
      </c>
    </row>
    <row r="40" spans="2:29" ht="18" x14ac:dyDescent="0.35">
      <c r="B40" s="55"/>
      <c r="C40" s="77"/>
      <c r="P40" s="36" t="s">
        <v>105</v>
      </c>
      <c r="Q40" s="36" t="s">
        <v>63</v>
      </c>
      <c r="R40" s="36" t="s">
        <v>79</v>
      </c>
      <c r="S40" s="37" t="s">
        <v>123</v>
      </c>
      <c r="T40" s="37" t="s">
        <v>27</v>
      </c>
      <c r="V40" s="36" t="s">
        <v>124</v>
      </c>
      <c r="W40" s="76">
        <f>19.08+0.08</f>
        <v>19.159999999999997</v>
      </c>
      <c r="X40" s="76">
        <f>5.34+0.5</f>
        <v>5.84</v>
      </c>
      <c r="Y40" s="34">
        <f t="shared" si="35"/>
        <v>2.2808219178082187</v>
      </c>
    </row>
    <row r="41" spans="2:29" ht="18" x14ac:dyDescent="0.35">
      <c r="B41" s="55"/>
      <c r="C41" s="77"/>
      <c r="P41" s="48" t="s">
        <v>125</v>
      </c>
      <c r="Q41" s="41">
        <v>17.399999999999999</v>
      </c>
      <c r="R41" s="41">
        <v>19.02</v>
      </c>
      <c r="S41" s="78">
        <f t="shared" ref="S41:S50" si="36">Q41/$Q$52</f>
        <v>2.2825659189295553E-2</v>
      </c>
      <c r="T41" s="79">
        <f t="shared" ref="T41:T50" si="37">(Q41/R41)^(1/1)-1</f>
        <v>-8.5173501577287092E-2</v>
      </c>
      <c r="V41" s="36" t="s">
        <v>126</v>
      </c>
      <c r="W41" s="76">
        <v>3</v>
      </c>
      <c r="X41" s="76">
        <v>2</v>
      </c>
      <c r="Y41" s="34">
        <f t="shared" si="35"/>
        <v>0.5</v>
      </c>
    </row>
    <row r="42" spans="2:29" ht="18" x14ac:dyDescent="0.35">
      <c r="B42" s="55"/>
      <c r="C42" s="55"/>
      <c r="P42" s="48" t="s">
        <v>127</v>
      </c>
      <c r="Q42" s="70">
        <v>71.599999999999994</v>
      </c>
      <c r="R42" s="70">
        <v>49.5</v>
      </c>
      <c r="S42" s="78">
        <f t="shared" si="36"/>
        <v>9.3926275744457555E-2</v>
      </c>
      <c r="T42" s="80">
        <f t="shared" si="37"/>
        <v>0.44646464646464645</v>
      </c>
    </row>
    <row r="43" spans="2:29" ht="18" x14ac:dyDescent="0.35">
      <c r="B43" s="55"/>
      <c r="C43" s="55"/>
      <c r="P43" s="48" t="s">
        <v>128</v>
      </c>
      <c r="Q43" s="41">
        <v>0.7</v>
      </c>
      <c r="R43" s="41">
        <v>0.8</v>
      </c>
      <c r="S43" s="78">
        <f t="shared" si="36"/>
        <v>9.1827364554637281E-4</v>
      </c>
      <c r="T43" s="78">
        <f t="shared" si="37"/>
        <v>-0.12500000000000011</v>
      </c>
      <c r="V43" s="81" t="s">
        <v>97</v>
      </c>
      <c r="W43" s="82">
        <f t="shared" ref="W43:X43" si="38">SUM(W37:W41)</f>
        <v>100.13</v>
      </c>
      <c r="X43" s="82">
        <f t="shared" si="38"/>
        <v>100.34000000000002</v>
      </c>
      <c r="Y43" s="83">
        <f>(W43/X43)-1</f>
        <v>-2.0928841937415399E-3</v>
      </c>
    </row>
    <row r="44" spans="2:29" ht="18" x14ac:dyDescent="0.35">
      <c r="B44" s="55"/>
      <c r="C44" s="55"/>
      <c r="P44" s="48" t="s">
        <v>129</v>
      </c>
      <c r="Q44" s="70">
        <v>394.2</v>
      </c>
      <c r="R44" s="70">
        <v>332.9</v>
      </c>
      <c r="S44" s="78">
        <f t="shared" si="36"/>
        <v>0.51711924439197166</v>
      </c>
      <c r="T44" s="84">
        <f t="shared" si="37"/>
        <v>0.18413938119555429</v>
      </c>
    </row>
    <row r="45" spans="2:29" ht="18" x14ac:dyDescent="0.35">
      <c r="B45" s="55"/>
      <c r="C45" s="55"/>
      <c r="P45" s="48" t="s">
        <v>130</v>
      </c>
      <c r="Q45" s="41">
        <v>97.6</v>
      </c>
      <c r="R45" s="41">
        <v>110.1</v>
      </c>
      <c r="S45" s="78">
        <f t="shared" si="36"/>
        <v>0.12803358257903713</v>
      </c>
      <c r="T45" s="78">
        <f t="shared" si="37"/>
        <v>-0.11353315168029066</v>
      </c>
    </row>
    <row r="46" spans="2:29" ht="18" x14ac:dyDescent="0.35">
      <c r="B46" s="55"/>
      <c r="C46" s="55"/>
      <c r="P46" s="48" t="s">
        <v>131</v>
      </c>
      <c r="Q46" s="41">
        <v>47</v>
      </c>
      <c r="R46" s="41">
        <v>38</v>
      </c>
      <c r="S46" s="78">
        <f t="shared" si="36"/>
        <v>6.1655516200970747E-2</v>
      </c>
      <c r="T46" s="85">
        <f t="shared" si="37"/>
        <v>0.23684210526315796</v>
      </c>
    </row>
    <row r="47" spans="2:29" ht="18" x14ac:dyDescent="0.35">
      <c r="B47" s="55"/>
      <c r="C47" s="55"/>
      <c r="P47" s="48" t="s">
        <v>132</v>
      </c>
      <c r="Q47" s="41">
        <v>74.5</v>
      </c>
      <c r="R47" s="41">
        <v>66.3</v>
      </c>
      <c r="S47" s="78">
        <f t="shared" si="36"/>
        <v>9.7730552276006827E-2</v>
      </c>
      <c r="T47" s="86">
        <f t="shared" si="37"/>
        <v>0.12368024132730016</v>
      </c>
    </row>
    <row r="48" spans="2:29" ht="18" x14ac:dyDescent="0.35">
      <c r="B48" s="55"/>
      <c r="C48" s="55"/>
      <c r="P48" s="48" t="s">
        <v>84</v>
      </c>
      <c r="Q48" s="41">
        <v>2.8</v>
      </c>
      <c r="R48" s="41">
        <v>4.0999999999999996</v>
      </c>
      <c r="S48" s="78">
        <f t="shared" si="36"/>
        <v>3.6730945821854912E-3</v>
      </c>
      <c r="T48" s="78">
        <f t="shared" si="37"/>
        <v>-0.31707317073170727</v>
      </c>
    </row>
    <row r="49" spans="16:20" ht="18" x14ac:dyDescent="0.35">
      <c r="P49" s="48" t="s">
        <v>133</v>
      </c>
      <c r="Q49" s="41">
        <v>13.9</v>
      </c>
      <c r="R49" s="41">
        <v>13.7</v>
      </c>
      <c r="S49" s="78">
        <f t="shared" si="36"/>
        <v>1.823429096156369E-2</v>
      </c>
      <c r="T49" s="78">
        <f t="shared" si="37"/>
        <v>1.4598540145985384E-2</v>
      </c>
    </row>
    <row r="50" spans="16:20" ht="18" x14ac:dyDescent="0.35">
      <c r="P50" s="48" t="s">
        <v>134</v>
      </c>
      <c r="Q50" s="70">
        <v>42.6</v>
      </c>
      <c r="R50" s="70">
        <v>42.1</v>
      </c>
      <c r="S50" s="78">
        <f t="shared" si="36"/>
        <v>5.5883510428964979E-2</v>
      </c>
      <c r="T50" s="87">
        <f t="shared" si="37"/>
        <v>1.1876484560570111E-2</v>
      </c>
    </row>
    <row r="51" spans="16:20" ht="13.2" x14ac:dyDescent="0.25"/>
    <row r="52" spans="16:20" ht="14.4" x14ac:dyDescent="0.3">
      <c r="P52" s="88" t="s">
        <v>97</v>
      </c>
      <c r="Q52" s="89">
        <f t="shared" ref="Q52:R52" si="39">SUM(Q41:Q50)</f>
        <v>762.3</v>
      </c>
      <c r="R52" s="89">
        <f t="shared" si="39"/>
        <v>676.52</v>
      </c>
      <c r="S52" s="78">
        <f>Q52/$Q$52</f>
        <v>1</v>
      </c>
      <c r="T52" s="90">
        <f>(Q52/R52)^(1/1)-1</f>
        <v>0.12679595577366509</v>
      </c>
    </row>
    <row r="53" spans="16:20" ht="13.2" x14ac:dyDescent="0.25"/>
    <row r="54" spans="16:20" ht="13.2" x14ac:dyDescent="0.25"/>
    <row r="55" spans="16:20" ht="13.2" x14ac:dyDescent="0.25"/>
    <row r="56" spans="16:20" ht="13.2" x14ac:dyDescent="0.25"/>
    <row r="57" spans="16:20" ht="13.2" x14ac:dyDescent="0.25"/>
    <row r="58" spans="16:20" ht="13.2" x14ac:dyDescent="0.25"/>
    <row r="59" spans="16:20" ht="13.2" x14ac:dyDescent="0.25"/>
    <row r="60" spans="16:20" ht="13.2" x14ac:dyDescent="0.25"/>
    <row r="61" spans="16:20" ht="13.2" x14ac:dyDescent="0.25"/>
    <row r="62" spans="16:20" ht="13.2" x14ac:dyDescent="0.25"/>
    <row r="63" spans="16:20" ht="13.2" x14ac:dyDescent="0.25"/>
    <row r="64" spans="16:20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  <row r="974" ht="13.2" x14ac:dyDescent="0.25"/>
    <row r="975" ht="13.2" x14ac:dyDescent="0.25"/>
    <row r="976" ht="13.2" x14ac:dyDescent="0.25"/>
    <row r="977" ht="13.2" x14ac:dyDescent="0.25"/>
    <row r="978" ht="13.2" x14ac:dyDescent="0.25"/>
    <row r="979" ht="13.2" x14ac:dyDescent="0.25"/>
    <row r="980" ht="13.2" x14ac:dyDescent="0.25"/>
    <row r="981" ht="13.2" x14ac:dyDescent="0.25"/>
    <row r="982" ht="13.2" x14ac:dyDescent="0.25"/>
    <row r="983" ht="13.2" x14ac:dyDescent="0.25"/>
    <row r="984" ht="13.2" x14ac:dyDescent="0.25"/>
    <row r="985" ht="13.2" x14ac:dyDescent="0.25"/>
    <row r="986" ht="13.2" x14ac:dyDescent="0.25"/>
    <row r="987" ht="13.2" x14ac:dyDescent="0.25"/>
    <row r="988" ht="13.2" x14ac:dyDescent="0.25"/>
    <row r="989" ht="13.2" x14ac:dyDescent="0.25"/>
    <row r="990" ht="13.2" x14ac:dyDescent="0.25"/>
    <row r="991" ht="13.2" x14ac:dyDescent="0.25"/>
    <row r="992" ht="13.2" x14ac:dyDescent="0.25"/>
    <row r="993" ht="13.2" x14ac:dyDescent="0.25"/>
    <row r="994" ht="13.2" x14ac:dyDescent="0.25"/>
    <row r="995" ht="13.2" x14ac:dyDescent="0.25"/>
    <row r="996" ht="13.2" x14ac:dyDescent="0.25"/>
    <row r="997" ht="13.2" x14ac:dyDescent="0.25"/>
    <row r="998" ht="13.2" x14ac:dyDescent="0.25"/>
    <row r="999" ht="13.2" x14ac:dyDescent="0.25"/>
    <row r="1000" ht="13.2" x14ac:dyDescent="0.25"/>
    <row r="1001" ht="13.2" x14ac:dyDescent="0.25"/>
    <row r="1002" ht="13.2" x14ac:dyDescent="0.25"/>
    <row r="1003" ht="13.2" x14ac:dyDescent="0.25"/>
    <row r="1004" ht="13.2" x14ac:dyDescent="0.25"/>
    <row r="1005" ht="13.2" x14ac:dyDescent="0.25"/>
  </sheetData>
  <mergeCells count="1">
    <mergeCell ref="S13:S15"/>
  </mergeCells>
  <conditionalFormatting sqref="C25:C34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7:E18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1:G22 J21:L22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5:D31">
    <cfRule type="colorScale" priority="1">
      <colorScale>
        <cfvo type="min"/>
        <cfvo type="max"/>
        <color rgb="FFFFFFFF"/>
        <color rgb="FFE67C73"/>
      </colorScale>
    </cfRule>
  </conditionalFormatting>
  <conditionalFormatting sqref="E25:E31">
    <cfRule type="colorScale" priority="2">
      <colorScale>
        <cfvo type="min"/>
        <cfvo type="max"/>
        <color rgb="FFFFFFFF"/>
        <color rgb="FFE67C73"/>
      </colorScale>
    </cfRule>
  </conditionalFormatting>
  <conditionalFormatting sqref="F25:F3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1:H22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25:H3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I2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5:I31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25:J33">
    <cfRule type="colorScale" priority="6">
      <colorScale>
        <cfvo type="min"/>
        <cfvo type="max"/>
        <color rgb="FFFFFFFF"/>
        <color rgb="FF57BB8A"/>
      </colorScale>
    </cfRule>
  </conditionalFormatting>
  <conditionalFormatting sqref="J13:M13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6:M16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7:M17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8:M1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1:N22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25:N29">
    <cfRule type="colorScale" priority="23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S18:S2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27:S37 AC27:AC33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1:S50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18:T22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41:T50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X27:X33 S32:S37 AC32:AC33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IRCTC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2024-08-14T03:04:43Z</dcterms:created>
  <dcterms:modified xsi:type="dcterms:W3CDTF">2024-08-14T03:04:43Z</dcterms:modified>
</cp:coreProperties>
</file>