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9575BF38-1CEF-4B74-9180-27911764881F}" xr6:coauthVersionLast="47" xr6:coauthVersionMax="47" xr10:uidLastSave="{00000000-0000-0000-0000-000000000000}"/>
  <bookViews>
    <workbookView xWindow="-108" yWindow="-108" windowWidth="23256" windowHeight="12456" xr2:uid="{78CF6860-948A-4B74-83D8-D35BA428A21F}"/>
  </bookViews>
  <sheets>
    <sheet name="SUPREMEIN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H66" i="1"/>
  <c r="F66" i="1"/>
  <c r="J66" i="1" s="1"/>
  <c r="I66" i="1" s="1"/>
  <c r="D66" i="1"/>
  <c r="E66" i="1" s="1"/>
  <c r="E62" i="1" s="1"/>
  <c r="C66" i="1"/>
  <c r="Y59" i="1"/>
  <c r="X59" i="1"/>
  <c r="AA59" i="1" s="1"/>
  <c r="N58" i="1"/>
  <c r="M58" i="1"/>
  <c r="O58" i="1" s="1"/>
  <c r="J58" i="1"/>
  <c r="I58" i="1"/>
  <c r="H58" i="1"/>
  <c r="D58" i="1"/>
  <c r="C58" i="1"/>
  <c r="E58" i="1" s="1"/>
  <c r="AA57" i="1"/>
  <c r="Z57" i="1"/>
  <c r="U57" i="1"/>
  <c r="T57" i="1"/>
  <c r="S57" i="1"/>
  <c r="R57" i="1"/>
  <c r="N57" i="1"/>
  <c r="O57" i="1" s="1"/>
  <c r="M57" i="1"/>
  <c r="J57" i="1"/>
  <c r="I57" i="1"/>
  <c r="H57" i="1"/>
  <c r="D57" i="1"/>
  <c r="C57" i="1"/>
  <c r="E57" i="1" s="1"/>
  <c r="AA56" i="1"/>
  <c r="O56" i="1"/>
  <c r="J56" i="1"/>
  <c r="E56" i="1"/>
  <c r="AA55" i="1"/>
  <c r="U55" i="1"/>
  <c r="T55" i="1"/>
  <c r="O55" i="1"/>
  <c r="J55" i="1"/>
  <c r="E55" i="1"/>
  <c r="AA54" i="1"/>
  <c r="Z54" i="1"/>
  <c r="U54" i="1"/>
  <c r="T54" i="1"/>
  <c r="O54" i="1"/>
  <c r="J54" i="1"/>
  <c r="E54" i="1"/>
  <c r="AA53" i="1"/>
  <c r="Z53" i="1"/>
  <c r="U53" i="1"/>
  <c r="T53" i="1"/>
  <c r="O53" i="1"/>
  <c r="J53" i="1"/>
  <c r="E53" i="1"/>
  <c r="AA52" i="1"/>
  <c r="Z52" i="1"/>
  <c r="U52" i="1"/>
  <c r="T52" i="1"/>
  <c r="O52" i="1"/>
  <c r="J52" i="1"/>
  <c r="E52" i="1"/>
  <c r="AA51" i="1"/>
  <c r="Z51" i="1"/>
  <c r="U51" i="1"/>
  <c r="T51" i="1"/>
  <c r="O51" i="1"/>
  <c r="I51" i="1"/>
  <c r="O48" i="1"/>
  <c r="Q46" i="1"/>
  <c r="M46" i="1"/>
  <c r="P46" i="1" s="1"/>
  <c r="K43" i="1"/>
  <c r="J43" i="1"/>
  <c r="I43" i="1"/>
  <c r="H43" i="1"/>
  <c r="G43" i="1"/>
  <c r="E43" i="1"/>
  <c r="D43" i="1"/>
  <c r="B8" i="1" s="1"/>
  <c r="C43" i="1"/>
  <c r="K42" i="1"/>
  <c r="J42" i="1"/>
  <c r="I42" i="1"/>
  <c r="H42" i="1"/>
  <c r="G42" i="1"/>
  <c r="E42" i="1"/>
  <c r="D42" i="1"/>
  <c r="C42" i="1"/>
  <c r="M41" i="1"/>
  <c r="K41" i="1"/>
  <c r="J41" i="1"/>
  <c r="I41" i="1"/>
  <c r="H41" i="1"/>
  <c r="G41" i="1"/>
  <c r="E41" i="1"/>
  <c r="D41" i="1"/>
  <c r="C41" i="1"/>
  <c r="K40" i="1"/>
  <c r="J40" i="1"/>
  <c r="I40" i="1"/>
  <c r="H40" i="1"/>
  <c r="G40" i="1"/>
  <c r="E40" i="1"/>
  <c r="D40" i="1"/>
  <c r="C40" i="1"/>
  <c r="K39" i="1"/>
  <c r="J39" i="1"/>
  <c r="I39" i="1"/>
  <c r="H39" i="1"/>
  <c r="G39" i="1"/>
  <c r="E39" i="1"/>
  <c r="D39" i="1"/>
  <c r="D61" i="1" s="1"/>
  <c r="C39" i="1"/>
  <c r="C61" i="1" s="1"/>
  <c r="C67" i="1" s="1"/>
  <c r="C68" i="1" s="1"/>
  <c r="P36" i="1"/>
  <c r="O36" i="1"/>
  <c r="N36" i="1"/>
  <c r="M36" i="1"/>
  <c r="L36" i="1"/>
  <c r="G36" i="1"/>
  <c r="F36" i="1"/>
  <c r="E36" i="1"/>
  <c r="D36" i="1"/>
  <c r="C36" i="1"/>
  <c r="E3" i="1" s="1"/>
  <c r="E5" i="1" s="1"/>
  <c r="O35" i="1"/>
  <c r="O43" i="1" s="1"/>
  <c r="N35" i="1"/>
  <c r="G66" i="1" s="1"/>
  <c r="M35" i="1"/>
  <c r="M43" i="1" s="1"/>
  <c r="L35" i="1"/>
  <c r="L43" i="1" s="1"/>
  <c r="F35" i="1"/>
  <c r="F43" i="1" s="1"/>
  <c r="P34" i="1"/>
  <c r="O34" i="1"/>
  <c r="N34" i="1"/>
  <c r="M34" i="1"/>
  <c r="L34" i="1"/>
  <c r="F34" i="1"/>
  <c r="P33" i="1"/>
  <c r="O33" i="1"/>
  <c r="N33" i="1"/>
  <c r="M33" i="1"/>
  <c r="L33" i="1"/>
  <c r="F33" i="1"/>
  <c r="N32" i="1"/>
  <c r="P32" i="1" s="1"/>
  <c r="M32" i="1"/>
  <c r="L32" i="1"/>
  <c r="F32" i="1"/>
  <c r="O31" i="1"/>
  <c r="N31" i="1"/>
  <c r="P31" i="1" s="1"/>
  <c r="M31" i="1"/>
  <c r="L31" i="1"/>
  <c r="F31" i="1"/>
  <c r="P30" i="1"/>
  <c r="O30" i="1"/>
  <c r="N30" i="1"/>
  <c r="M30" i="1"/>
  <c r="M42" i="1" s="1"/>
  <c r="L30" i="1"/>
  <c r="L42" i="1" s="1"/>
  <c r="F30" i="1"/>
  <c r="F42" i="1" s="1"/>
  <c r="P29" i="1"/>
  <c r="N29" i="1"/>
  <c r="O29" i="1" s="1"/>
  <c r="M29" i="1"/>
  <c r="L29" i="1"/>
  <c r="F29" i="1"/>
  <c r="N28" i="1"/>
  <c r="P28" i="1" s="1"/>
  <c r="M28" i="1"/>
  <c r="L28" i="1"/>
  <c r="F28" i="1"/>
  <c r="N27" i="1"/>
  <c r="P27" i="1" s="1"/>
  <c r="M27" i="1"/>
  <c r="L27" i="1"/>
  <c r="F27" i="1"/>
  <c r="P26" i="1"/>
  <c r="O26" i="1"/>
  <c r="N26" i="1"/>
  <c r="M26" i="1"/>
  <c r="L26" i="1"/>
  <c r="F26" i="1"/>
  <c r="P25" i="1"/>
  <c r="N25" i="1"/>
  <c r="O25" i="1" s="1"/>
  <c r="M25" i="1"/>
  <c r="L25" i="1"/>
  <c r="L41" i="1" s="1"/>
  <c r="F25" i="1"/>
  <c r="F41" i="1" s="1"/>
  <c r="N24" i="1"/>
  <c r="P24" i="1" s="1"/>
  <c r="M24" i="1"/>
  <c r="L24" i="1"/>
  <c r="F24" i="1"/>
  <c r="N23" i="1"/>
  <c r="P23" i="1" s="1"/>
  <c r="M23" i="1"/>
  <c r="L23" i="1"/>
  <c r="F23" i="1"/>
  <c r="P22" i="1"/>
  <c r="O22" i="1"/>
  <c r="N22" i="1"/>
  <c r="M22" i="1"/>
  <c r="L22" i="1"/>
  <c r="F22" i="1"/>
  <c r="P21" i="1"/>
  <c r="N21" i="1"/>
  <c r="O21" i="1" s="1"/>
  <c r="M21" i="1"/>
  <c r="L21" i="1"/>
  <c r="F21" i="1"/>
  <c r="N20" i="1"/>
  <c r="P20" i="1" s="1"/>
  <c r="M20" i="1"/>
  <c r="M40" i="1" s="1"/>
  <c r="L20" i="1"/>
  <c r="L40" i="1" s="1"/>
  <c r="F20" i="1"/>
  <c r="F40" i="1" s="1"/>
  <c r="N19" i="1"/>
  <c r="P19" i="1" s="1"/>
  <c r="M19" i="1"/>
  <c r="L19" i="1"/>
  <c r="F19" i="1"/>
  <c r="P18" i="1"/>
  <c r="O18" i="1"/>
  <c r="N18" i="1"/>
  <c r="M18" i="1"/>
  <c r="L18" i="1"/>
  <c r="F18" i="1"/>
  <c r="P17" i="1"/>
  <c r="N17" i="1"/>
  <c r="O17" i="1" s="1"/>
  <c r="M17" i="1"/>
  <c r="L17" i="1"/>
  <c r="F17" i="1"/>
  <c r="N16" i="1"/>
  <c r="P16" i="1" s="1"/>
  <c r="M16" i="1"/>
  <c r="L16" i="1"/>
  <c r="F16" i="1"/>
  <c r="N15" i="1"/>
  <c r="P15" i="1" s="1"/>
  <c r="M15" i="1"/>
  <c r="M39" i="1" s="1"/>
  <c r="L15" i="1"/>
  <c r="L39" i="1" s="1"/>
  <c r="F15" i="1"/>
  <c r="F39" i="1" s="1"/>
  <c r="P14" i="1"/>
  <c r="O14" i="1"/>
  <c r="N14" i="1"/>
  <c r="M14" i="1"/>
  <c r="L14" i="1"/>
  <c r="F14" i="1"/>
  <c r="P13" i="1"/>
  <c r="N13" i="1"/>
  <c r="O13" i="1" s="1"/>
  <c r="M13" i="1"/>
  <c r="L13" i="1"/>
  <c r="F13" i="1"/>
  <c r="N12" i="1"/>
  <c r="P12" i="1" s="1"/>
  <c r="M12" i="1"/>
  <c r="L12" i="1"/>
  <c r="F12" i="1"/>
  <c r="N11" i="1"/>
  <c r="P11" i="1" s="1"/>
  <c r="M11" i="1"/>
  <c r="L11" i="1"/>
  <c r="F11" i="1"/>
  <c r="L8" i="1"/>
  <c r="I8" i="1"/>
  <c r="H8" i="1"/>
  <c r="D8" i="1"/>
  <c r="C8" i="1"/>
  <c r="W5" i="1"/>
  <c r="U5" i="1"/>
  <c r="T5" i="1"/>
  <c r="S5" i="1"/>
  <c r="Q5" i="1"/>
  <c r="P5" i="1"/>
  <c r="O5" i="1"/>
  <c r="N5" i="1"/>
  <c r="L5" i="1"/>
  <c r="K5" i="1"/>
  <c r="J5" i="1"/>
  <c r="I5" i="1"/>
  <c r="F5" i="1"/>
  <c r="V4" i="1"/>
  <c r="R4" i="1"/>
  <c r="R5" i="1" s="1"/>
  <c r="M4" i="1"/>
  <c r="V3" i="1"/>
  <c r="V5" i="1" s="1"/>
  <c r="R3" i="1"/>
  <c r="M3" i="1"/>
  <c r="M5" i="1" s="1"/>
  <c r="J3" i="1"/>
  <c r="E8" i="1" s="1"/>
  <c r="H3" i="1"/>
  <c r="K8" i="1" s="1"/>
  <c r="G3" i="1"/>
  <c r="G5" i="1" s="1"/>
  <c r="F3" i="1"/>
  <c r="D3" i="1"/>
  <c r="C3" i="1"/>
  <c r="Q48" i="1" s="1"/>
  <c r="R46" i="1" s="1"/>
  <c r="M8" i="1" l="1"/>
  <c r="D4" i="1"/>
  <c r="D5" i="1" s="1"/>
  <c r="C5" i="1"/>
  <c r="M66" i="1"/>
  <c r="G67" i="1"/>
  <c r="K66" i="1"/>
  <c r="L66" i="1" s="1"/>
  <c r="O41" i="1"/>
  <c r="D67" i="1"/>
  <c r="E67" i="1" s="1"/>
  <c r="N66" i="1"/>
  <c r="P40" i="1"/>
  <c r="P42" i="1"/>
  <c r="E71" i="1"/>
  <c r="F71" i="1" s="1"/>
  <c r="F8" i="1"/>
  <c r="O12" i="1"/>
  <c r="O16" i="1"/>
  <c r="O20" i="1"/>
  <c r="O24" i="1"/>
  <c r="O28" i="1"/>
  <c r="O32" i="1"/>
  <c r="O42" i="1" s="1"/>
  <c r="Z56" i="1"/>
  <c r="N40" i="1"/>
  <c r="N39" i="1"/>
  <c r="N43" i="1"/>
  <c r="P48" i="1"/>
  <c r="J8" i="1"/>
  <c r="O11" i="1"/>
  <c r="O15" i="1"/>
  <c r="O19" i="1"/>
  <c r="O23" i="1"/>
  <c r="O27" i="1"/>
  <c r="H5" i="1"/>
  <c r="P35" i="1"/>
  <c r="P43" i="1" s="1"/>
  <c r="N42" i="1"/>
  <c r="Z55" i="1"/>
  <c r="Z59" i="1"/>
  <c r="N41" i="1"/>
  <c r="D68" i="1" l="1"/>
  <c r="E68" i="1"/>
  <c r="F67" i="1"/>
  <c r="P39" i="1"/>
  <c r="O39" i="1"/>
  <c r="G68" i="1"/>
  <c r="K67" i="1"/>
  <c r="M67" i="1"/>
  <c r="O40" i="1"/>
  <c r="P41" i="1"/>
  <c r="M68" i="1" l="1"/>
  <c r="K68" i="1"/>
  <c r="L68" i="1" s="1"/>
  <c r="F68" i="1"/>
  <c r="J67" i="1"/>
  <c r="H67" i="1"/>
  <c r="I67" i="1" s="1"/>
  <c r="L67" i="1"/>
  <c r="H68" i="1" l="1"/>
  <c r="J68" i="1"/>
  <c r="N67" i="1"/>
  <c r="I68" i="1" l="1"/>
  <c r="N68" i="1" s="1"/>
</calcChain>
</file>

<file path=xl/sharedStrings.xml><?xml version="1.0" encoding="utf-8"?>
<sst xmlns="http://schemas.openxmlformats.org/spreadsheetml/2006/main" count="224" uniqueCount="152">
  <si>
    <t>MARKET</t>
  </si>
  <si>
    <t>INCOME</t>
  </si>
  <si>
    <t>BAL.SHEEET</t>
  </si>
  <si>
    <t>INFO</t>
  </si>
  <si>
    <t>Company</t>
  </si>
  <si>
    <t>Price</t>
  </si>
  <si>
    <t>MARKETCAP</t>
  </si>
  <si>
    <t>VOLUME</t>
  </si>
  <si>
    <t>SALES</t>
  </si>
  <si>
    <t>PROFIT</t>
  </si>
  <si>
    <t>EPS</t>
  </si>
  <si>
    <t>EQUITY</t>
  </si>
  <si>
    <t>RESERVE</t>
  </si>
  <si>
    <t>FV</t>
  </si>
  <si>
    <t>DEBT</t>
  </si>
  <si>
    <t>LEASE</t>
  </si>
  <si>
    <t>C.ASSETS</t>
  </si>
  <si>
    <t>C.LIABILITY</t>
  </si>
  <si>
    <t>TRADE.REC</t>
  </si>
  <si>
    <t>ASSETS</t>
  </si>
  <si>
    <t>LIABILITIES</t>
  </si>
  <si>
    <t>CFO</t>
  </si>
  <si>
    <t>CFI</t>
  </si>
  <si>
    <t>CFF</t>
  </si>
  <si>
    <t>NETCASHFLOW</t>
  </si>
  <si>
    <t>PPE</t>
  </si>
  <si>
    <t>Supremeind</t>
  </si>
  <si>
    <t>LAST YEAR</t>
  </si>
  <si>
    <t>GROWTH</t>
  </si>
  <si>
    <t>RATIO</t>
  </si>
  <si>
    <t>PROF MARGIN</t>
  </si>
  <si>
    <t>ICR</t>
  </si>
  <si>
    <t>D2E</t>
  </si>
  <si>
    <t>ROE</t>
  </si>
  <si>
    <t>ROA</t>
  </si>
  <si>
    <t>CUR.RATIO</t>
  </si>
  <si>
    <t>TRADECYCLE</t>
  </si>
  <si>
    <t>PE</t>
  </si>
  <si>
    <t>YIELD</t>
  </si>
  <si>
    <t>BOOKVALUE</t>
  </si>
  <si>
    <t>PBV</t>
  </si>
  <si>
    <t>ActualData</t>
  </si>
  <si>
    <t>Year</t>
  </si>
  <si>
    <t>VOLUMES MT</t>
  </si>
  <si>
    <t>Revenue</t>
  </si>
  <si>
    <t>Net Profit</t>
  </si>
  <si>
    <t>Net Margin %</t>
  </si>
  <si>
    <t>Equity</t>
  </si>
  <si>
    <t>LOW_PRICE</t>
  </si>
  <si>
    <t>HIGH_PRICE</t>
  </si>
  <si>
    <t>LOW P/E</t>
  </si>
  <si>
    <t>HIGH P/E</t>
  </si>
  <si>
    <t>BookValue</t>
  </si>
  <si>
    <t>LBV</t>
  </si>
  <si>
    <t>HBV</t>
  </si>
  <si>
    <t>FY_2001</t>
  </si>
  <si>
    <t>FY_2002</t>
  </si>
  <si>
    <t>FY_2003</t>
  </si>
  <si>
    <t>FY_2004</t>
  </si>
  <si>
    <t>FY_2005</t>
  </si>
  <si>
    <t>FY_2006</t>
  </si>
  <si>
    <t>BONUS 1:1</t>
  </si>
  <si>
    <t>FY_2007</t>
  </si>
  <si>
    <t>FY_2008</t>
  </si>
  <si>
    <t>FY_2009</t>
  </si>
  <si>
    <t>FY_2010</t>
  </si>
  <si>
    <t>SPLIT 10:2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</si>
  <si>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</si>
  <si>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</si>
  <si>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</si>
  <si>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</si>
  <si>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</si>
  <si>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</si>
  <si>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</si>
  <si>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</si>
  <si>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</si>
  <si>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</si>
  <si>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</si>
  <si>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FY_2022</t>
  </si>
  <si>
    <t>FY_2023</t>
  </si>
  <si>
    <t>FY_2024</t>
  </si>
  <si>
    <t>FY_2025</t>
  </si>
  <si>
    <t>TRAIL_2026</t>
  </si>
  <si>
    <t>Growth</t>
  </si>
  <si>
    <t>LOW</t>
  </si>
  <si>
    <t>HIGH</t>
  </si>
  <si>
    <t>20 Year CAGR</t>
  </si>
  <si>
    <t>15 Year CAGR</t>
  </si>
  <si>
    <t>10 Year CAGR</t>
  </si>
  <si>
    <t>5Year Growth</t>
  </si>
  <si>
    <t>Last Year Growth</t>
  </si>
  <si>
    <t>CURRENT TREND</t>
  </si>
  <si>
    <t>H1_FY25</t>
  </si>
  <si>
    <t>9M_FY25</t>
  </si>
  <si>
    <t>FY25</t>
  </si>
  <si>
    <t>Q1_FY26</t>
  </si>
  <si>
    <t>EST_FY26</t>
  </si>
  <si>
    <t>Q2_FY25</t>
  </si>
  <si>
    <t>Q3_FY25</t>
  </si>
  <si>
    <t>Q4_FY25</t>
  </si>
  <si>
    <t>TRAIL_EPS</t>
  </si>
  <si>
    <t>EPS_25</t>
  </si>
  <si>
    <t>F_EPS_26</t>
  </si>
  <si>
    <t>F_PEG</t>
  </si>
  <si>
    <t>PE_25</t>
  </si>
  <si>
    <t>TRAIL_PE</t>
  </si>
  <si>
    <t>F_PE_26</t>
  </si>
  <si>
    <t>MARGIN</t>
  </si>
  <si>
    <t>RESULTS</t>
  </si>
  <si>
    <t>Q1_FY25</t>
  </si>
  <si>
    <t>Q4_FY24</t>
  </si>
  <si>
    <t>FY24</t>
  </si>
  <si>
    <t>SEGMENT_SALES</t>
  </si>
  <si>
    <t>Share</t>
  </si>
  <si>
    <t>MarjoCost</t>
  </si>
  <si>
    <t>Volume</t>
  </si>
  <si>
    <t>PLASTICPIPING</t>
  </si>
  <si>
    <t>Material</t>
  </si>
  <si>
    <t>Sales</t>
  </si>
  <si>
    <t>INDUSTRIAL PRODCUTS</t>
  </si>
  <si>
    <t>stockintrade</t>
  </si>
  <si>
    <t>Cost</t>
  </si>
  <si>
    <t>PACKAGING</t>
  </si>
  <si>
    <t>Inventory</t>
  </si>
  <si>
    <t>Finance</t>
  </si>
  <si>
    <t>CONSUMER PRODUCTS</t>
  </si>
  <si>
    <t>Employee</t>
  </si>
  <si>
    <t>Profit</t>
  </si>
  <si>
    <t>OTHERS</t>
  </si>
  <si>
    <t>D&amp;A</t>
  </si>
  <si>
    <t>Margin</t>
  </si>
  <si>
    <t>Net</t>
  </si>
  <si>
    <t>Others</t>
  </si>
  <si>
    <t>EstimateGr</t>
  </si>
  <si>
    <t>Long Term</t>
  </si>
  <si>
    <t>C Year</t>
  </si>
  <si>
    <t>Base on EPS</t>
  </si>
  <si>
    <t>Base on BV</t>
  </si>
  <si>
    <t>Blended EPS(60%)+PBV(40%)</t>
  </si>
  <si>
    <t>Estimate</t>
  </si>
  <si>
    <t>BV</t>
  </si>
  <si>
    <t>LOW PRICE RANGE</t>
  </si>
  <si>
    <t>FAIRVALUE@EPS</t>
  </si>
  <si>
    <t>HIGH PRICE RANGE</t>
  </si>
  <si>
    <t>FAIRVALUE@BV</t>
  </si>
  <si>
    <t>Blended Farivalue</t>
  </si>
  <si>
    <t>FY_2026</t>
  </si>
  <si>
    <t>FY_2030</t>
  </si>
  <si>
    <t>FY_2035</t>
  </si>
  <si>
    <t>STRATEGIC WT %</t>
  </si>
  <si>
    <t>TAF</t>
  </si>
  <si>
    <t>Tactical Wt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</si>
</sst>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₹&quot;\ #,##0;[Red]&quot;₹&quot;\ \-#,##0"/>
    <numFmt numFmtId="164" formatCode="0.0%"/>
    <numFmt numFmtId="165" formatCode="0.0"/>
    <numFmt numFmtId="166" formatCode="#,##0.0"/>
    <numFmt numFmtId="167" formatCode="#,##0;\(#,##0\)"/>
  </numFmts>
  <fonts count="13" x14ac:knownFonts="1">
    <font>
      <sz val="11"/>
      <color theme="1"/>
      <name val="Arial"/>
      <scheme val="minor"/>
    </font>
    <font>
      <sz val="11"/>
      <color theme="1"/>
      <name val="Arial"/>
      <scheme val="minor"/>
    </font>
    <font>
      <sz val="11"/>
      <color rgb="FFFFFFFF"/>
      <name val="Arial"/>
      <scheme val="minor"/>
    </font>
    <font>
      <sz val="11"/>
      <color theme="1"/>
      <name val="Calibri"/>
    </font>
    <font>
      <i/>
      <sz val="11"/>
      <color theme="1"/>
      <name val="Arial"/>
      <scheme val="minor"/>
    </font>
    <font>
      <b/>
      <sz val="11"/>
      <color theme="1"/>
      <name val="Arial"/>
      <scheme val="minor"/>
    </font>
    <font>
      <b/>
      <sz val="11"/>
      <color rgb="FFFFFFFF"/>
      <name val="Arial"/>
      <scheme val="minor"/>
    </font>
    <font>
      <sz val="30"/>
      <color theme="1"/>
      <name val="Arial"/>
      <scheme val="minor"/>
    </font>
    <font>
      <b/>
      <i/>
      <sz val="11"/>
      <color theme="1"/>
      <name val="Arial"/>
      <scheme val="minor"/>
    </font>
    <font>
      <b/>
      <i/>
      <u/>
      <sz val="11"/>
      <color theme="1"/>
      <name val="Arial"/>
      <scheme val="minor"/>
    </font>
    <font>
      <sz val="11"/>
      <color theme="1"/>
      <name val="Arial"/>
    </font>
    <font>
      <i/>
      <sz val="11"/>
      <color theme="1"/>
      <name val="Arial"/>
    </font>
    <font>
      <sz val="11"/>
      <color theme="1"/>
      <name val="Source Code Pro"/>
    </font>
  </fonts>
  <fills count="9">
    <fill>
      <patternFill patternType="none"/>
    </fill>
    <fill>
      <patternFill patternType="gray125"/>
    </fill>
    <fill>
      <patternFill patternType="solid">
        <fgColor rgb="FF4C1130"/>
        <bgColor rgb="FF4C1130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57BB8A"/>
        <bgColor rgb="FF57BB8A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/>
    <xf numFmtId="0" fontId="3" fillId="0" borderId="1" xfId="0" applyFont="1" applyBorder="1"/>
    <xf numFmtId="1" fontId="3" fillId="0" borderId="1" xfId="0" applyNumberFormat="1" applyFon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1" fontId="1" fillId="0" borderId="1" xfId="0" applyNumberFormat="1" applyFon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0" fontId="4" fillId="3" borderId="1" xfId="0" applyNumberFormat="1" applyFont="1" applyFill="1" applyBorder="1"/>
    <xf numFmtId="9" fontId="4" fillId="3" borderId="1" xfId="0" applyNumberFormat="1" applyFont="1" applyFill="1" applyBorder="1"/>
    <xf numFmtId="0" fontId="5" fillId="0" borderId="2" xfId="0" applyFont="1" applyBorder="1"/>
    <xf numFmtId="10" fontId="1" fillId="0" borderId="0" xfId="0" applyNumberFormat="1" applyFont="1"/>
    <xf numFmtId="0" fontId="1" fillId="0" borderId="0" xfId="0" applyFont="1"/>
    <xf numFmtId="9" fontId="1" fillId="0" borderId="1" xfId="0" applyNumberFormat="1" applyFont="1" applyBorder="1"/>
    <xf numFmtId="10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6" fillId="2" borderId="1" xfId="0" applyFont="1" applyFill="1" applyBorder="1"/>
    <xf numFmtId="164" fontId="1" fillId="0" borderId="0" xfId="0" applyNumberFormat="1" applyFont="1"/>
    <xf numFmtId="3" fontId="1" fillId="0" borderId="0" xfId="0" applyNumberFormat="1" applyFont="1"/>
    <xf numFmtId="0" fontId="4" fillId="0" borderId="1" xfId="0" applyFont="1" applyBorder="1"/>
    <xf numFmtId="9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166" fontId="1" fillId="0" borderId="1" xfId="0" applyNumberFormat="1" applyFont="1" applyBorder="1"/>
    <xf numFmtId="4" fontId="1" fillId="0" borderId="1" xfId="0" applyNumberFormat="1" applyFont="1" applyBorder="1"/>
    <xf numFmtId="166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7" fillId="4" borderId="0" xfId="0" applyNumberFormat="1" applyFont="1" applyFill="1" applyAlignment="1">
      <alignment horizontal="center" vertical="center"/>
    </xf>
    <xf numFmtId="9" fontId="1" fillId="5" borderId="1" xfId="0" applyNumberFormat="1" applyFont="1" applyFill="1" applyBorder="1"/>
    <xf numFmtId="0" fontId="0" fillId="0" borderId="0" xfId="0"/>
    <xf numFmtId="0" fontId="2" fillId="2" borderId="3" xfId="0" applyFont="1" applyFill="1" applyBorder="1"/>
    <xf numFmtId="0" fontId="2" fillId="5" borderId="0" xfId="0" applyFont="1" applyFill="1"/>
    <xf numFmtId="0" fontId="2" fillId="0" borderId="1" xfId="0" applyFont="1" applyBorder="1"/>
    <xf numFmtId="9" fontId="1" fillId="0" borderId="0" xfId="0" applyNumberFormat="1" applyFont="1"/>
    <xf numFmtId="0" fontId="8" fillId="0" borderId="1" xfId="0" applyFont="1" applyBorder="1"/>
    <xf numFmtId="3" fontId="8" fillId="0" borderId="1" xfId="0" applyNumberFormat="1" applyFont="1" applyBorder="1"/>
    <xf numFmtId="9" fontId="8" fillId="0" borderId="1" xfId="0" applyNumberFormat="1" applyFont="1" applyBorder="1"/>
    <xf numFmtId="0" fontId="9" fillId="0" borderId="1" xfId="0" applyFont="1" applyBorder="1"/>
    <xf numFmtId="3" fontId="9" fillId="0" borderId="1" xfId="0" applyNumberFormat="1" applyFont="1" applyBorder="1"/>
    <xf numFmtId="9" fontId="9" fillId="0" borderId="1" xfId="0" applyNumberFormat="1" applyFont="1" applyBorder="1"/>
    <xf numFmtId="9" fontId="1" fillId="4" borderId="1" xfId="0" applyNumberFormat="1" applyFont="1" applyFill="1" applyBorder="1"/>
    <xf numFmtId="164" fontId="1" fillId="4" borderId="1" xfId="0" applyNumberFormat="1" applyFont="1" applyFill="1" applyBorder="1"/>
    <xf numFmtId="166" fontId="1" fillId="0" borderId="0" xfId="0" applyNumberFormat="1" applyFont="1"/>
    <xf numFmtId="4" fontId="1" fillId="0" borderId="0" xfId="0" applyNumberFormat="1" applyFont="1"/>
    <xf numFmtId="0" fontId="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5" borderId="1" xfId="0" applyFont="1" applyFill="1" applyBorder="1"/>
    <xf numFmtId="3" fontId="1" fillId="6" borderId="1" xfId="0" applyNumberFormat="1" applyFont="1" applyFill="1" applyBorder="1"/>
    <xf numFmtId="1" fontId="3" fillId="7" borderId="1" xfId="0" applyNumberFormat="1" applyFont="1" applyFill="1" applyBorder="1" applyAlignment="1">
      <alignment horizontal="right"/>
    </xf>
    <xf numFmtId="167" fontId="10" fillId="7" borderId="1" xfId="0" applyNumberFormat="1" applyFont="1" applyFill="1" applyBorder="1" applyAlignment="1">
      <alignment horizontal="right"/>
    </xf>
    <xf numFmtId="167" fontId="11" fillId="7" borderId="1" xfId="0" applyNumberFormat="1" applyFont="1" applyFill="1" applyBorder="1" applyAlignment="1">
      <alignment horizontal="center"/>
    </xf>
    <xf numFmtId="6" fontId="3" fillId="7" borderId="1" xfId="0" applyNumberFormat="1" applyFont="1" applyFill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10" fontId="10" fillId="8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0" fontId="10" fillId="0" borderId="1" xfId="0" applyNumberFormat="1" applyFont="1" applyBorder="1" applyAlignment="1">
      <alignment horizontal="right"/>
    </xf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 defaultTableStyle="TableStyleMedium2" defaultPivotStyle="PivotStyleLight16">
    <tableStyle name="SUPREMEIND-style" pivot="0" count="3" xr9:uid="{ABD2ECD5-5F5D-4BB4-9E46-99E5B7DE01FE}">
      <tableStyleElement type="headerRow" dxfId="5"/>
      <tableStyleElement type="firstRowStripe" dxfId="4"/>
      <tableStyleElement type="secondRowStripe" dxfId="3"/>
    </tableStyle>
    <tableStyle name="SUPREMEIND-style 2" pivot="0" count="3" xr9:uid="{E23D93A1-1101-4570-A22A-24D42F1448EE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962025</xdr:colOff>
      <xdr:row>71</xdr:row>
      <xdr:rowOff>190500</xdr:rowOff>
    </xdr:from>
    <xdr:ext cx="9153525" cy="410527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E27F7D72-9CB2-4F4E-B78A-C4154459A1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025" y="13174980"/>
          <a:ext cx="9153525" cy="410527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DF23B3-2123-4BDB-8CC1-CD1C70F006AF}" name="Table_1" displayName="Table_1" ref="G11:G36" headerRowCount="0">
  <tableColumns count="1">
    <tableColumn id="1" xr3:uid="{0B851273-DAE8-4CD7-914F-8D5E091432B7}" name="Column1"/>
  </tableColumns>
  <tableStyleInfo name="SUPREMEIND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F2A71E-AA1B-42D4-8C9E-F35B39F07738}" name="Table_2" displayName="Table_2" ref="H11:K36" headerRowCount="0">
  <tableColumns count="4">
    <tableColumn id="1" xr3:uid="{70DEBCD8-5E54-45F5-AD20-FA6773C2E3E5}" name="Column1"/>
    <tableColumn id="2" xr3:uid="{27DFEEC0-EB13-4DED-951A-4E3B5BB74DEF}" name="Column2"/>
    <tableColumn id="3" xr3:uid="{8248690A-0616-46E3-B61E-84DBF3C90A3C}" name="Column3"/>
    <tableColumn id="4" xr3:uid="{F38A353F-37AB-48B4-AFE7-4FC32A659BB2}" name="Column4"/>
  </tableColumns>
  <tableStyleInfo name="SUPREMEIND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92E1-BCFA-4A04-BC07-9B3411BCC497}">
  <sheetPr>
    <outlinePr summaryBelow="0" summaryRight="0"/>
  </sheetPr>
  <dimension ref="A1:AA71"/>
  <sheetViews>
    <sheetView showGridLines="0" tabSelected="1" workbookViewId="0"/>
  </sheetViews>
  <sheetFormatPr defaultColWidth="12.59765625" defaultRowHeight="15" customHeight="1" x14ac:dyDescent="0.25"/>
  <sheetData>
    <row r="1" spans="1:23" ht="13.8" x14ac:dyDescent="0.25">
      <c r="B1" s="1" t="s">
        <v>0</v>
      </c>
      <c r="F1" s="1" t="s">
        <v>1</v>
      </c>
      <c r="I1" s="1" t="s">
        <v>2</v>
      </c>
      <c r="S1" s="1" t="s">
        <v>2</v>
      </c>
    </row>
    <row r="2" spans="1:23" ht="13.8" x14ac:dyDescent="0.25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</row>
    <row r="3" spans="1:23" ht="15" customHeight="1" x14ac:dyDescent="0.3">
      <c r="B3" s="2" t="s">
        <v>26</v>
      </c>
      <c r="C3" s="3">
        <f ca="1">IFERROR(__xludf.DUMMYFUNCTION("GOOGLEFINANCE(""NSE:""&amp; B3,""PRICE"")"),4556.2)</f>
        <v>4556.2</v>
      </c>
      <c r="D3" s="3">
        <f ca="1">IFERROR(__xludf.DUMMYFUNCTION("GOOGLEFINANCE(""NSE:""&amp; B3,""MARKETCAP"")/10000000"),57922.9492915)</f>
        <v>57922.949291500001</v>
      </c>
      <c r="E3" s="3">
        <f t="shared" ref="E3:G3" si="0">C36</f>
        <v>684468</v>
      </c>
      <c r="F3" s="3">
        <f t="shared" si="0"/>
        <v>10419</v>
      </c>
      <c r="G3" s="3">
        <f t="shared" si="0"/>
        <v>891</v>
      </c>
      <c r="H3" s="3">
        <f>G36</f>
        <v>70.010000000000005</v>
      </c>
      <c r="I3" s="3">
        <v>25.4</v>
      </c>
      <c r="J3" s="3">
        <f>I36</f>
        <v>5635</v>
      </c>
      <c r="K3" s="3">
        <v>2</v>
      </c>
      <c r="L3" s="3">
        <v>0</v>
      </c>
      <c r="M3" s="3">
        <f>58+17</f>
        <v>75</v>
      </c>
      <c r="N3" s="3">
        <v>3106</v>
      </c>
      <c r="O3" s="4">
        <v>1314</v>
      </c>
      <c r="P3" s="4">
        <v>540</v>
      </c>
      <c r="Q3" s="4">
        <v>7168</v>
      </c>
      <c r="R3" s="4">
        <f>193+O3</f>
        <v>1507</v>
      </c>
      <c r="S3" s="4">
        <v>1004</v>
      </c>
      <c r="T3" s="4">
        <v>-791</v>
      </c>
      <c r="U3" s="4">
        <v>-440</v>
      </c>
      <c r="V3" s="4">
        <f t="shared" ref="V3:V4" si="1">SUM(S3:U3)</f>
        <v>-227</v>
      </c>
      <c r="W3" s="4">
        <v>890</v>
      </c>
    </row>
    <row r="4" spans="1:23" ht="13.8" x14ac:dyDescent="0.25">
      <c r="B4" s="4" t="s">
        <v>27</v>
      </c>
      <c r="C4" s="4">
        <v>3426</v>
      </c>
      <c r="D4" s="5">
        <f ca="1">C4*D3/C3</f>
        <v>43554.721977235196</v>
      </c>
      <c r="E4" s="5">
        <v>674510</v>
      </c>
      <c r="F4" s="5">
        <v>10446</v>
      </c>
      <c r="G4" s="5">
        <v>961</v>
      </c>
      <c r="H4" s="5">
        <v>75.64</v>
      </c>
      <c r="I4" s="6">
        <v>25.4</v>
      </c>
      <c r="J4" s="4">
        <v>5635</v>
      </c>
      <c r="K4" s="4">
        <v>2</v>
      </c>
      <c r="L4" s="4">
        <v>0</v>
      </c>
      <c r="M4" s="4">
        <f>42+13</f>
        <v>55</v>
      </c>
      <c r="N4" s="4">
        <v>3287</v>
      </c>
      <c r="O4" s="4">
        <v>1273</v>
      </c>
      <c r="P4" s="4">
        <v>511</v>
      </c>
      <c r="Q4" s="4">
        <v>6555</v>
      </c>
      <c r="R4" s="4">
        <f>174+O4</f>
        <v>1447</v>
      </c>
      <c r="S4" s="4">
        <v>1413</v>
      </c>
      <c r="T4" s="4">
        <v>-609</v>
      </c>
      <c r="U4" s="4">
        <v>-380</v>
      </c>
      <c r="V4" s="4">
        <f t="shared" si="1"/>
        <v>424</v>
      </c>
      <c r="W4" s="4">
        <v>549</v>
      </c>
    </row>
    <row r="5" spans="1:23" ht="15" customHeight="1" x14ac:dyDescent="0.3">
      <c r="B5" s="7" t="s">
        <v>28</v>
      </c>
      <c r="C5" s="8">
        <f t="shared" ref="C5:W5" ca="1" si="2">(C3/C4)-1</f>
        <v>0.32988908347927604</v>
      </c>
      <c r="D5" s="8">
        <f t="shared" ca="1" si="2"/>
        <v>0.32988908347927604</v>
      </c>
      <c r="E5" s="8">
        <f t="shared" si="2"/>
        <v>1.4763309661828483E-2</v>
      </c>
      <c r="F5" s="8">
        <f t="shared" si="2"/>
        <v>-2.58472142446875E-3</v>
      </c>
      <c r="G5" s="8">
        <f t="shared" si="2"/>
        <v>-7.2840790842871983E-2</v>
      </c>
      <c r="H5" s="8">
        <f t="shared" si="2"/>
        <v>-7.4431517715494389E-2</v>
      </c>
      <c r="I5" s="9">
        <f t="shared" si="2"/>
        <v>0</v>
      </c>
      <c r="J5" s="10">
        <f t="shared" si="2"/>
        <v>0</v>
      </c>
      <c r="K5" s="9">
        <f t="shared" si="2"/>
        <v>0</v>
      </c>
      <c r="L5" s="10" t="e">
        <f t="shared" si="2"/>
        <v>#DIV/0!</v>
      </c>
      <c r="M5" s="10">
        <f t="shared" si="2"/>
        <v>0.36363636363636354</v>
      </c>
      <c r="N5" s="10">
        <f t="shared" si="2"/>
        <v>-5.5065409187709191E-2</v>
      </c>
      <c r="O5" s="10">
        <f t="shared" si="2"/>
        <v>3.2207384131971661E-2</v>
      </c>
      <c r="P5" s="10">
        <f t="shared" si="2"/>
        <v>5.6751467710371761E-2</v>
      </c>
      <c r="Q5" s="10">
        <f t="shared" si="2"/>
        <v>9.3516399694889341E-2</v>
      </c>
      <c r="R5" s="10">
        <f t="shared" si="2"/>
        <v>4.1465100207325412E-2</v>
      </c>
      <c r="S5" s="10">
        <f t="shared" si="2"/>
        <v>-0.28945506015569711</v>
      </c>
      <c r="T5" s="10">
        <f t="shared" si="2"/>
        <v>0.29885057471264376</v>
      </c>
      <c r="U5" s="10">
        <f t="shared" si="2"/>
        <v>0.15789473684210531</v>
      </c>
      <c r="V5" s="10">
        <f t="shared" si="2"/>
        <v>-1.5353773584905661</v>
      </c>
      <c r="W5" s="10">
        <f t="shared" si="2"/>
        <v>0.62112932604735893</v>
      </c>
    </row>
    <row r="6" spans="1:23" ht="13.8" x14ac:dyDescent="0.25">
      <c r="B6" s="11"/>
      <c r="D6" s="12"/>
    </row>
    <row r="7" spans="1:23" ht="13.8" x14ac:dyDescent="0.25">
      <c r="A7" s="1" t="s">
        <v>29</v>
      </c>
      <c r="B7" s="1" t="s">
        <v>28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3"/>
      <c r="O7" s="13"/>
      <c r="P7" s="13"/>
    </row>
    <row r="8" spans="1:23" ht="13.8" x14ac:dyDescent="0.25">
      <c r="A8" s="13"/>
      <c r="B8" s="14">
        <f>D43</f>
        <v>3.0787448194197653E-2</v>
      </c>
      <c r="C8" s="15">
        <f>C57</f>
        <v>7.7041011881947105E-2</v>
      </c>
      <c r="D8" s="6">
        <f>C58</f>
        <v>81.505415162454881</v>
      </c>
      <c r="E8" s="14">
        <f>L3/(J3+I3)</f>
        <v>0</v>
      </c>
      <c r="F8" s="16">
        <f>G3/(J3+I3)</f>
        <v>0.15740937036251856</v>
      </c>
      <c r="G8" s="15">
        <v>0.25600000000000001</v>
      </c>
      <c r="H8" s="17">
        <f>N3/O3</f>
        <v>2.3637747336377473</v>
      </c>
      <c r="I8" s="5">
        <f>(P3/F3)*365</f>
        <v>18.917362510797581</v>
      </c>
      <c r="J8" s="17">
        <f ca="1">C3/H3</f>
        <v>65.079274389372941</v>
      </c>
      <c r="K8" s="16">
        <f ca="1">H3/C3</f>
        <v>1.5365875071331374E-2</v>
      </c>
      <c r="L8" s="6">
        <f>(J3+I3)/(I3/K3)</f>
        <v>445.70078740157481</v>
      </c>
      <c r="M8" s="17">
        <f ca="1">C3/L8</f>
        <v>10.22255317645396</v>
      </c>
      <c r="N8" s="13"/>
      <c r="O8" s="13"/>
      <c r="P8" s="13"/>
    </row>
    <row r="9" spans="1:23" ht="13.8" x14ac:dyDescent="0.25">
      <c r="A9" s="13"/>
      <c r="B9" s="13"/>
      <c r="C9" s="12"/>
      <c r="D9" s="13"/>
      <c r="E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23" ht="13.8" x14ac:dyDescent="0.25">
      <c r="A10" s="1" t="s">
        <v>41</v>
      </c>
      <c r="B10" s="1" t="s">
        <v>42</v>
      </c>
      <c r="C10" s="18" t="s">
        <v>43</v>
      </c>
      <c r="D10" s="18" t="s">
        <v>44</v>
      </c>
      <c r="E10" s="18" t="s">
        <v>45</v>
      </c>
      <c r="F10" s="18" t="s">
        <v>46</v>
      </c>
      <c r="G10" s="18" t="s">
        <v>10</v>
      </c>
      <c r="H10" s="18" t="s">
        <v>47</v>
      </c>
      <c r="I10" s="18" t="s">
        <v>12</v>
      </c>
      <c r="J10" s="18" t="s">
        <v>48</v>
      </c>
      <c r="K10" s="18" t="s">
        <v>49</v>
      </c>
      <c r="L10" s="18" t="s">
        <v>50</v>
      </c>
      <c r="M10" s="18" t="s">
        <v>51</v>
      </c>
      <c r="N10" s="18" t="s">
        <v>52</v>
      </c>
      <c r="O10" s="18" t="s">
        <v>53</v>
      </c>
      <c r="P10" s="18" t="s">
        <v>54</v>
      </c>
    </row>
    <row r="11" spans="1:23" ht="13.8" x14ac:dyDescent="0.25">
      <c r="B11" s="4" t="s">
        <v>55</v>
      </c>
      <c r="D11" s="5">
        <v>465</v>
      </c>
      <c r="E11" s="5">
        <v>2.8</v>
      </c>
      <c r="F11" s="19">
        <f t="shared" ref="F11:F36" si="3">E11/D11</f>
        <v>6.021505376344086E-3</v>
      </c>
      <c r="G11" s="17">
        <v>2.88</v>
      </c>
      <c r="H11" s="5">
        <v>9.6999999999999993</v>
      </c>
      <c r="I11" s="4">
        <v>100</v>
      </c>
      <c r="J11" s="6">
        <v>91</v>
      </c>
      <c r="K11" s="6">
        <v>335</v>
      </c>
      <c r="L11" s="17">
        <f t="shared" ref="L11:L36" si="4">J11/G11</f>
        <v>31.597222222222225</v>
      </c>
      <c r="M11" s="17">
        <f t="shared" ref="M11:M36" si="5">K11/G11</f>
        <v>116.31944444444444</v>
      </c>
      <c r="N11" s="6">
        <f t="shared" ref="N11:N20" si="6">(H11+I11)/(H11/10)</f>
        <v>113.09278350515464</v>
      </c>
      <c r="O11" s="17">
        <f t="shared" ref="O11:O36" si="7">J11/N11</f>
        <v>0.80464904284412031</v>
      </c>
      <c r="P11" s="17">
        <f t="shared" ref="P11:P36" si="8">K11/N11</f>
        <v>2.9621695533272563</v>
      </c>
    </row>
    <row r="12" spans="1:23" ht="13.8" x14ac:dyDescent="0.25">
      <c r="B12" s="4" t="s">
        <v>56</v>
      </c>
      <c r="D12" s="5">
        <v>591</v>
      </c>
      <c r="E12" s="5">
        <v>11</v>
      </c>
      <c r="F12" s="19">
        <f t="shared" si="3"/>
        <v>1.8612521150592216E-2</v>
      </c>
      <c r="G12" s="17">
        <v>11.13</v>
      </c>
      <c r="H12" s="5">
        <v>10</v>
      </c>
      <c r="I12" s="4">
        <v>129</v>
      </c>
      <c r="J12" s="6">
        <v>38</v>
      </c>
      <c r="K12" s="6">
        <v>121</v>
      </c>
      <c r="L12" s="17">
        <f t="shared" si="4"/>
        <v>3.4141958670260553</v>
      </c>
      <c r="M12" s="17">
        <f t="shared" si="5"/>
        <v>10.871518418688229</v>
      </c>
      <c r="N12" s="6">
        <f t="shared" si="6"/>
        <v>139</v>
      </c>
      <c r="O12" s="17">
        <f t="shared" si="7"/>
        <v>0.2733812949640288</v>
      </c>
      <c r="P12" s="17">
        <f t="shared" si="8"/>
        <v>0.87050359712230219</v>
      </c>
    </row>
    <row r="13" spans="1:23" ht="13.8" x14ac:dyDescent="0.25">
      <c r="B13" s="4" t="s">
        <v>57</v>
      </c>
      <c r="C13" s="13">
        <v>91913</v>
      </c>
      <c r="D13" s="5">
        <v>693</v>
      </c>
      <c r="E13" s="5">
        <v>14</v>
      </c>
      <c r="F13" s="19">
        <f t="shared" si="3"/>
        <v>2.0202020202020204E-2</v>
      </c>
      <c r="G13" s="17">
        <v>14.26</v>
      </c>
      <c r="H13" s="5">
        <v>10</v>
      </c>
      <c r="I13" s="4">
        <v>171</v>
      </c>
      <c r="J13" s="6">
        <v>41</v>
      </c>
      <c r="K13" s="6">
        <v>110</v>
      </c>
      <c r="L13" s="17">
        <f t="shared" si="4"/>
        <v>2.8751753155680224</v>
      </c>
      <c r="M13" s="17">
        <f t="shared" si="5"/>
        <v>7.713884992987377</v>
      </c>
      <c r="N13" s="6">
        <f t="shared" si="6"/>
        <v>181</v>
      </c>
      <c r="O13" s="17">
        <f t="shared" si="7"/>
        <v>0.22651933701657459</v>
      </c>
      <c r="P13" s="17">
        <f t="shared" si="8"/>
        <v>0.60773480662983426</v>
      </c>
    </row>
    <row r="14" spans="1:23" ht="13.8" x14ac:dyDescent="0.25">
      <c r="B14" s="4" t="s">
        <v>58</v>
      </c>
      <c r="C14" s="13">
        <v>100053</v>
      </c>
      <c r="D14" s="5">
        <v>496</v>
      </c>
      <c r="E14" s="5">
        <v>21</v>
      </c>
      <c r="F14" s="19">
        <f t="shared" si="3"/>
        <v>4.2338709677419352E-2</v>
      </c>
      <c r="G14" s="17">
        <v>15.73</v>
      </c>
      <c r="H14" s="5">
        <v>13.4</v>
      </c>
      <c r="I14" s="4">
        <v>185</v>
      </c>
      <c r="J14" s="6">
        <v>75</v>
      </c>
      <c r="K14" s="6">
        <v>246</v>
      </c>
      <c r="L14" s="17">
        <f t="shared" si="4"/>
        <v>4.7679593134138587</v>
      </c>
      <c r="M14" s="17">
        <f t="shared" si="5"/>
        <v>15.638906547997456</v>
      </c>
      <c r="N14" s="6">
        <f t="shared" si="6"/>
        <v>148.0597014925373</v>
      </c>
      <c r="O14" s="17">
        <f t="shared" si="7"/>
        <v>0.50655241935483875</v>
      </c>
      <c r="P14" s="17">
        <f t="shared" si="8"/>
        <v>1.6614919354838711</v>
      </c>
    </row>
    <row r="15" spans="1:23" ht="13.8" x14ac:dyDescent="0.25">
      <c r="B15" s="4" t="s">
        <v>59</v>
      </c>
      <c r="C15" s="13">
        <v>95439</v>
      </c>
      <c r="D15" s="5">
        <v>814</v>
      </c>
      <c r="E15" s="5">
        <v>24</v>
      </c>
      <c r="F15" s="19">
        <f t="shared" si="3"/>
        <v>2.9484029484029485E-2</v>
      </c>
      <c r="G15" s="17">
        <v>17.66</v>
      </c>
      <c r="H15" s="5">
        <v>13.4</v>
      </c>
      <c r="I15" s="4">
        <v>194</v>
      </c>
      <c r="J15" s="6">
        <v>145</v>
      </c>
      <c r="K15" s="6">
        <v>254</v>
      </c>
      <c r="L15" s="17">
        <f t="shared" si="4"/>
        <v>8.210645526613817</v>
      </c>
      <c r="M15" s="17">
        <f t="shared" si="5"/>
        <v>14.382785956964891</v>
      </c>
      <c r="N15" s="6">
        <f t="shared" si="6"/>
        <v>154.77611940298507</v>
      </c>
      <c r="O15" s="17">
        <f t="shared" si="7"/>
        <v>0.93683702989392481</v>
      </c>
      <c r="P15" s="17">
        <f t="shared" si="8"/>
        <v>1.6410800385728062</v>
      </c>
    </row>
    <row r="16" spans="1:23" ht="13.8" x14ac:dyDescent="0.25">
      <c r="B16" s="4" t="s">
        <v>60</v>
      </c>
      <c r="C16" s="13">
        <v>118115</v>
      </c>
      <c r="D16" s="5">
        <v>982</v>
      </c>
      <c r="E16" s="5">
        <v>40</v>
      </c>
      <c r="F16" s="19">
        <f t="shared" si="3"/>
        <v>4.0733197556008148E-2</v>
      </c>
      <c r="G16" s="17">
        <v>28.93</v>
      </c>
      <c r="H16" s="5">
        <v>13.8</v>
      </c>
      <c r="I16" s="4">
        <v>184</v>
      </c>
      <c r="J16" s="6">
        <v>212</v>
      </c>
      <c r="K16" s="6">
        <v>385</v>
      </c>
      <c r="L16" s="17">
        <f t="shared" si="4"/>
        <v>7.3280331835464914</v>
      </c>
      <c r="M16" s="17">
        <f t="shared" si="5"/>
        <v>13.307984790874524</v>
      </c>
      <c r="N16" s="6">
        <f t="shared" si="6"/>
        <v>143.33333333333334</v>
      </c>
      <c r="O16" s="17">
        <f t="shared" si="7"/>
        <v>1.4790697674418605</v>
      </c>
      <c r="P16" s="17">
        <f t="shared" si="8"/>
        <v>2.6860465116279069</v>
      </c>
    </row>
    <row r="17" spans="1:16" ht="13.8" x14ac:dyDescent="0.25">
      <c r="A17" s="13" t="s">
        <v>61</v>
      </c>
      <c r="B17" s="4" t="s">
        <v>62</v>
      </c>
      <c r="C17" s="13">
        <v>130547</v>
      </c>
      <c r="D17" s="5">
        <v>1162</v>
      </c>
      <c r="E17" s="5">
        <v>50</v>
      </c>
      <c r="F17" s="19">
        <f t="shared" si="3"/>
        <v>4.3029259896729774E-2</v>
      </c>
      <c r="G17" s="17">
        <v>18.16</v>
      </c>
      <c r="H17" s="5">
        <v>27.6</v>
      </c>
      <c r="I17" s="4">
        <v>196</v>
      </c>
      <c r="J17" s="6">
        <v>196</v>
      </c>
      <c r="K17" s="6">
        <v>482</v>
      </c>
      <c r="L17" s="17">
        <f t="shared" si="4"/>
        <v>10.79295154185022</v>
      </c>
      <c r="M17" s="17">
        <f t="shared" si="5"/>
        <v>26.541850220264315</v>
      </c>
      <c r="N17" s="6">
        <f t="shared" si="6"/>
        <v>81.014492753623173</v>
      </c>
      <c r="O17" s="17">
        <f t="shared" si="7"/>
        <v>2.4193202146690522</v>
      </c>
      <c r="P17" s="17">
        <f t="shared" si="8"/>
        <v>5.9495527728085875</v>
      </c>
    </row>
    <row r="18" spans="1:16" ht="13.8" x14ac:dyDescent="0.25">
      <c r="B18" s="4" t="s">
        <v>63</v>
      </c>
      <c r="C18" s="13">
        <v>139239</v>
      </c>
      <c r="D18" s="5">
        <v>1310</v>
      </c>
      <c r="E18" s="5">
        <v>51</v>
      </c>
      <c r="F18" s="19">
        <f t="shared" si="3"/>
        <v>3.8931297709923665E-2</v>
      </c>
      <c r="G18" s="17">
        <v>18.489999999999998</v>
      </c>
      <c r="H18" s="5">
        <v>27.6</v>
      </c>
      <c r="I18" s="4">
        <v>220</v>
      </c>
      <c r="J18" s="6">
        <v>151</v>
      </c>
      <c r="K18" s="6">
        <v>420</v>
      </c>
      <c r="L18" s="17">
        <f t="shared" si="4"/>
        <v>8.1665765278528948</v>
      </c>
      <c r="M18" s="17">
        <f t="shared" si="5"/>
        <v>22.71498107084911</v>
      </c>
      <c r="N18" s="6">
        <f t="shared" si="6"/>
        <v>89.71014492753622</v>
      </c>
      <c r="O18" s="17">
        <f t="shared" si="7"/>
        <v>1.683198707592892</v>
      </c>
      <c r="P18" s="17">
        <f t="shared" si="8"/>
        <v>4.6817447495961231</v>
      </c>
    </row>
    <row r="19" spans="1:16" ht="13.8" x14ac:dyDescent="0.25">
      <c r="B19" s="4" t="s">
        <v>64</v>
      </c>
      <c r="C19" s="13">
        <v>172746</v>
      </c>
      <c r="D19" s="5">
        <v>1652</v>
      </c>
      <c r="E19" s="5">
        <v>97</v>
      </c>
      <c r="F19" s="19">
        <f t="shared" si="3"/>
        <v>5.871670702179177E-2</v>
      </c>
      <c r="G19" s="17">
        <v>38.33</v>
      </c>
      <c r="H19" s="5">
        <v>25.4</v>
      </c>
      <c r="I19" s="4">
        <v>260</v>
      </c>
      <c r="J19" s="6">
        <v>92.5</v>
      </c>
      <c r="K19" s="6">
        <v>257.5</v>
      </c>
      <c r="L19" s="17">
        <f t="shared" si="4"/>
        <v>2.4132533263762066</v>
      </c>
      <c r="M19" s="17">
        <f t="shared" si="5"/>
        <v>6.717975476128359</v>
      </c>
      <c r="N19" s="6">
        <f t="shared" si="6"/>
        <v>112.36220472440944</v>
      </c>
      <c r="O19" s="17">
        <f t="shared" si="7"/>
        <v>0.82323055360896991</v>
      </c>
      <c r="P19" s="17">
        <f t="shared" si="8"/>
        <v>2.2916958654519974</v>
      </c>
    </row>
    <row r="20" spans="1:16" ht="13.8" x14ac:dyDescent="0.25">
      <c r="B20" s="4" t="s">
        <v>65</v>
      </c>
      <c r="C20" s="13">
        <v>191704</v>
      </c>
      <c r="D20" s="5">
        <v>2015</v>
      </c>
      <c r="E20" s="5">
        <v>145</v>
      </c>
      <c r="F20" s="19">
        <f t="shared" si="3"/>
        <v>7.1960297766749379E-2</v>
      </c>
      <c r="G20" s="17">
        <v>57.01</v>
      </c>
      <c r="H20" s="5">
        <v>25.4</v>
      </c>
      <c r="I20" s="4">
        <v>351</v>
      </c>
      <c r="J20" s="6">
        <v>230</v>
      </c>
      <c r="K20" s="6">
        <v>589.9</v>
      </c>
      <c r="L20" s="17">
        <f t="shared" si="4"/>
        <v>4.0343799333450274</v>
      </c>
      <c r="M20" s="17">
        <f t="shared" si="5"/>
        <v>10.34730748991405</v>
      </c>
      <c r="N20" s="6">
        <f t="shared" si="6"/>
        <v>148.18897637795274</v>
      </c>
      <c r="O20" s="17">
        <f t="shared" si="7"/>
        <v>1.5520722635494157</v>
      </c>
      <c r="P20" s="17">
        <f t="shared" si="8"/>
        <v>3.9807279489904359</v>
      </c>
    </row>
    <row r="21" spans="1:16" ht="13.8" x14ac:dyDescent="0.25">
      <c r="A21" s="13" t="s">
        <v>66</v>
      </c>
      <c r="B21" s="4" t="s">
        <v>67</v>
      </c>
      <c r="C21" s="13">
        <v>224673</v>
      </c>
      <c r="D21" s="5">
        <v>2469</v>
      </c>
      <c r="E21" s="5">
        <v>175</v>
      </c>
      <c r="F21" s="19">
        <f t="shared" si="3"/>
        <v>7.0878898339408664E-2</v>
      </c>
      <c r="G21" s="17">
        <v>13.77</v>
      </c>
      <c r="H21" s="5">
        <v>25.4</v>
      </c>
      <c r="I21" s="4">
        <v>463</v>
      </c>
      <c r="J21" s="6">
        <v>140</v>
      </c>
      <c r="K21" s="6">
        <v>186</v>
      </c>
      <c r="L21" s="17">
        <f t="shared" si="4"/>
        <v>10.167029774872912</v>
      </c>
      <c r="M21" s="17">
        <f t="shared" si="5"/>
        <v>13.507625272331156</v>
      </c>
      <c r="N21" s="6">
        <f t="shared" ref="N21:N36" si="9">(H21+I21)/(H21/2)</f>
        <v>38.45669291338583</v>
      </c>
      <c r="O21" s="17">
        <f t="shared" si="7"/>
        <v>3.6404586404586401</v>
      </c>
      <c r="P21" s="17">
        <f t="shared" si="8"/>
        <v>4.8366093366093361</v>
      </c>
    </row>
    <row r="22" spans="1:16" ht="13.8" x14ac:dyDescent="0.25">
      <c r="B22" s="4" t="s">
        <v>68</v>
      </c>
      <c r="C22" s="13">
        <v>245700</v>
      </c>
      <c r="D22" s="5">
        <v>2965</v>
      </c>
      <c r="E22" s="5">
        <v>241</v>
      </c>
      <c r="F22" s="19">
        <f t="shared" si="3"/>
        <v>8.1281618887015183E-2</v>
      </c>
      <c r="G22" s="17">
        <v>18.93</v>
      </c>
      <c r="H22" s="5">
        <v>25.4</v>
      </c>
      <c r="I22" s="4">
        <v>615</v>
      </c>
      <c r="J22" s="6">
        <v>160.1</v>
      </c>
      <c r="K22" s="6">
        <v>237.65</v>
      </c>
      <c r="L22" s="17">
        <f t="shared" si="4"/>
        <v>8.4574749075541469</v>
      </c>
      <c r="M22" s="17">
        <f t="shared" si="5"/>
        <v>12.554146856840994</v>
      </c>
      <c r="N22" s="6">
        <f t="shared" si="9"/>
        <v>50.425196850393704</v>
      </c>
      <c r="O22" s="17">
        <f t="shared" si="7"/>
        <v>3.1749999999999998</v>
      </c>
      <c r="P22" s="17">
        <f t="shared" si="8"/>
        <v>4.712921611492817</v>
      </c>
    </row>
    <row r="23" spans="1:16" ht="13.8" x14ac:dyDescent="0.25">
      <c r="B23" s="4" t="s">
        <v>69</v>
      </c>
      <c r="C23" s="13">
        <v>281452</v>
      </c>
      <c r="D23" s="5">
        <v>3403</v>
      </c>
      <c r="E23" s="5">
        <v>272</v>
      </c>
      <c r="F23" s="19">
        <f t="shared" si="3"/>
        <v>7.9929473993535116E-2</v>
      </c>
      <c r="G23" s="17">
        <v>21.44</v>
      </c>
      <c r="H23" s="5">
        <v>25.4</v>
      </c>
      <c r="I23" s="4">
        <v>776</v>
      </c>
      <c r="J23" s="6">
        <v>215</v>
      </c>
      <c r="K23" s="6">
        <v>377</v>
      </c>
      <c r="L23" s="17">
        <f t="shared" si="4"/>
        <v>10.027985074626866</v>
      </c>
      <c r="M23" s="17">
        <f t="shared" si="5"/>
        <v>17.583955223880597</v>
      </c>
      <c r="N23" s="6">
        <f t="shared" si="9"/>
        <v>63.102362204724415</v>
      </c>
      <c r="O23" s="17">
        <f t="shared" si="7"/>
        <v>3.407162465685051</v>
      </c>
      <c r="P23" s="17">
        <f t="shared" si="8"/>
        <v>5.9744197654105307</v>
      </c>
    </row>
    <row r="24" spans="1:16" ht="13.8" x14ac:dyDescent="0.25">
      <c r="B24" s="4" t="s">
        <v>70</v>
      </c>
      <c r="C24" s="13">
        <v>285539</v>
      </c>
      <c r="D24" s="5">
        <v>3962</v>
      </c>
      <c r="E24" s="5">
        <v>281</v>
      </c>
      <c r="F24" s="19">
        <f t="shared" si="3"/>
        <v>7.0923775870772338E-2</v>
      </c>
      <c r="G24" s="17">
        <v>22.15</v>
      </c>
      <c r="H24" s="5">
        <v>25.4</v>
      </c>
      <c r="I24" s="4">
        <v>938</v>
      </c>
      <c r="J24" s="6">
        <v>305.25</v>
      </c>
      <c r="K24" s="6">
        <v>578.35</v>
      </c>
      <c r="L24" s="17">
        <f t="shared" si="4"/>
        <v>13.781038374717834</v>
      </c>
      <c r="M24" s="17">
        <f t="shared" si="5"/>
        <v>26.110609480812645</v>
      </c>
      <c r="N24" s="6">
        <f t="shared" si="9"/>
        <v>75.858267716535437</v>
      </c>
      <c r="O24" s="17">
        <f t="shared" si="7"/>
        <v>4.0239516296450066</v>
      </c>
      <c r="P24" s="17">
        <f t="shared" si="8"/>
        <v>7.6240865684035706</v>
      </c>
    </row>
    <row r="25" spans="1:16" ht="13.8" x14ac:dyDescent="0.25">
      <c r="B25" s="4" t="s">
        <v>71</v>
      </c>
      <c r="C25" s="13">
        <v>303812</v>
      </c>
      <c r="D25" s="5">
        <v>4255</v>
      </c>
      <c r="E25" s="5">
        <v>316</v>
      </c>
      <c r="F25" s="19">
        <f t="shared" si="3"/>
        <v>7.4265569917743829E-2</v>
      </c>
      <c r="G25" s="17">
        <v>24.85</v>
      </c>
      <c r="H25" s="5">
        <v>25.4</v>
      </c>
      <c r="I25" s="4">
        <v>1207</v>
      </c>
      <c r="J25" s="6">
        <v>517</v>
      </c>
      <c r="K25" s="6">
        <v>745</v>
      </c>
      <c r="L25" s="17">
        <f t="shared" si="4"/>
        <v>20.804828973843058</v>
      </c>
      <c r="M25" s="17">
        <f t="shared" si="5"/>
        <v>29.979879275653921</v>
      </c>
      <c r="N25" s="6">
        <f t="shared" si="9"/>
        <v>97.039370078740177</v>
      </c>
      <c r="O25" s="17">
        <f t="shared" si="7"/>
        <v>5.3277345017851339</v>
      </c>
      <c r="P25" s="17">
        <f t="shared" si="8"/>
        <v>7.6772963323596217</v>
      </c>
    </row>
    <row r="26" spans="1:16" ht="13.8" x14ac:dyDescent="0.25">
      <c r="B26" s="4" t="s">
        <v>72</v>
      </c>
      <c r="C26" s="13">
        <v>242968</v>
      </c>
      <c r="D26" s="5">
        <v>2975</v>
      </c>
      <c r="E26" s="5">
        <v>213</v>
      </c>
      <c r="F26" s="19">
        <f t="shared" si="3"/>
        <v>7.1596638655462189E-2</v>
      </c>
      <c r="G26" s="17">
        <v>16.78</v>
      </c>
      <c r="H26" s="5">
        <v>25.4</v>
      </c>
      <c r="I26" s="4">
        <v>1197</v>
      </c>
      <c r="J26" s="6">
        <v>540</v>
      </c>
      <c r="K26" s="6">
        <v>808.1</v>
      </c>
      <c r="L26" s="17">
        <f t="shared" si="4"/>
        <v>32.181168057210961</v>
      </c>
      <c r="M26" s="17">
        <f t="shared" si="5"/>
        <v>48.158522050059595</v>
      </c>
      <c r="N26" s="6">
        <f t="shared" si="9"/>
        <v>96.251968503937022</v>
      </c>
      <c r="O26" s="17">
        <f t="shared" si="7"/>
        <v>5.6102748691099471</v>
      </c>
      <c r="P26" s="17">
        <f t="shared" si="8"/>
        <v>8.3956724476439781</v>
      </c>
    </row>
    <row r="27" spans="1:16" ht="13.8" x14ac:dyDescent="0.25">
      <c r="B27" s="4" t="s">
        <v>73</v>
      </c>
      <c r="C27" s="13">
        <v>359930</v>
      </c>
      <c r="D27" s="5">
        <v>4462</v>
      </c>
      <c r="E27" s="5">
        <v>379</v>
      </c>
      <c r="F27" s="19">
        <f t="shared" si="3"/>
        <v>8.4939489018377404E-2</v>
      </c>
      <c r="G27" s="17">
        <v>29.86</v>
      </c>
      <c r="H27" s="5">
        <v>25.4</v>
      </c>
      <c r="I27" s="4">
        <v>1258</v>
      </c>
      <c r="J27" s="6">
        <v>729</v>
      </c>
      <c r="K27" s="6">
        <v>1100</v>
      </c>
      <c r="L27" s="17">
        <f t="shared" si="4"/>
        <v>24.413931681178834</v>
      </c>
      <c r="M27" s="17">
        <f t="shared" si="5"/>
        <v>36.838580040187544</v>
      </c>
      <c r="N27" s="6">
        <f t="shared" si="9"/>
        <v>101.05511811023624</v>
      </c>
      <c r="O27" s="17">
        <f t="shared" si="7"/>
        <v>7.2138849929873761</v>
      </c>
      <c r="P27" s="17">
        <f t="shared" si="8"/>
        <v>10.885148823437742</v>
      </c>
    </row>
    <row r="28" spans="1:16" ht="13.8" x14ac:dyDescent="0.25">
      <c r="B28" s="4" t="s">
        <v>74</v>
      </c>
      <c r="C28" s="13">
        <v>371176</v>
      </c>
      <c r="D28" s="5">
        <v>4966</v>
      </c>
      <c r="E28" s="5">
        <v>410</v>
      </c>
      <c r="F28" s="19">
        <f t="shared" si="3"/>
        <v>8.2561417639951673E-2</v>
      </c>
      <c r="G28" s="17">
        <v>32.24</v>
      </c>
      <c r="H28" s="5">
        <v>25.4</v>
      </c>
      <c r="I28" s="4">
        <v>1708</v>
      </c>
      <c r="J28" s="6">
        <v>1018</v>
      </c>
      <c r="K28" s="6">
        <v>1489.55</v>
      </c>
      <c r="L28" s="17">
        <f t="shared" si="4"/>
        <v>31.575682382133994</v>
      </c>
      <c r="M28" s="17">
        <f t="shared" si="5"/>
        <v>46.201923076923073</v>
      </c>
      <c r="N28" s="6">
        <f t="shared" si="9"/>
        <v>136.48818897637796</v>
      </c>
      <c r="O28" s="17">
        <f t="shared" si="7"/>
        <v>7.4585208261220721</v>
      </c>
      <c r="P28" s="17">
        <f t="shared" si="8"/>
        <v>10.913398523133726</v>
      </c>
    </row>
    <row r="29" spans="1:16" ht="13.8" x14ac:dyDescent="0.25">
      <c r="B29" s="4" t="s">
        <v>75</v>
      </c>
      <c r="C29" s="13">
        <v>397983</v>
      </c>
      <c r="D29" s="5">
        <v>5612</v>
      </c>
      <c r="E29" s="5">
        <v>449</v>
      </c>
      <c r="F29" s="19">
        <f t="shared" si="3"/>
        <v>8.0007127583749116E-2</v>
      </c>
      <c r="G29" s="17">
        <v>36.29</v>
      </c>
      <c r="H29" s="5">
        <v>25.4</v>
      </c>
      <c r="I29" s="4">
        <v>1967</v>
      </c>
      <c r="J29" s="6">
        <v>935.85</v>
      </c>
      <c r="K29" s="6">
        <v>1434</v>
      </c>
      <c r="L29" s="17">
        <f t="shared" si="4"/>
        <v>25.788095894185727</v>
      </c>
      <c r="M29" s="17">
        <f t="shared" si="5"/>
        <v>39.51501791127032</v>
      </c>
      <c r="N29" s="6">
        <f t="shared" si="9"/>
        <v>156.88188976377955</v>
      </c>
      <c r="O29" s="17">
        <f t="shared" si="7"/>
        <v>5.965315699658702</v>
      </c>
      <c r="P29" s="17">
        <f t="shared" si="8"/>
        <v>9.1406344107608906</v>
      </c>
    </row>
    <row r="30" spans="1:16" ht="13.8" x14ac:dyDescent="0.25">
      <c r="B30" s="4" t="s">
        <v>76</v>
      </c>
      <c r="C30" s="13">
        <v>411521</v>
      </c>
      <c r="D30" s="5">
        <v>5512</v>
      </c>
      <c r="E30" s="5">
        <v>467</v>
      </c>
      <c r="F30" s="19">
        <f t="shared" si="3"/>
        <v>8.4724238026124818E-2</v>
      </c>
      <c r="G30" s="17">
        <v>36.799999999999997</v>
      </c>
      <c r="H30" s="5">
        <v>25.4</v>
      </c>
      <c r="I30" s="4">
        <v>2107</v>
      </c>
      <c r="J30" s="6">
        <v>800</v>
      </c>
      <c r="K30" s="6">
        <v>1413</v>
      </c>
      <c r="L30" s="17">
        <f t="shared" si="4"/>
        <v>21.739130434782609</v>
      </c>
      <c r="M30" s="17">
        <f t="shared" si="5"/>
        <v>38.396739130434788</v>
      </c>
      <c r="N30" s="6">
        <f t="shared" si="9"/>
        <v>167.90551181102364</v>
      </c>
      <c r="O30" s="17">
        <f t="shared" si="7"/>
        <v>4.7645845057212526</v>
      </c>
      <c r="P30" s="17">
        <f t="shared" si="8"/>
        <v>8.4154473832301626</v>
      </c>
    </row>
    <row r="31" spans="1:16" ht="13.8" x14ac:dyDescent="0.25">
      <c r="B31" s="4" t="s">
        <v>77</v>
      </c>
      <c r="C31" s="13">
        <v>409109</v>
      </c>
      <c r="D31" s="5">
        <v>6357</v>
      </c>
      <c r="E31" s="5">
        <v>978</v>
      </c>
      <c r="F31" s="19">
        <f t="shared" si="3"/>
        <v>0.15384615384615385</v>
      </c>
      <c r="G31" s="17">
        <v>77</v>
      </c>
      <c r="H31" s="5">
        <v>25.4</v>
      </c>
      <c r="I31" s="4">
        <v>2844</v>
      </c>
      <c r="J31" s="6">
        <v>792</v>
      </c>
      <c r="K31" s="6">
        <v>2133</v>
      </c>
      <c r="L31" s="17">
        <f t="shared" si="4"/>
        <v>10.285714285714286</v>
      </c>
      <c r="M31" s="17">
        <f t="shared" si="5"/>
        <v>27.7012987012987</v>
      </c>
      <c r="N31" s="6">
        <f t="shared" si="9"/>
        <v>225.93700787401576</v>
      </c>
      <c r="O31" s="17">
        <f t="shared" si="7"/>
        <v>3.5054018261657487</v>
      </c>
      <c r="P31" s="17">
        <f t="shared" si="8"/>
        <v>9.4406844636509373</v>
      </c>
    </row>
    <row r="32" spans="1:16" ht="13.8" x14ac:dyDescent="0.25">
      <c r="A32" s="13"/>
      <c r="B32" s="4" t="s">
        <v>78</v>
      </c>
      <c r="C32" s="13">
        <v>393907</v>
      </c>
      <c r="D32" s="4">
        <v>7772</v>
      </c>
      <c r="E32" s="4">
        <v>968</v>
      </c>
      <c r="F32" s="19">
        <f t="shared" si="3"/>
        <v>0.12454966546577458</v>
      </c>
      <c r="G32" s="17">
        <v>76.239999999999995</v>
      </c>
      <c r="H32" s="4">
        <v>25</v>
      </c>
      <c r="I32" s="4">
        <v>3844</v>
      </c>
      <c r="J32" s="4">
        <v>1905</v>
      </c>
      <c r="K32" s="4">
        <v>2047</v>
      </c>
      <c r="L32" s="17">
        <f t="shared" si="4"/>
        <v>24.98688352570829</v>
      </c>
      <c r="M32" s="17">
        <f t="shared" si="5"/>
        <v>26.849422875131168</v>
      </c>
      <c r="N32" s="6">
        <f t="shared" si="9"/>
        <v>309.52</v>
      </c>
      <c r="O32" s="17">
        <f t="shared" si="7"/>
        <v>6.1546911346601192</v>
      </c>
      <c r="P32" s="17">
        <f t="shared" si="8"/>
        <v>6.6134660118893773</v>
      </c>
    </row>
    <row r="33" spans="1:18" ht="13.8" x14ac:dyDescent="0.25">
      <c r="A33" s="13"/>
      <c r="B33" s="4" t="s">
        <v>79</v>
      </c>
      <c r="C33" s="13">
        <v>506501</v>
      </c>
      <c r="D33" s="4">
        <v>9201</v>
      </c>
      <c r="E33" s="4">
        <v>866</v>
      </c>
      <c r="F33" s="19">
        <f t="shared" si="3"/>
        <v>9.4120204325616783E-2</v>
      </c>
      <c r="G33" s="17">
        <v>68.12</v>
      </c>
      <c r="H33" s="4">
        <v>25</v>
      </c>
      <c r="I33" s="4">
        <v>4402</v>
      </c>
      <c r="J33" s="4">
        <v>1666</v>
      </c>
      <c r="K33" s="4">
        <v>2855</v>
      </c>
      <c r="L33" s="17">
        <f t="shared" si="4"/>
        <v>24.456840869054609</v>
      </c>
      <c r="M33" s="17">
        <f t="shared" si="5"/>
        <v>41.911332941867293</v>
      </c>
      <c r="N33" s="6">
        <f t="shared" si="9"/>
        <v>354.16</v>
      </c>
      <c r="O33" s="17">
        <f t="shared" si="7"/>
        <v>4.7040885475491301</v>
      </c>
      <c r="P33" s="17">
        <f t="shared" si="8"/>
        <v>8.0613282132369548</v>
      </c>
    </row>
    <row r="34" spans="1:18" ht="13.8" x14ac:dyDescent="0.25">
      <c r="A34" s="13"/>
      <c r="B34" s="4" t="s">
        <v>80</v>
      </c>
      <c r="C34" s="13">
        <v>639701</v>
      </c>
      <c r="D34" s="4">
        <v>10134</v>
      </c>
      <c r="E34" s="4">
        <v>1070</v>
      </c>
      <c r="F34" s="19">
        <f t="shared" si="3"/>
        <v>0.10558515887112691</v>
      </c>
      <c r="G34" s="17">
        <v>84.21</v>
      </c>
      <c r="H34" s="4">
        <v>25</v>
      </c>
      <c r="I34" s="4">
        <v>5083</v>
      </c>
      <c r="J34" s="4">
        <v>2464</v>
      </c>
      <c r="K34" s="4">
        <v>4888</v>
      </c>
      <c r="L34" s="17">
        <f t="shared" si="4"/>
        <v>29.260182876142977</v>
      </c>
      <c r="M34" s="17">
        <f t="shared" si="5"/>
        <v>58.045362783517405</v>
      </c>
      <c r="N34" s="6">
        <f t="shared" si="9"/>
        <v>408.64</v>
      </c>
      <c r="O34" s="17">
        <f t="shared" si="7"/>
        <v>6.0297572435395459</v>
      </c>
      <c r="P34" s="17">
        <f t="shared" si="8"/>
        <v>11.961628817541113</v>
      </c>
    </row>
    <row r="35" spans="1:18" ht="13.8" x14ac:dyDescent="0.25">
      <c r="A35" s="13"/>
      <c r="B35" s="4" t="s">
        <v>81</v>
      </c>
      <c r="C35" s="13">
        <v>674510</v>
      </c>
      <c r="D35" s="4">
        <v>10446</v>
      </c>
      <c r="E35" s="4">
        <v>961</v>
      </c>
      <c r="F35" s="19">
        <f t="shared" si="3"/>
        <v>9.1996936626459885E-2</v>
      </c>
      <c r="G35" s="17">
        <v>75.64</v>
      </c>
      <c r="H35" s="4">
        <v>25.4</v>
      </c>
      <c r="I35" s="5">
        <v>5635</v>
      </c>
      <c r="J35" s="4">
        <v>3281</v>
      </c>
      <c r="K35" s="4">
        <v>6460</v>
      </c>
      <c r="L35" s="17">
        <f t="shared" si="4"/>
        <v>43.376520359598096</v>
      </c>
      <c r="M35" s="17">
        <f t="shared" si="5"/>
        <v>85.404547858276047</v>
      </c>
      <c r="N35" s="6">
        <f t="shared" si="9"/>
        <v>445.70078740157481</v>
      </c>
      <c r="O35" s="17">
        <f t="shared" si="7"/>
        <v>7.361440887569783</v>
      </c>
      <c r="P35" s="17">
        <f t="shared" si="8"/>
        <v>14.494028690551904</v>
      </c>
    </row>
    <row r="36" spans="1:18" ht="13.8" x14ac:dyDescent="0.25">
      <c r="A36" s="13"/>
      <c r="B36" s="4" t="s">
        <v>82</v>
      </c>
      <c r="C36" s="20">
        <f>C35+C51-D51</f>
        <v>684468</v>
      </c>
      <c r="D36" s="5">
        <f>D35+C52-D52</f>
        <v>10419</v>
      </c>
      <c r="E36" s="5">
        <f>E35+C55-D55</f>
        <v>891</v>
      </c>
      <c r="F36" s="19">
        <f t="shared" si="3"/>
        <v>8.5516844226893179E-2</v>
      </c>
      <c r="G36" s="17">
        <f>M46</f>
        <v>70.010000000000005</v>
      </c>
      <c r="H36" s="4">
        <v>25.4</v>
      </c>
      <c r="I36" s="5">
        <v>5635</v>
      </c>
      <c r="J36" s="4">
        <v>3095</v>
      </c>
      <c r="K36" s="4">
        <v>4739</v>
      </c>
      <c r="L36" s="17">
        <f t="shared" si="4"/>
        <v>44.207970289958574</v>
      </c>
      <c r="M36" s="17">
        <f t="shared" si="5"/>
        <v>67.690329952863877</v>
      </c>
      <c r="N36" s="6">
        <f t="shared" si="9"/>
        <v>445.70078740157481</v>
      </c>
      <c r="O36" s="17">
        <f t="shared" si="7"/>
        <v>6.9441205568511055</v>
      </c>
      <c r="P36" s="17">
        <f t="shared" si="8"/>
        <v>10.632693802558123</v>
      </c>
    </row>
    <row r="38" spans="1:18" ht="13.8" x14ac:dyDescent="0.25">
      <c r="A38" s="1" t="s">
        <v>83</v>
      </c>
      <c r="B38" s="1" t="s">
        <v>42</v>
      </c>
      <c r="C38" s="18" t="s">
        <v>7</v>
      </c>
      <c r="D38" s="18" t="s">
        <v>44</v>
      </c>
      <c r="E38" s="18" t="s">
        <v>45</v>
      </c>
      <c r="F38" s="18" t="s">
        <v>46</v>
      </c>
      <c r="G38" s="18" t="s">
        <v>10</v>
      </c>
      <c r="H38" s="18" t="s">
        <v>47</v>
      </c>
      <c r="I38" s="18" t="s">
        <v>12</v>
      </c>
      <c r="J38" s="18" t="s">
        <v>84</v>
      </c>
      <c r="K38" s="18" t="s">
        <v>85</v>
      </c>
      <c r="L38" s="18" t="s">
        <v>50</v>
      </c>
      <c r="M38" s="18" t="s">
        <v>51</v>
      </c>
      <c r="N38" s="18" t="s">
        <v>52</v>
      </c>
      <c r="O38" s="18" t="s">
        <v>53</v>
      </c>
      <c r="P38" s="18" t="s">
        <v>54</v>
      </c>
    </row>
    <row r="39" spans="1:18" ht="14.4" x14ac:dyDescent="0.3">
      <c r="B39" s="21" t="s">
        <v>86</v>
      </c>
      <c r="C39" s="22">
        <f t="shared" ref="C39:E39" si="10">(C35/C15)^(1/20)-1</f>
        <v>0.10271460236640495</v>
      </c>
      <c r="D39" s="22">
        <f t="shared" si="10"/>
        <v>0.13609927011956446</v>
      </c>
      <c r="E39" s="22">
        <f t="shared" si="10"/>
        <v>0.20261220561948279</v>
      </c>
      <c r="F39" s="23">
        <f>MEDIAN(F15:F35)</f>
        <v>7.9929473993535116E-2</v>
      </c>
      <c r="G39" s="22">
        <f>((10*G35)/G15)^(1/20)-1</f>
        <v>0.20666868169411345</v>
      </c>
      <c r="H39" s="22">
        <f t="shared" ref="H39:I39" si="11">(H35/H15)^(1/20)-1</f>
        <v>3.2491407054848764E-2</v>
      </c>
      <c r="I39" s="22">
        <f t="shared" si="11"/>
        <v>0.18346279536707044</v>
      </c>
      <c r="J39" s="22">
        <f t="shared" ref="J39:K39" si="12">((10*J35)/J15)^(1/20)-1</f>
        <v>0.31139013218403133</v>
      </c>
      <c r="K39" s="22">
        <f t="shared" si="12"/>
        <v>0.31907636888456437</v>
      </c>
      <c r="L39" s="24">
        <f t="shared" ref="L39:M39" si="13">MEDIAN(L15:L35)</f>
        <v>13.781038374717834</v>
      </c>
      <c r="M39" s="24">
        <f t="shared" si="13"/>
        <v>26.849422875131168</v>
      </c>
      <c r="N39" s="22">
        <f>((10*N35)/N15)^(1/20)-1</f>
        <v>0.18295159013735796</v>
      </c>
      <c r="O39" s="24">
        <f t="shared" ref="O39:P39" si="14">MEDIAN(O15:O35)</f>
        <v>4.0239516296450066</v>
      </c>
      <c r="P39" s="24">
        <f t="shared" si="14"/>
        <v>7.6240865684035706</v>
      </c>
    </row>
    <row r="40" spans="1:18" ht="14.4" x14ac:dyDescent="0.3">
      <c r="B40" s="21" t="s">
        <v>87</v>
      </c>
      <c r="C40" s="22">
        <f t="shared" ref="C40:E40" si="15">(C35/C20)^(1/15)-1</f>
        <v>8.7486350210078445E-2</v>
      </c>
      <c r="D40" s="22">
        <f t="shared" si="15"/>
        <v>0.11595067204720988</v>
      </c>
      <c r="E40" s="22">
        <f t="shared" si="15"/>
        <v>0.13437598989262467</v>
      </c>
      <c r="F40" s="23">
        <f>MEDIAN(F20:F35)</f>
        <v>8.1921518263483428E-2</v>
      </c>
      <c r="G40" s="22">
        <f>((5*G35)/G20)^(1/15)-1</f>
        <v>0.13444827453014185</v>
      </c>
      <c r="H40" s="22">
        <f t="shared" ref="H40:I40" si="16">(H35/H20)^(1/15)-1</f>
        <v>0</v>
      </c>
      <c r="I40" s="22">
        <f t="shared" si="16"/>
        <v>0.20329594617563074</v>
      </c>
      <c r="J40" s="22">
        <f t="shared" ref="J40:K40" si="17">((5*J35)/J20)^(1/15)-1</f>
        <v>0.32907623721534218</v>
      </c>
      <c r="K40" s="22">
        <f t="shared" si="17"/>
        <v>0.30585495632795978</v>
      </c>
      <c r="L40" s="24">
        <f t="shared" ref="L40:M40" si="18">MEDIAN(L20:L35)</f>
        <v>23.076531057980723</v>
      </c>
      <c r="M40" s="24">
        <f t="shared" si="18"/>
        <v>33.409229657920733</v>
      </c>
      <c r="N40" s="22">
        <f>((5*N35)/N20)^(1/15)-1</f>
        <v>0.19806349064820838</v>
      </c>
      <c r="O40" s="24">
        <f t="shared" ref="O40:P40" si="19">MEDIAN(O20:O35)</f>
        <v>5.0461595037531932</v>
      </c>
      <c r="P40" s="24">
        <f t="shared" si="19"/>
        <v>8.2285003304404665</v>
      </c>
    </row>
    <row r="41" spans="1:18" ht="14.4" x14ac:dyDescent="0.3">
      <c r="B41" s="21" t="s">
        <v>88</v>
      </c>
      <c r="C41" s="22">
        <f t="shared" ref="C41:E41" si="20">(C35/C25)^(1/10)-1</f>
        <v>8.3024663666597665E-2</v>
      </c>
      <c r="D41" s="22">
        <f t="shared" si="20"/>
        <v>9.3969076119269523E-2</v>
      </c>
      <c r="E41" s="22">
        <f t="shared" si="20"/>
        <v>0.11764435906997606</v>
      </c>
      <c r="F41" s="23">
        <f>MEDIAN(F25:F35)</f>
        <v>8.4939489018377404E-2</v>
      </c>
      <c r="G41" s="22">
        <f t="shared" ref="G41:K41" si="21">(G35/G25)^(1/10)-1</f>
        <v>0.1177444257866116</v>
      </c>
      <c r="H41" s="22">
        <f t="shared" si="21"/>
        <v>0</v>
      </c>
      <c r="I41" s="22">
        <f t="shared" si="21"/>
        <v>0.16659111660841597</v>
      </c>
      <c r="J41" s="22">
        <f t="shared" si="21"/>
        <v>0.20296105814012844</v>
      </c>
      <c r="K41" s="22">
        <f t="shared" si="21"/>
        <v>0.24110242596362519</v>
      </c>
      <c r="L41" s="24">
        <f t="shared" ref="L41:M41" si="22">MEDIAN(L25:L35)</f>
        <v>24.98688352570829</v>
      </c>
      <c r="M41" s="24">
        <f t="shared" si="22"/>
        <v>39.51501791127032</v>
      </c>
      <c r="N41" s="22">
        <f>(N35/N25)^(1/10)-1</f>
        <v>0.16468784549776116</v>
      </c>
      <c r="O41" s="24">
        <f t="shared" ref="O41:P41" si="23">MEDIAN(O25:O35)</f>
        <v>5.965315699658702</v>
      </c>
      <c r="P41" s="24">
        <f t="shared" si="23"/>
        <v>9.1406344107608906</v>
      </c>
    </row>
    <row r="42" spans="1:18" ht="14.4" x14ac:dyDescent="0.3">
      <c r="B42" s="21" t="s">
        <v>89</v>
      </c>
      <c r="C42" s="22">
        <f t="shared" ref="C42:E42" si="24">(C35/C30)^(1/5)-1</f>
        <v>0.10387342492137197</v>
      </c>
      <c r="D42" s="22">
        <f t="shared" si="24"/>
        <v>0.13639198643393491</v>
      </c>
      <c r="E42" s="22">
        <f t="shared" si="24"/>
        <v>0.15526416286499423</v>
      </c>
      <c r="F42" s="23">
        <f>MEDIAN(F30:F35)</f>
        <v>9.9852681598371851E-2</v>
      </c>
      <c r="G42" s="22">
        <f t="shared" ref="G42:K42" si="25">(G35/G30)^(1/5)-1</f>
        <v>0.15499669179519948</v>
      </c>
      <c r="H42" s="22">
        <f t="shared" si="25"/>
        <v>0</v>
      </c>
      <c r="I42" s="22">
        <f t="shared" si="25"/>
        <v>0.21743526305714211</v>
      </c>
      <c r="J42" s="22">
        <f t="shared" si="25"/>
        <v>0.32612129383236854</v>
      </c>
      <c r="K42" s="22">
        <f t="shared" si="25"/>
        <v>0.35524580369186554</v>
      </c>
      <c r="L42" s="24">
        <f t="shared" ref="L42:M42" si="26">MEDIAN(L30:L35)</f>
        <v>24.721862197381448</v>
      </c>
      <c r="M42" s="24">
        <f t="shared" si="26"/>
        <v>40.154036036151041</v>
      </c>
      <c r="N42" s="22">
        <f>(N35/N30)^(1/5)-1</f>
        <v>0.21561399037887319</v>
      </c>
      <c r="O42" s="24">
        <f t="shared" ref="O42:P42" si="27">MEDIAN(O30:O35)</f>
        <v>5.3971708746303992</v>
      </c>
      <c r="P42" s="24">
        <f t="shared" si="27"/>
        <v>8.9280659234405491</v>
      </c>
    </row>
    <row r="43" spans="1:18" ht="14.4" x14ac:dyDescent="0.3">
      <c r="B43" s="4" t="s">
        <v>90</v>
      </c>
      <c r="C43" s="14">
        <f t="shared" ref="C43:E43" si="28">(C35/C34)-1</f>
        <v>5.4414484266868346E-2</v>
      </c>
      <c r="D43" s="14">
        <f t="shared" si="28"/>
        <v>3.0787448194197653E-2</v>
      </c>
      <c r="E43" s="14">
        <f t="shared" si="28"/>
        <v>-0.10186915887850467</v>
      </c>
      <c r="F43" s="16">
        <f>F35</f>
        <v>9.1996936626459885E-2</v>
      </c>
      <c r="G43" s="14">
        <f t="shared" ref="G43:K43" si="29">(G35/G34)-1</f>
        <v>-0.10176938605866281</v>
      </c>
      <c r="H43" s="14">
        <f t="shared" si="29"/>
        <v>1.6000000000000014E-2</v>
      </c>
      <c r="I43" s="14">
        <f t="shared" si="29"/>
        <v>0.10859728506787336</v>
      </c>
      <c r="J43" s="14">
        <f t="shared" si="29"/>
        <v>0.33157467532467533</v>
      </c>
      <c r="K43" s="14">
        <f t="shared" si="29"/>
        <v>0.32160392798690673</v>
      </c>
      <c r="L43" s="24">
        <f t="shared" ref="L43:M43" si="30">L35</f>
        <v>43.376520359598096</v>
      </c>
      <c r="M43" s="24">
        <f t="shared" si="30"/>
        <v>85.404547858276047</v>
      </c>
      <c r="N43" s="14">
        <f>(N35/N34)-1</f>
        <v>9.0692999710196842E-2</v>
      </c>
      <c r="O43" s="17">
        <f t="shared" ref="O43:P43" si="31">O35</f>
        <v>7.361440887569783</v>
      </c>
      <c r="P43" s="17">
        <f t="shared" si="31"/>
        <v>14.494028690551904</v>
      </c>
    </row>
    <row r="45" spans="1:18" ht="14.4" x14ac:dyDescent="0.3">
      <c r="A45" s="25"/>
      <c r="B45" s="1" t="s">
        <v>91</v>
      </c>
      <c r="C45" s="1" t="s">
        <v>92</v>
      </c>
      <c r="D45" s="1" t="s">
        <v>93</v>
      </c>
      <c r="E45" s="1" t="s">
        <v>94</v>
      </c>
      <c r="F45" s="1" t="s">
        <v>95</v>
      </c>
      <c r="G45" s="1" t="s">
        <v>96</v>
      </c>
      <c r="I45" s="1" t="s">
        <v>97</v>
      </c>
      <c r="J45" s="1" t="s">
        <v>98</v>
      </c>
      <c r="K45" s="1" t="s">
        <v>99</v>
      </c>
      <c r="L45" s="1" t="s">
        <v>95</v>
      </c>
      <c r="M45" s="1" t="s">
        <v>100</v>
      </c>
      <c r="O45" s="26" t="s">
        <v>101</v>
      </c>
      <c r="P45" s="26" t="s">
        <v>100</v>
      </c>
      <c r="Q45" s="26" t="s">
        <v>102</v>
      </c>
      <c r="R45" s="26" t="s">
        <v>103</v>
      </c>
    </row>
    <row r="46" spans="1:18" ht="13.8" x14ac:dyDescent="0.25">
      <c r="B46" s="4" t="s">
        <v>8</v>
      </c>
      <c r="C46" s="14">
        <v>0.05</v>
      </c>
      <c r="D46" s="14">
        <v>0.04</v>
      </c>
      <c r="E46" s="14">
        <v>0.03</v>
      </c>
      <c r="F46" s="14">
        <v>-0.01</v>
      </c>
      <c r="G46" s="14">
        <v>-0.03</v>
      </c>
      <c r="I46" s="27">
        <v>16.260000000000002</v>
      </c>
      <c r="J46" s="27">
        <v>14.72</v>
      </c>
      <c r="K46" s="27">
        <v>23.1</v>
      </c>
      <c r="L46" s="27">
        <v>15.93</v>
      </c>
      <c r="M46" s="28">
        <f>SUM(I46:L46)</f>
        <v>70.010000000000005</v>
      </c>
      <c r="O46" s="29">
        <v>75.64</v>
      </c>
      <c r="P46" s="30">
        <f>M46</f>
        <v>70.010000000000005</v>
      </c>
      <c r="Q46" s="30">
        <f>F66</f>
        <v>64.293999999999997</v>
      </c>
      <c r="R46" s="31">
        <f ca="1">Q48/-1</f>
        <v>-70.865088499704484</v>
      </c>
    </row>
    <row r="47" spans="1:18" ht="13.8" x14ac:dyDescent="0.25">
      <c r="B47" s="4" t="s">
        <v>9</v>
      </c>
      <c r="C47" s="14">
        <v>0.04</v>
      </c>
      <c r="D47" s="14">
        <v>-7.0000000000000007E-2</v>
      </c>
      <c r="E47" s="14">
        <v>-0.1</v>
      </c>
      <c r="F47" s="14">
        <v>-0.26</v>
      </c>
      <c r="G47" s="32">
        <v>-0.15</v>
      </c>
      <c r="O47" s="26" t="s">
        <v>104</v>
      </c>
      <c r="P47" s="26" t="s">
        <v>105</v>
      </c>
      <c r="Q47" s="26" t="s">
        <v>106</v>
      </c>
      <c r="R47" s="33"/>
    </row>
    <row r="48" spans="1:18" ht="13.8" x14ac:dyDescent="0.25">
      <c r="B48" s="4" t="s">
        <v>107</v>
      </c>
      <c r="C48" s="16">
        <v>9.7000000000000003E-2</v>
      </c>
      <c r="D48" s="16">
        <v>8.8999999999999996E-2</v>
      </c>
      <c r="E48" s="16">
        <v>9.1999999999999998E-2</v>
      </c>
      <c r="F48" s="16">
        <v>7.6999999999999999E-2</v>
      </c>
      <c r="G48" s="16">
        <v>7.6999999999999999E-2</v>
      </c>
      <c r="O48" s="29">
        <f>C4/O46</f>
        <v>45.293495505023799</v>
      </c>
      <c r="P48" s="29">
        <f ca="1">C3/P46</f>
        <v>65.079274389372941</v>
      </c>
      <c r="Q48" s="29">
        <f ca="1">C3/Q46</f>
        <v>70.865088499704484</v>
      </c>
      <c r="R48" s="33"/>
    </row>
    <row r="50" spans="1:27" ht="13.8" x14ac:dyDescent="0.25">
      <c r="B50" s="1" t="s">
        <v>108</v>
      </c>
      <c r="C50" s="1" t="s">
        <v>95</v>
      </c>
      <c r="D50" s="1" t="s">
        <v>109</v>
      </c>
      <c r="E50" s="34" t="s">
        <v>83</v>
      </c>
      <c r="F50" s="35"/>
      <c r="G50" s="1" t="s">
        <v>108</v>
      </c>
      <c r="H50" s="1" t="s">
        <v>99</v>
      </c>
      <c r="I50" s="1" t="s">
        <v>110</v>
      </c>
      <c r="J50" s="34" t="s">
        <v>83</v>
      </c>
      <c r="K50" s="36"/>
      <c r="L50" s="1" t="s">
        <v>108</v>
      </c>
      <c r="M50" s="1" t="s">
        <v>94</v>
      </c>
      <c r="N50" s="1" t="s">
        <v>111</v>
      </c>
      <c r="O50" s="1" t="s">
        <v>83</v>
      </c>
      <c r="Q50" s="1" t="s">
        <v>112</v>
      </c>
      <c r="R50" s="1" t="s">
        <v>95</v>
      </c>
      <c r="S50" s="1" t="s">
        <v>109</v>
      </c>
      <c r="T50" s="1" t="s">
        <v>83</v>
      </c>
      <c r="U50" s="1" t="s">
        <v>113</v>
      </c>
      <c r="V50" s="37"/>
      <c r="W50" s="1" t="s">
        <v>114</v>
      </c>
      <c r="X50" s="1" t="s">
        <v>95</v>
      </c>
      <c r="Y50" s="1" t="s">
        <v>109</v>
      </c>
      <c r="Z50" s="1" t="s">
        <v>113</v>
      </c>
      <c r="AA50" s="1" t="s">
        <v>83</v>
      </c>
    </row>
    <row r="51" spans="1:27" ht="13.8" x14ac:dyDescent="0.25">
      <c r="B51" s="4" t="s">
        <v>115</v>
      </c>
      <c r="C51" s="5">
        <v>183793</v>
      </c>
      <c r="D51" s="5">
        <v>173835</v>
      </c>
      <c r="E51" s="14">
        <v>2.3E-2</v>
      </c>
      <c r="G51" s="4" t="s">
        <v>115</v>
      </c>
      <c r="H51" s="5">
        <v>199865</v>
      </c>
      <c r="I51" s="5">
        <f>PV(J51,1,0,-H51,0)</f>
        <v>195371.45650048877</v>
      </c>
      <c r="J51" s="14">
        <v>2.3E-2</v>
      </c>
      <c r="K51" s="37"/>
      <c r="L51" s="4" t="s">
        <v>115</v>
      </c>
      <c r="M51" s="5">
        <v>674510</v>
      </c>
      <c r="N51" s="5">
        <v>639701</v>
      </c>
      <c r="O51" s="14">
        <f t="shared" ref="O51:O56" si="32">(M51/N51)^(1/1)-1</f>
        <v>5.4414484266868346E-2</v>
      </c>
      <c r="Q51" s="4" t="s">
        <v>116</v>
      </c>
      <c r="R51" s="5">
        <v>1792</v>
      </c>
      <c r="S51" s="5">
        <v>1858</v>
      </c>
      <c r="T51" s="14">
        <f t="shared" ref="T51:T55" si="33">(R51/S51)^(1/1)-1</f>
        <v>-3.5522066738428393E-2</v>
      </c>
      <c r="U51" s="14">
        <f t="shared" ref="U51:U55" si="34">R51/$R$57</f>
        <v>0.68711656441717794</v>
      </c>
      <c r="W51" s="4" t="s">
        <v>117</v>
      </c>
      <c r="X51" s="5">
        <v>1920</v>
      </c>
      <c r="Y51" s="5">
        <v>1776</v>
      </c>
      <c r="Z51" s="14">
        <f t="shared" ref="Z51:Z57" si="35">X51/$X$59</f>
        <v>0.80442433383609846</v>
      </c>
      <c r="AA51" s="14">
        <f t="shared" ref="AA51:AA57" si="36">(X51/Y51)^(1/1)-1</f>
        <v>8.1081081081081141E-2</v>
      </c>
    </row>
    <row r="52" spans="1:27" ht="13.8" x14ac:dyDescent="0.25">
      <c r="B52" s="4" t="s">
        <v>118</v>
      </c>
      <c r="C52" s="5">
        <v>2609</v>
      </c>
      <c r="D52" s="5">
        <v>2636</v>
      </c>
      <c r="E52" s="14">
        <f t="shared" ref="E52:E56" si="37">(C52/D52)^(1/1)-1</f>
        <v>-1.0242792109256493E-2</v>
      </c>
      <c r="F52" s="37"/>
      <c r="G52" s="4" t="s">
        <v>118</v>
      </c>
      <c r="H52" s="5">
        <v>3027</v>
      </c>
      <c r="I52" s="5">
        <v>3008</v>
      </c>
      <c r="J52" s="14">
        <f t="shared" ref="J52:J56" si="38">(H52/I52)^(1/1)-1</f>
        <v>6.3164893617020379E-3</v>
      </c>
      <c r="L52" s="4" t="s">
        <v>118</v>
      </c>
      <c r="M52" s="5">
        <v>10446</v>
      </c>
      <c r="N52" s="5">
        <v>10134</v>
      </c>
      <c r="O52" s="14">
        <f t="shared" si="32"/>
        <v>3.0787448194197653E-2</v>
      </c>
      <c r="Q52" s="4" t="s">
        <v>119</v>
      </c>
      <c r="R52" s="5">
        <v>302</v>
      </c>
      <c r="S52" s="5">
        <v>306</v>
      </c>
      <c r="T52" s="14">
        <f t="shared" si="33"/>
        <v>-1.3071895424836555E-2</v>
      </c>
      <c r="U52" s="14">
        <f t="shared" si="34"/>
        <v>0.11579754601226994</v>
      </c>
      <c r="W52" s="4" t="s">
        <v>120</v>
      </c>
      <c r="X52" s="5">
        <v>36</v>
      </c>
      <c r="Y52" s="5">
        <v>17</v>
      </c>
      <c r="Z52" s="14">
        <f t="shared" si="35"/>
        <v>1.5082956259426846E-2</v>
      </c>
      <c r="AA52" s="14">
        <f t="shared" si="36"/>
        <v>1.1176470588235294</v>
      </c>
    </row>
    <row r="53" spans="1:27" ht="13.8" x14ac:dyDescent="0.25">
      <c r="B53" s="4" t="s">
        <v>121</v>
      </c>
      <c r="C53" s="5">
        <v>2386</v>
      </c>
      <c r="D53" s="5">
        <v>2338</v>
      </c>
      <c r="E53" s="14">
        <f t="shared" si="37"/>
        <v>2.0530367835757124E-2</v>
      </c>
      <c r="G53" s="4" t="s">
        <v>121</v>
      </c>
      <c r="H53" s="5">
        <v>2705</v>
      </c>
      <c r="I53" s="5">
        <v>2602</v>
      </c>
      <c r="J53" s="14">
        <f t="shared" si="38"/>
        <v>3.9584934665641835E-2</v>
      </c>
      <c r="L53" s="4" t="s">
        <v>121</v>
      </c>
      <c r="M53" s="5">
        <v>9385</v>
      </c>
      <c r="N53" s="5">
        <v>8902</v>
      </c>
      <c r="O53" s="14">
        <f t="shared" si="32"/>
        <v>5.42574702314087E-2</v>
      </c>
      <c r="Q53" s="4" t="s">
        <v>122</v>
      </c>
      <c r="R53" s="5">
        <v>401</v>
      </c>
      <c r="S53" s="5">
        <v>368</v>
      </c>
      <c r="T53" s="14">
        <f t="shared" si="33"/>
        <v>8.9673913043478271E-2</v>
      </c>
      <c r="U53" s="14">
        <f t="shared" si="34"/>
        <v>0.15375766871165644</v>
      </c>
      <c r="W53" s="4" t="s">
        <v>123</v>
      </c>
      <c r="X53" s="5">
        <v>-166</v>
      </c>
      <c r="Y53" s="5">
        <v>2</v>
      </c>
      <c r="Z53" s="14">
        <f t="shared" si="35"/>
        <v>-6.9549187196246018E-2</v>
      </c>
      <c r="AA53" s="14">
        <f t="shared" si="36"/>
        <v>-84</v>
      </c>
    </row>
    <row r="54" spans="1:27" ht="13.8" x14ac:dyDescent="0.25">
      <c r="B54" s="4" t="s">
        <v>124</v>
      </c>
      <c r="C54" s="27">
        <v>2.77</v>
      </c>
      <c r="D54" s="27">
        <v>3.33</v>
      </c>
      <c r="E54" s="14">
        <f t="shared" si="37"/>
        <v>-0.16816816816816815</v>
      </c>
      <c r="G54" s="4" t="s">
        <v>124</v>
      </c>
      <c r="H54" s="5">
        <v>3</v>
      </c>
      <c r="I54" s="5">
        <v>7</v>
      </c>
      <c r="J54" s="14">
        <f t="shared" si="38"/>
        <v>-0.5714285714285714</v>
      </c>
      <c r="L54" s="4" t="s">
        <v>124</v>
      </c>
      <c r="M54" s="5">
        <v>12</v>
      </c>
      <c r="N54" s="5">
        <v>16</v>
      </c>
      <c r="O54" s="14">
        <f t="shared" si="32"/>
        <v>-0.25</v>
      </c>
      <c r="Q54" s="4" t="s">
        <v>125</v>
      </c>
      <c r="R54" s="5">
        <v>98</v>
      </c>
      <c r="S54" s="5">
        <v>97</v>
      </c>
      <c r="T54" s="14">
        <f t="shared" si="33"/>
        <v>1.0309278350515427E-2</v>
      </c>
      <c r="U54" s="14">
        <f t="shared" si="34"/>
        <v>3.7576687116564415E-2</v>
      </c>
      <c r="W54" s="4" t="s">
        <v>126</v>
      </c>
      <c r="X54" s="5">
        <v>135</v>
      </c>
      <c r="Y54" s="5">
        <v>121</v>
      </c>
      <c r="Z54" s="14">
        <f t="shared" si="35"/>
        <v>5.6561085972850672E-2</v>
      </c>
      <c r="AA54" s="14">
        <f t="shared" si="36"/>
        <v>0.11570247933884303</v>
      </c>
    </row>
    <row r="55" spans="1:27" ht="13.8" x14ac:dyDescent="0.25">
      <c r="B55" s="4" t="s">
        <v>127</v>
      </c>
      <c r="C55" s="5">
        <v>201</v>
      </c>
      <c r="D55" s="5">
        <v>271</v>
      </c>
      <c r="E55" s="14">
        <f t="shared" si="37"/>
        <v>-0.25830258302583031</v>
      </c>
      <c r="G55" s="4" t="s">
        <v>127</v>
      </c>
      <c r="H55" s="5">
        <v>294</v>
      </c>
      <c r="I55" s="5">
        <v>355</v>
      </c>
      <c r="J55" s="14">
        <f t="shared" si="38"/>
        <v>-0.17183098591549295</v>
      </c>
      <c r="L55" s="4" t="s">
        <v>127</v>
      </c>
      <c r="M55" s="5">
        <v>961</v>
      </c>
      <c r="N55" s="5">
        <v>1070</v>
      </c>
      <c r="O55" s="14">
        <f t="shared" si="32"/>
        <v>-0.10186915887850467</v>
      </c>
      <c r="Q55" s="4" t="s">
        <v>128</v>
      </c>
      <c r="R55" s="4">
        <v>15</v>
      </c>
      <c r="S55" s="4">
        <v>6</v>
      </c>
      <c r="T55" s="14">
        <f t="shared" si="33"/>
        <v>1.5</v>
      </c>
      <c r="U55" s="14">
        <f t="shared" si="34"/>
        <v>5.7515337423312881E-3</v>
      </c>
      <c r="W55" s="4" t="s">
        <v>124</v>
      </c>
      <c r="X55" s="5">
        <v>2.8</v>
      </c>
      <c r="Y55" s="5">
        <v>3.3</v>
      </c>
      <c r="Z55" s="14">
        <f t="shared" si="35"/>
        <v>1.1731188201776436E-3</v>
      </c>
      <c r="AA55" s="14">
        <f t="shared" si="36"/>
        <v>-0.15151515151515149</v>
      </c>
    </row>
    <row r="56" spans="1:27" ht="13.8" x14ac:dyDescent="0.25">
      <c r="B56" s="4" t="s">
        <v>10</v>
      </c>
      <c r="C56" s="17">
        <v>15.93</v>
      </c>
      <c r="D56" s="17">
        <v>21.52</v>
      </c>
      <c r="E56" s="14">
        <f t="shared" si="37"/>
        <v>-0.25975836431226762</v>
      </c>
      <c r="G56" s="4" t="s">
        <v>10</v>
      </c>
      <c r="H56" s="17">
        <v>23.14</v>
      </c>
      <c r="I56" s="17">
        <v>27.9</v>
      </c>
      <c r="J56" s="14">
        <f t="shared" si="38"/>
        <v>-0.17060931899641574</v>
      </c>
      <c r="L56" s="4" t="s">
        <v>10</v>
      </c>
      <c r="M56" s="28">
        <v>75.64</v>
      </c>
      <c r="N56" s="28">
        <v>84.21</v>
      </c>
      <c r="O56" s="14">
        <f t="shared" si="32"/>
        <v>-0.10176938605866281</v>
      </c>
      <c r="Q56" s="4"/>
      <c r="R56" s="6"/>
      <c r="S56" s="6"/>
      <c r="T56" s="14"/>
      <c r="U56" s="14"/>
      <c r="W56" s="4" t="s">
        <v>129</v>
      </c>
      <c r="X56" s="6">
        <v>93</v>
      </c>
      <c r="Y56" s="6">
        <v>86</v>
      </c>
      <c r="Z56" s="14">
        <f t="shared" si="35"/>
        <v>3.8964303670186023E-2</v>
      </c>
      <c r="AA56" s="14">
        <f t="shared" si="36"/>
        <v>8.1395348837209225E-2</v>
      </c>
    </row>
    <row r="57" spans="1:27" ht="13.8" x14ac:dyDescent="0.25">
      <c r="B57" s="4" t="s">
        <v>130</v>
      </c>
      <c r="C57" s="16">
        <f t="shared" ref="C57:D57" si="39">C55/C52</f>
        <v>7.7041011881947105E-2</v>
      </c>
      <c r="D57" s="16">
        <f t="shared" si="39"/>
        <v>0.10280728376327769</v>
      </c>
      <c r="E57" s="16">
        <f t="shared" ref="E57:E58" si="40">C57-D57</f>
        <v>-2.5766271881330585E-2</v>
      </c>
      <c r="G57" s="4" t="s">
        <v>130</v>
      </c>
      <c r="H57" s="16">
        <f t="shared" ref="H57:I57" si="41">H55/H52</f>
        <v>9.7125867195242813E-2</v>
      </c>
      <c r="I57" s="16">
        <f t="shared" si="41"/>
        <v>0.1180186170212766</v>
      </c>
      <c r="J57" s="28">
        <f t="shared" ref="J57:J58" si="42">H57-I57</f>
        <v>-2.0892749826033785E-2</v>
      </c>
      <c r="L57" s="4" t="s">
        <v>130</v>
      </c>
      <c r="M57" s="16">
        <f t="shared" ref="M57:N57" si="43">M55/M52</f>
        <v>9.1996936626459885E-2</v>
      </c>
      <c r="N57" s="16">
        <f t="shared" si="43"/>
        <v>0.10558515887112691</v>
      </c>
      <c r="O57" s="15">
        <f>M57-N57</f>
        <v>-1.358822224466702E-2</v>
      </c>
      <c r="Q57" s="38" t="s">
        <v>131</v>
      </c>
      <c r="R57" s="39">
        <f t="shared" ref="R57:S57" si="44">SUM(R51:R56)</f>
        <v>2608</v>
      </c>
      <c r="S57" s="39">
        <f t="shared" si="44"/>
        <v>2635</v>
      </c>
      <c r="T57" s="40">
        <f>(R57/S57)^(1/1)-1</f>
        <v>-1.0246679316888052E-2</v>
      </c>
      <c r="U57" s="40">
        <f>R57/$R$57</f>
        <v>1</v>
      </c>
      <c r="W57" s="4" t="s">
        <v>132</v>
      </c>
      <c r="X57" s="4">
        <v>366</v>
      </c>
      <c r="Y57" s="4">
        <v>332</v>
      </c>
      <c r="Z57" s="14">
        <f t="shared" si="35"/>
        <v>0.15334338863750627</v>
      </c>
      <c r="AA57" s="14">
        <f t="shared" si="36"/>
        <v>0.10240963855421681</v>
      </c>
    </row>
    <row r="58" spans="1:27" ht="13.8" x14ac:dyDescent="0.25">
      <c r="B58" s="4" t="s">
        <v>31</v>
      </c>
      <c r="C58" s="6">
        <f t="shared" ref="C58:D58" si="45">(C52-C53+C54)/C54</f>
        <v>81.505415162454881</v>
      </c>
      <c r="D58" s="6">
        <f t="shared" si="45"/>
        <v>90.489489489489486</v>
      </c>
      <c r="E58" s="27">
        <f t="shared" si="40"/>
        <v>-8.9840743270346053</v>
      </c>
      <c r="G58" s="4" t="s">
        <v>31</v>
      </c>
      <c r="H58" s="6">
        <f t="shared" ref="H58:I58" si="46">(H52-H53+H54)/H54</f>
        <v>108.33333333333333</v>
      </c>
      <c r="I58" s="6">
        <f t="shared" si="46"/>
        <v>59</v>
      </c>
      <c r="J58" s="27">
        <f t="shared" si="42"/>
        <v>49.333333333333329</v>
      </c>
      <c r="L58" s="4" t="s">
        <v>31</v>
      </c>
      <c r="M58" s="5">
        <f t="shared" ref="M58:N58" si="47">(M52-M53+M54)/M54</f>
        <v>89.416666666666671</v>
      </c>
      <c r="N58" s="5">
        <f t="shared" si="47"/>
        <v>78</v>
      </c>
      <c r="O58" s="14">
        <f>(M58/N58)^(1/1)-1</f>
        <v>0.14636752136752151</v>
      </c>
    </row>
    <row r="59" spans="1:27" ht="13.8" x14ac:dyDescent="0.25">
      <c r="W59" s="41" t="s">
        <v>131</v>
      </c>
      <c r="X59" s="42">
        <f t="shared" ref="X59:Y59" si="48">SUM(X51:X57)</f>
        <v>2386.8000000000002</v>
      </c>
      <c r="Y59" s="42">
        <f t="shared" si="48"/>
        <v>2337.3000000000002</v>
      </c>
      <c r="Z59" s="43">
        <f>X59/$X$59</f>
        <v>1</v>
      </c>
      <c r="AA59" s="14">
        <f>(X59/Y59)^(1/1)-1</f>
        <v>2.1178282633808276E-2</v>
      </c>
    </row>
    <row r="60" spans="1:27" ht="13.8" x14ac:dyDescent="0.25">
      <c r="A60" s="1" t="s">
        <v>133</v>
      </c>
      <c r="B60" s="1" t="s">
        <v>42</v>
      </c>
      <c r="C60" s="18" t="s">
        <v>7</v>
      </c>
      <c r="D60" s="18" t="s">
        <v>44</v>
      </c>
      <c r="E60" s="18" t="s">
        <v>45</v>
      </c>
      <c r="F60" s="18" t="s">
        <v>10</v>
      </c>
      <c r="G60" s="18" t="s">
        <v>107</v>
      </c>
    </row>
    <row r="61" spans="1:27" ht="13.8" x14ac:dyDescent="0.25">
      <c r="B61" s="4" t="s">
        <v>134</v>
      </c>
      <c r="C61" s="44">
        <f t="shared" ref="C61:D61" si="49">MEDIAN(C39:C43)</f>
        <v>8.7486350210078445E-2</v>
      </c>
      <c r="D61" s="44">
        <f t="shared" si="49"/>
        <v>0.11595067204720988</v>
      </c>
      <c r="E61" s="44">
        <v>0.12</v>
      </c>
      <c r="F61" s="44">
        <v>0.12</v>
      </c>
      <c r="G61" s="45">
        <v>8.7999999999999995E-2</v>
      </c>
    </row>
    <row r="62" spans="1:27" ht="13.8" x14ac:dyDescent="0.25">
      <c r="B62" s="4" t="s">
        <v>135</v>
      </c>
      <c r="C62" s="44">
        <v>0.02</v>
      </c>
      <c r="D62" s="44">
        <v>0.01</v>
      </c>
      <c r="E62" s="44">
        <f>(E66/E35)-1</f>
        <v>-0.15464576482830383</v>
      </c>
      <c r="F62" s="44">
        <v>-0.15</v>
      </c>
      <c r="G62" s="45">
        <v>7.6999999999999999E-2</v>
      </c>
    </row>
    <row r="63" spans="1:27" ht="13.8" x14ac:dyDescent="0.25">
      <c r="N63" s="13"/>
      <c r="O63" s="46"/>
      <c r="P63" s="46"/>
      <c r="Q63" s="47"/>
    </row>
    <row r="64" spans="1:27" ht="14.4" x14ac:dyDescent="0.3">
      <c r="G64" s="48"/>
      <c r="H64" s="49" t="s">
        <v>136</v>
      </c>
      <c r="I64" s="33"/>
      <c r="J64" s="33"/>
      <c r="K64" s="49" t="s">
        <v>137</v>
      </c>
      <c r="L64" s="33"/>
      <c r="M64" s="33"/>
      <c r="N64" s="50" t="s">
        <v>138</v>
      </c>
    </row>
    <row r="65" spans="1:14" ht="13.8" x14ac:dyDescent="0.25">
      <c r="A65" s="1" t="s">
        <v>139</v>
      </c>
      <c r="B65" s="1" t="s">
        <v>42</v>
      </c>
      <c r="C65" s="18" t="s">
        <v>7</v>
      </c>
      <c r="D65" s="18" t="s">
        <v>44</v>
      </c>
      <c r="E65" s="18" t="s">
        <v>45</v>
      </c>
      <c r="F65" s="18" t="s">
        <v>10</v>
      </c>
      <c r="G65" s="18" t="s">
        <v>140</v>
      </c>
      <c r="H65" s="18" t="s">
        <v>141</v>
      </c>
      <c r="I65" s="18" t="s">
        <v>142</v>
      </c>
      <c r="J65" s="18" t="s">
        <v>143</v>
      </c>
      <c r="K65" s="18" t="s">
        <v>141</v>
      </c>
      <c r="L65" s="18" t="s">
        <v>144</v>
      </c>
      <c r="M65" s="18" t="s">
        <v>143</v>
      </c>
      <c r="N65" s="18" t="s">
        <v>145</v>
      </c>
    </row>
    <row r="66" spans="1:14" ht="14.4" x14ac:dyDescent="0.3">
      <c r="B66" s="51" t="s">
        <v>146</v>
      </c>
      <c r="C66" s="52">
        <f t="shared" ref="C66:D66" si="50">FV(C62,1,0,-C35,0)</f>
        <v>688000.20000000007</v>
      </c>
      <c r="D66" s="52">
        <f t="shared" si="50"/>
        <v>10550.460000000001</v>
      </c>
      <c r="E66" s="52">
        <f>D66*G62</f>
        <v>812.38542000000007</v>
      </c>
      <c r="F66" s="52">
        <f>FV(F62,1,0,-G35,0)</f>
        <v>64.293999999999997</v>
      </c>
      <c r="G66" s="53">
        <f>((F66*50%)+N35)</f>
        <v>477.84778740157481</v>
      </c>
      <c r="H66" s="54">
        <f t="shared" ref="H66:H68" si="51">F66*25</f>
        <v>1607.35</v>
      </c>
      <c r="I66" s="55">
        <f t="shared" ref="I66:I68" si="52">AVERAGE(H66,J66)</f>
        <v>2250.29</v>
      </c>
      <c r="J66" s="54">
        <f t="shared" ref="J66:J68" si="53">F66*45</f>
        <v>2893.23</v>
      </c>
      <c r="K66" s="54">
        <f t="shared" ref="K66:K68" si="54">G66*5</f>
        <v>2389.238937007874</v>
      </c>
      <c r="L66" s="55">
        <f t="shared" ref="L66:L68" si="55">AVERAGE(K66,M66)</f>
        <v>3583.8584055118108</v>
      </c>
      <c r="M66" s="54">
        <f t="shared" ref="M66:M68" si="56">G66*10</f>
        <v>4778.4778740157481</v>
      </c>
      <c r="N66" s="54">
        <f t="shared" ref="N66:N68" si="57">0.6*I66+0.4*L66</f>
        <v>2783.7173622047244</v>
      </c>
    </row>
    <row r="67" spans="1:14" ht="14.4" x14ac:dyDescent="0.3">
      <c r="B67" s="51" t="s">
        <v>147</v>
      </c>
      <c r="C67" s="52">
        <f t="shared" ref="C67:D67" si="58">FV(C61,4,0,-C66,0)</f>
        <v>962240.92212916561</v>
      </c>
      <c r="D67" s="52">
        <f t="shared" si="58"/>
        <v>16362.565104259762</v>
      </c>
      <c r="E67" s="52">
        <f>D67*G61</f>
        <v>1439.9057291748591</v>
      </c>
      <c r="F67" s="52">
        <f>(E67*F66)/E66</f>
        <v>113.95736145974701</v>
      </c>
      <c r="G67" s="56">
        <f>FV(6%,4,0,-G66,0)</f>
        <v>603.27182198146659</v>
      </c>
      <c r="H67" s="54">
        <f t="shared" si="51"/>
        <v>2848.9340364936752</v>
      </c>
      <c r="I67" s="55">
        <f t="shared" si="52"/>
        <v>3988.5076510911454</v>
      </c>
      <c r="J67" s="54">
        <f t="shared" si="53"/>
        <v>5128.0812656886155</v>
      </c>
      <c r="K67" s="54">
        <f t="shared" si="54"/>
        <v>3016.3591099073328</v>
      </c>
      <c r="L67" s="55">
        <f t="shared" si="55"/>
        <v>4524.5386648609992</v>
      </c>
      <c r="M67" s="54">
        <f t="shared" si="56"/>
        <v>6032.7182198146656</v>
      </c>
      <c r="N67" s="54">
        <f t="shared" si="57"/>
        <v>4202.9200565990868</v>
      </c>
    </row>
    <row r="68" spans="1:14" ht="14.4" x14ac:dyDescent="0.3">
      <c r="B68" s="51" t="s">
        <v>148</v>
      </c>
      <c r="C68" s="52">
        <f>FV(5%,5,0,-C67,0)</f>
        <v>1228090.3475964523</v>
      </c>
      <c r="D68" s="52">
        <f t="shared" ref="D68:F68" si="59">FV(D61,5,0,-D67,0)</f>
        <v>28318.899868977111</v>
      </c>
      <c r="E68" s="52">
        <f t="shared" si="59"/>
        <v>2537.6058864033453</v>
      </c>
      <c r="F68" s="52">
        <f t="shared" si="59"/>
        <v>200.83180820800141</v>
      </c>
      <c r="G68" s="56">
        <f>FV(6%,5,0,-G67,0)</f>
        <v>807.31378242095275</v>
      </c>
      <c r="H68" s="54">
        <f t="shared" si="51"/>
        <v>5020.7952052000355</v>
      </c>
      <c r="I68" s="55">
        <f t="shared" si="52"/>
        <v>7029.1132872800499</v>
      </c>
      <c r="J68" s="54">
        <f t="shared" si="53"/>
        <v>9037.4313693600634</v>
      </c>
      <c r="K68" s="54">
        <f t="shared" si="54"/>
        <v>4036.5689121047635</v>
      </c>
      <c r="L68" s="55">
        <f t="shared" si="55"/>
        <v>6054.8533681571453</v>
      </c>
      <c r="M68" s="54">
        <f t="shared" si="56"/>
        <v>8073.137824209527</v>
      </c>
      <c r="N68" s="54">
        <f t="shared" si="57"/>
        <v>6639.4093196308877</v>
      </c>
    </row>
    <row r="70" spans="1:14" ht="13.8" x14ac:dyDescent="0.25">
      <c r="B70" s="1" t="s">
        <v>4</v>
      </c>
      <c r="C70" s="1" t="s">
        <v>5</v>
      </c>
      <c r="D70" s="1" t="s">
        <v>149</v>
      </c>
      <c r="E70" s="1" t="s">
        <v>150</v>
      </c>
      <c r="F70" s="1" t="s">
        <v>151</v>
      </c>
    </row>
    <row r="71" spans="1:14" ht="14.4" x14ac:dyDescent="0.3">
      <c r="B71" s="2" t="s">
        <v>26</v>
      </c>
      <c r="C71" s="57">
        <f ca="1">IFERROR(__xludf.DUMMYFUNCTION("googlefinance(""nse:""&amp;B71,""price"")"),4556.2)</f>
        <v>4556.2</v>
      </c>
      <c r="D71" s="58">
        <v>5.0000000000000001E-3</v>
      </c>
      <c r="E71" s="59">
        <f ca="1">IFERROR(MAX(0.25, MIN(1,1.25 - 0.5*(C71/N66))),"")</f>
        <v>0.4316338716960374</v>
      </c>
      <c r="F71" s="60">
        <f ca="1">D71*E71</f>
        <v>2.1581693584801871E-3</v>
      </c>
    </row>
  </sheetData>
  <mergeCells count="3">
    <mergeCell ref="R46:R48"/>
    <mergeCell ref="H64:J64"/>
    <mergeCell ref="K64:M64"/>
  </mergeCells>
  <conditionalFormatting sqref="C11:C36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8:E44 G38:J44 K38:K43 L38:M44 N38:N43 F39:F44 O40:P43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6:F47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8:F48">
    <cfRule type="colorScale" priority="22">
      <colorScale>
        <cfvo type="min"/>
        <cfvo type="max"/>
        <color rgb="FFFFFFFF"/>
        <color rgb="FF57BB8A"/>
      </colorScale>
    </cfRule>
  </conditionalFormatting>
  <conditionalFormatting sqref="D11:D36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1:E36 H11:H36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1:E36">
    <cfRule type="colorScale" priority="2">
      <colorScale>
        <cfvo type="min"/>
        <cfvo type="max"/>
        <color rgb="FFE67C73"/>
        <color rgb="FFFFFFFF"/>
      </colorScale>
    </cfRule>
  </conditionalFormatting>
  <conditionalFormatting sqref="E50:E58 J50:J58 O50:O58 V53 X62:X63 L63 V63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1:F36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1:G36 K11:K36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8:G43 K38:K43 F39:F44 N39:N40 J44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38:L44 M38:N43 O38:P44 F39:F43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1:N36">
    <cfRule type="colorScale" priority="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11:I36 L11:L36">
    <cfRule type="colorScale" priority="6">
      <colorScale>
        <cfvo type="min"/>
        <cfvo type="max"/>
        <color rgb="FFFFFFFF"/>
        <color rgb="FF57BB8A"/>
      </colorScale>
    </cfRule>
  </conditionalFormatting>
  <conditionalFormatting sqref="I38:I44 J38:J43 K38:M44 N38:P43 F39:F43">
    <cfRule type="colorScale" priority="11">
      <colorScale>
        <cfvo type="min"/>
        <cfvo type="max"/>
        <color rgb="FF57BB8A"/>
        <color rgb="FFFFFFFF"/>
      </colorScale>
    </cfRule>
  </conditionalFormatting>
  <conditionalFormatting sqref="I46:L46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1:M36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50:J58 O50:O58 E51 V53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11:O36">
    <cfRule type="colorScale" priority="23">
      <colorScale>
        <cfvo type="min"/>
        <cfvo type="max"/>
        <color rgb="FFFFFFFF"/>
        <color rgb="FF57BB8A"/>
      </colorScale>
    </cfRule>
  </conditionalFormatting>
  <conditionalFormatting sqref="O46:Q46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48:Q48">
    <cfRule type="colorScale" priority="20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P11:P36">
    <cfRule type="colorScale" priority="24">
      <colorScale>
        <cfvo type="min"/>
        <cfvo type="max"/>
        <color rgb="FFFFFFFF"/>
        <color rgb="FF57BB8A"/>
      </colorScale>
    </cfRule>
  </conditionalFormatting>
  <conditionalFormatting sqref="T50:T57 K58 R63 R72:R73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Z50:Z60 E54:E58 J54:J58 O57 L63 V63 X63 L75:L76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A50:AA60 F58 M63 M75:M76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SUPREMEIND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2025-08-20T08:10:59Z</dcterms:created>
  <dcterms:modified xsi:type="dcterms:W3CDTF">2025-08-20T08:11:17Z</dcterms:modified>
</cp:coreProperties>
</file>