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E29A5E04-B28C-46CA-B1E4-A485F52324B0}" xr6:coauthVersionLast="47" xr6:coauthVersionMax="47" xr10:uidLastSave="{00000000-0000-0000-0000-000000000000}"/>
  <bookViews>
    <workbookView xWindow="-108" yWindow="-108" windowWidth="23256" windowHeight="12456" xr2:uid="{3DA94B13-88EF-4D7B-8338-1EA29D2C4941}"/>
  </bookViews>
  <sheets>
    <sheet name="WAAREE LT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F50" i="1"/>
  <c r="I49" i="1"/>
  <c r="F49" i="1"/>
  <c r="I48" i="1"/>
  <c r="F48" i="1"/>
  <c r="F40" i="1" s="1"/>
  <c r="I47" i="1"/>
  <c r="F47" i="1"/>
  <c r="I46" i="1"/>
  <c r="F46" i="1"/>
  <c r="M45" i="1"/>
  <c r="L45" i="1"/>
  <c r="L41" i="1" s="1"/>
  <c r="I45" i="1"/>
  <c r="O45" i="1" s="1"/>
  <c r="O41" i="1" s="1"/>
  <c r="F45" i="1"/>
  <c r="F41" i="1" s="1"/>
  <c r="D45" i="1"/>
  <c r="M44" i="1"/>
  <c r="L44" i="1"/>
  <c r="I44" i="1"/>
  <c r="O44" i="1" s="1"/>
  <c r="H44" i="1"/>
  <c r="F44" i="1"/>
  <c r="E44" i="1"/>
  <c r="D44" i="1"/>
  <c r="C44" i="1"/>
  <c r="M41" i="1"/>
  <c r="I41" i="1"/>
  <c r="H41" i="1"/>
  <c r="G41" i="1"/>
  <c r="E41" i="1"/>
  <c r="D41" i="1"/>
  <c r="C41" i="1"/>
  <c r="I40" i="1"/>
  <c r="H40" i="1"/>
  <c r="G40" i="1"/>
  <c r="E40" i="1"/>
  <c r="D40" i="1"/>
  <c r="C40" i="1"/>
  <c r="O37" i="1"/>
  <c r="M35" i="1"/>
  <c r="X33" i="1"/>
  <c r="Z33" i="1" s="1"/>
  <c r="W33" i="1"/>
  <c r="Y31" i="1" s="1"/>
  <c r="Z31" i="1"/>
  <c r="M31" i="1"/>
  <c r="L31" i="1"/>
  <c r="N31" i="1" s="1"/>
  <c r="H31" i="1"/>
  <c r="G31" i="1"/>
  <c r="I31" i="1" s="1"/>
  <c r="C31" i="1"/>
  <c r="B31" i="1"/>
  <c r="D31" i="1" s="1"/>
  <c r="Z30" i="1"/>
  <c r="Y30" i="1"/>
  <c r="M30" i="1"/>
  <c r="L30" i="1"/>
  <c r="N30" i="1" s="1"/>
  <c r="H30" i="1"/>
  <c r="G30" i="1"/>
  <c r="I30" i="1" s="1"/>
  <c r="C30" i="1"/>
  <c r="D30" i="1" s="1"/>
  <c r="B30" i="1"/>
  <c r="Z29" i="1"/>
  <c r="Y29" i="1"/>
  <c r="N29" i="1"/>
  <c r="I29" i="1"/>
  <c r="D29" i="1"/>
  <c r="Z28" i="1"/>
  <c r="Y28" i="1"/>
  <c r="S28" i="1"/>
  <c r="R28" i="1"/>
  <c r="Q28" i="1"/>
  <c r="S25" i="1" s="1"/>
  <c r="N28" i="1"/>
  <c r="I28" i="1"/>
  <c r="D28" i="1"/>
  <c r="Z27" i="1"/>
  <c r="N27" i="1"/>
  <c r="M27" i="1"/>
  <c r="L27" i="1"/>
  <c r="H27" i="1"/>
  <c r="G27" i="1"/>
  <c r="I27" i="1" s="1"/>
  <c r="C27" i="1"/>
  <c r="B27" i="1"/>
  <c r="D27" i="1" s="1"/>
  <c r="Z26" i="1"/>
  <c r="Y26" i="1"/>
  <c r="T26" i="1"/>
  <c r="S26" i="1"/>
  <c r="N26" i="1"/>
  <c r="I26" i="1"/>
  <c r="D26" i="1"/>
  <c r="Z25" i="1"/>
  <c r="Y25" i="1"/>
  <c r="T25" i="1"/>
  <c r="N25" i="1"/>
  <c r="I25" i="1"/>
  <c r="D25" i="1"/>
  <c r="Z24" i="1"/>
  <c r="Y24" i="1"/>
  <c r="T24" i="1"/>
  <c r="S24" i="1"/>
  <c r="N24" i="1"/>
  <c r="I24" i="1"/>
  <c r="D24" i="1"/>
  <c r="B9" i="1" s="1"/>
  <c r="L17" i="1"/>
  <c r="J17" i="1"/>
  <c r="K17" i="1" s="1"/>
  <c r="F17" i="1"/>
  <c r="E17" i="1"/>
  <c r="I17" i="1" s="1"/>
  <c r="D17" i="1"/>
  <c r="D21" i="1" s="1"/>
  <c r="C17" i="1"/>
  <c r="C16" i="1" s="1"/>
  <c r="F16" i="1"/>
  <c r="L16" i="1" s="1"/>
  <c r="C12" i="1"/>
  <c r="S9" i="1"/>
  <c r="R9" i="1"/>
  <c r="Q9" i="1"/>
  <c r="N9" i="1"/>
  <c r="M9" i="1"/>
  <c r="H9" i="1"/>
  <c r="G9" i="1"/>
  <c r="F9" i="1"/>
  <c r="E9" i="1"/>
  <c r="D9" i="1"/>
  <c r="C9" i="1"/>
  <c r="U5" i="1"/>
  <c r="T5" i="1"/>
  <c r="R5" i="1"/>
  <c r="Q5" i="1"/>
  <c r="P5" i="1"/>
  <c r="O5" i="1"/>
  <c r="N5" i="1"/>
  <c r="M5" i="1"/>
  <c r="L5" i="1"/>
  <c r="K5" i="1"/>
  <c r="I5" i="1"/>
  <c r="H5" i="1"/>
  <c r="C5" i="1"/>
  <c r="V4" i="1"/>
  <c r="V5" i="1" s="1"/>
  <c r="J4" i="1"/>
  <c r="J5" i="1" s="1"/>
  <c r="G4" i="1"/>
  <c r="F4" i="1"/>
  <c r="E4" i="1"/>
  <c r="V3" i="1"/>
  <c r="J3" i="1"/>
  <c r="G3" i="1"/>
  <c r="L9" i="1" s="1"/>
  <c r="F3" i="1"/>
  <c r="J9" i="1" s="1"/>
  <c r="E3" i="1"/>
  <c r="E5" i="1" s="1"/>
  <c r="D3" i="1"/>
  <c r="D4" i="1" s="1"/>
  <c r="C3" i="1"/>
  <c r="P37" i="1" s="1"/>
  <c r="D16" i="1" l="1"/>
  <c r="C15" i="1"/>
  <c r="G5" i="1"/>
  <c r="K9" i="1"/>
  <c r="Y27" i="1"/>
  <c r="T28" i="1"/>
  <c r="Y33" i="1"/>
  <c r="N45" i="1"/>
  <c r="N41" i="1" s="1"/>
  <c r="D5" i="1"/>
  <c r="J16" i="1"/>
  <c r="K16" i="1" s="1"/>
  <c r="G17" i="1"/>
  <c r="H17" i="1" s="1"/>
  <c r="M17" i="1" s="1"/>
  <c r="E12" i="1" s="1"/>
  <c r="F12" i="1" s="1"/>
  <c r="N44" i="1"/>
  <c r="I9" i="1"/>
  <c r="F15" i="1"/>
  <c r="Q35" i="1"/>
  <c r="Q37" i="1" s="1"/>
  <c r="R35" i="1" s="1"/>
  <c r="P9" i="1" s="1"/>
  <c r="F5" i="1"/>
  <c r="L15" i="1" l="1"/>
  <c r="J15" i="1"/>
  <c r="K15" i="1" s="1"/>
  <c r="D15" i="1"/>
  <c r="E16" i="1"/>
  <c r="E15" i="1" l="1"/>
  <c r="I16" i="1"/>
  <c r="G16" i="1"/>
  <c r="H16" i="1" s="1"/>
  <c r="M16" i="1" s="1"/>
  <c r="G15" i="1" l="1"/>
  <c r="H15" i="1" s="1"/>
  <c r="M15" i="1" s="1"/>
  <c r="I15" i="1"/>
</calcChain>
</file>

<file path=xl/sharedStrings.xml><?xml version="1.0" encoding="utf-8"?>
<sst xmlns="http://schemas.openxmlformats.org/spreadsheetml/2006/main" count="207" uniqueCount="136">
  <si>
    <t>INCOME</t>
  </si>
  <si>
    <t>BALANCESHEET</t>
  </si>
  <si>
    <t>CASHFLOW</t>
  </si>
  <si>
    <t>DASHBOARD</t>
  </si>
  <si>
    <t>Company</t>
  </si>
  <si>
    <t>Price</t>
  </si>
  <si>
    <t>Marketcap</t>
  </si>
  <si>
    <t>Sales</t>
  </si>
  <si>
    <t>Profit</t>
  </si>
  <si>
    <t>TRAIL_EPS</t>
  </si>
  <si>
    <t>FV</t>
  </si>
  <si>
    <t>Equity</t>
  </si>
  <si>
    <t>Reserve</t>
  </si>
  <si>
    <t>DEBT</t>
  </si>
  <si>
    <t>LEASE</t>
  </si>
  <si>
    <t>CUR.ASSETS</t>
  </si>
  <si>
    <t>CUR.LIABILITIES</t>
  </si>
  <si>
    <t>ASSETS</t>
  </si>
  <si>
    <t>LIABILITIES</t>
  </si>
  <si>
    <t>TRADE REC</t>
  </si>
  <si>
    <t>PPE</t>
  </si>
  <si>
    <t>CFO</t>
  </si>
  <si>
    <t>CFI</t>
  </si>
  <si>
    <t>CFF</t>
  </si>
  <si>
    <t>NETCASHFLOW</t>
  </si>
  <si>
    <t>WAAREEENER</t>
  </si>
  <si>
    <t>LAST YEAR_25</t>
  </si>
  <si>
    <t>Trail_Growth</t>
  </si>
  <si>
    <t>GROWTH</t>
  </si>
  <si>
    <t>LIQUIDITY</t>
  </si>
  <si>
    <t>SOLVENCY</t>
  </si>
  <si>
    <t>PROFITABILITY</t>
  </si>
  <si>
    <t>VALUATIONS</t>
  </si>
  <si>
    <t>KPI'S</t>
  </si>
  <si>
    <t>SALES GROWTH</t>
  </si>
  <si>
    <t>P-MARGIN</t>
  </si>
  <si>
    <t>CUR.RATIO</t>
  </si>
  <si>
    <t>TRADE REC DAY</t>
  </si>
  <si>
    <t>DEBT2EQUITY</t>
  </si>
  <si>
    <t>DEBTRATIO</t>
  </si>
  <si>
    <t>ICR</t>
  </si>
  <si>
    <t>ROE</t>
  </si>
  <si>
    <t>ROPE</t>
  </si>
  <si>
    <t>ROA</t>
  </si>
  <si>
    <t>Trail_PE</t>
  </si>
  <si>
    <t>YIELD</t>
  </si>
  <si>
    <t>BOOKVALUE</t>
  </si>
  <si>
    <t>PBV</t>
  </si>
  <si>
    <t>PEG</t>
  </si>
  <si>
    <t>OCFR</t>
  </si>
  <si>
    <t>CFD</t>
  </si>
  <si>
    <t>FCF (INC R)</t>
  </si>
  <si>
    <t>Weightage %</t>
  </si>
  <si>
    <t>STR. WEIGHTAGE</t>
  </si>
  <si>
    <t>FACTOR</t>
  </si>
  <si>
    <t>TECH. WEIGHT</t>
  </si>
  <si>
    <t>Expecrtation</t>
  </si>
  <si>
    <t>Year</t>
  </si>
  <si>
    <t>EPS</t>
  </si>
  <si>
    <t>BookValue</t>
  </si>
  <si>
    <t>Low Price Range</t>
  </si>
  <si>
    <t>FairPrice@EPS</t>
  </si>
  <si>
    <t>HIgh Price Range</t>
  </si>
  <si>
    <t>FairPrice@PBV</t>
  </si>
  <si>
    <t>Blended Fairvalue</t>
  </si>
  <si>
    <t>fy_2035</t>
  </si>
  <si>
    <t>fy_2030</t>
  </si>
  <si>
    <t>fy_2026</t>
  </si>
  <si>
    <t>Estimation</t>
  </si>
  <si>
    <t>MARGIN</t>
  </si>
  <si>
    <t>Long Term</t>
  </si>
  <si>
    <t>FY_2026</t>
  </si>
  <si>
    <t>RESULT</t>
  </si>
  <si>
    <t>Q1_fy26</t>
  </si>
  <si>
    <t>Q1_fy25</t>
  </si>
  <si>
    <t>Growth</t>
  </si>
  <si>
    <t>Q4_FY_25</t>
  </si>
  <si>
    <t>Q4_FY_24</t>
  </si>
  <si>
    <t>FY25</t>
  </si>
  <si>
    <t>FY24</t>
  </si>
  <si>
    <t>SEGMENT</t>
  </si>
  <si>
    <t>Q1_FY26</t>
  </si>
  <si>
    <t>Share</t>
  </si>
  <si>
    <t>Major Cost</t>
  </si>
  <si>
    <t>Solar Photovoltaic Modules</t>
  </si>
  <si>
    <t>Cost of Material</t>
  </si>
  <si>
    <t>Finance cost</t>
  </si>
  <si>
    <t>Power Generation</t>
  </si>
  <si>
    <t>Pur Stock Trade</t>
  </si>
  <si>
    <t>Expenses</t>
  </si>
  <si>
    <t>EPC</t>
  </si>
  <si>
    <t>Inventory Change</t>
  </si>
  <si>
    <t>EBITDA%</t>
  </si>
  <si>
    <t>Finance</t>
  </si>
  <si>
    <t>Total</t>
  </si>
  <si>
    <t>Other Mfg Exp.</t>
  </si>
  <si>
    <t>D&amp;A</t>
  </si>
  <si>
    <t>Margin</t>
  </si>
  <si>
    <t>Sales Admin</t>
  </si>
  <si>
    <t>I.C.R</t>
  </si>
  <si>
    <t>Employee Exp.</t>
  </si>
  <si>
    <t>QUARTERLY</t>
  </si>
  <si>
    <t>Current Trend</t>
  </si>
  <si>
    <t>H1_FY_25</t>
  </si>
  <si>
    <t>9M_FY_25</t>
  </si>
  <si>
    <t>FY_25</t>
  </si>
  <si>
    <t>EST_2026</t>
  </si>
  <si>
    <t>Q2_FY25</t>
  </si>
  <si>
    <t>Q3_FY25</t>
  </si>
  <si>
    <t>Q4_FY25</t>
  </si>
  <si>
    <t>TRAIL-EPS</t>
  </si>
  <si>
    <t>EPS_25</t>
  </si>
  <si>
    <t>T_EPS_25</t>
  </si>
  <si>
    <t>F_EPS_25</t>
  </si>
  <si>
    <t>F_PEG</t>
  </si>
  <si>
    <t>PE_24</t>
  </si>
  <si>
    <t>T_PE</t>
  </si>
  <si>
    <t>F_PE_25</t>
  </si>
  <si>
    <t>Low Price</t>
  </si>
  <si>
    <t>HIgh Price</t>
  </si>
  <si>
    <t>Low PE</t>
  </si>
  <si>
    <t>HIgh PE</t>
  </si>
  <si>
    <t>Low PBV</t>
  </si>
  <si>
    <t>HIgh PBV</t>
  </si>
  <si>
    <t>5 Years</t>
  </si>
  <si>
    <t>CYear</t>
  </si>
  <si>
    <t>Actuual Data</t>
  </si>
  <si>
    <t>Trail_fy26</t>
  </si>
  <si>
    <t>IPO</t>
  </si>
  <si>
    <t>FY_2025</t>
  </si>
  <si>
    <t>FY_2024</t>
  </si>
  <si>
    <t>FY_2023</t>
  </si>
  <si>
    <t>FY_2022</t>
  </si>
  <si>
    <t>FY_2021</t>
  </si>
  <si>
    <t>FY_2020</t>
  </si>
  <si>
    <t>WWW.PROFITFROMIT.IN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</si>
</sst>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17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FFFFFF"/>
      <name val="Arial"/>
    </font>
    <font>
      <sz val="11"/>
      <color theme="1"/>
      <name val="Calibri"/>
    </font>
    <font>
      <sz val="10"/>
      <color theme="1"/>
      <name val="Arial"/>
      <scheme val="minor"/>
    </font>
    <font>
      <sz val="11"/>
      <color rgb="FFFFFFFF"/>
      <name val="Arial"/>
    </font>
    <font>
      <sz val="11"/>
      <color theme="1"/>
      <name val="Arial"/>
    </font>
    <font>
      <i/>
      <sz val="11"/>
      <color theme="1"/>
      <name val="Arial"/>
    </font>
    <font>
      <i/>
      <sz val="11"/>
      <color theme="1"/>
      <name val="Calibri"/>
    </font>
    <font>
      <b/>
      <i/>
      <u/>
      <sz val="10"/>
      <color theme="1"/>
      <name val="Arial"/>
      <scheme val="minor"/>
    </font>
    <font>
      <b/>
      <i/>
      <u/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b/>
      <u/>
      <sz val="10"/>
      <color theme="1"/>
      <name val="Arial"/>
    </font>
    <font>
      <sz val="27"/>
      <color theme="1"/>
      <name val="Arial"/>
    </font>
    <font>
      <u/>
      <sz val="10"/>
      <color rgb="FFFFFFFF"/>
      <name val="Arial"/>
    </font>
    <font>
      <sz val="10"/>
      <name val="Arial"/>
    </font>
  </fonts>
  <fills count="65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rgb="FFB7B7B7"/>
        <bgColor rgb="FFB7B7B7"/>
      </patternFill>
    </fill>
    <fill>
      <patternFill patternType="solid">
        <fgColor rgb="FF84CEAA"/>
        <bgColor rgb="FF84CEAA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EFEFE"/>
        <bgColor rgb="FFFEFEFE"/>
      </patternFill>
    </fill>
    <fill>
      <patternFill patternType="solid">
        <fgColor rgb="FF57BB8A"/>
        <bgColor rgb="FF57BB8A"/>
      </patternFill>
    </fill>
    <fill>
      <patternFill patternType="solid">
        <fgColor rgb="FFF5FBF8"/>
        <bgColor rgb="FFF5FBF8"/>
      </patternFill>
    </fill>
    <fill>
      <patternFill patternType="solid">
        <fgColor rgb="FFE67E75"/>
        <bgColor rgb="FFE67E75"/>
      </patternFill>
    </fill>
    <fill>
      <patternFill patternType="solid">
        <fgColor rgb="FFE67C73"/>
        <bgColor rgb="FFE67C73"/>
      </patternFill>
    </fill>
    <fill>
      <patternFill patternType="solid">
        <fgColor rgb="FF77C8A1"/>
        <bgColor rgb="FF77C8A1"/>
      </patternFill>
    </fill>
    <fill>
      <patternFill patternType="solid">
        <fgColor rgb="FFFEFFFF"/>
        <bgColor rgb="FFFEFFFF"/>
      </patternFill>
    </fill>
    <fill>
      <patternFill patternType="solid">
        <fgColor rgb="FFA6DBC1"/>
        <bgColor rgb="FFA6DBC1"/>
      </patternFill>
    </fill>
    <fill>
      <patternFill patternType="solid">
        <fgColor rgb="FFF4FBF8"/>
        <bgColor rgb="FFF4FBF8"/>
      </patternFill>
    </fill>
    <fill>
      <patternFill patternType="solid">
        <fgColor rgb="FFDFF2E9"/>
        <bgColor rgb="FFDFF2E9"/>
      </patternFill>
    </fill>
    <fill>
      <patternFill patternType="solid">
        <fgColor rgb="FFEDA39D"/>
        <bgColor rgb="FFEDA39D"/>
      </patternFill>
    </fill>
    <fill>
      <patternFill patternType="solid">
        <fgColor rgb="FFFEFDFD"/>
        <bgColor rgb="FFFEFDFD"/>
      </patternFill>
    </fill>
    <fill>
      <patternFill patternType="solid">
        <fgColor rgb="FFFAE5E3"/>
        <bgColor rgb="FFFAE5E3"/>
      </patternFill>
    </fill>
    <fill>
      <patternFill patternType="solid">
        <fgColor rgb="FFC9E9D9"/>
        <bgColor rgb="FFC9E9D9"/>
      </patternFill>
    </fill>
    <fill>
      <patternFill patternType="solid">
        <fgColor rgb="FFFAE8E6"/>
        <bgColor rgb="FFFAE8E6"/>
      </patternFill>
    </fill>
    <fill>
      <patternFill patternType="solid">
        <fgColor rgb="FFC8E9D9"/>
        <bgColor rgb="FFC8E9D9"/>
      </patternFill>
    </fill>
    <fill>
      <patternFill patternType="solid">
        <fgColor rgb="FFFDF8F7"/>
        <bgColor rgb="FFFDF8F7"/>
      </patternFill>
    </fill>
    <fill>
      <patternFill patternType="solid">
        <fgColor rgb="FFFFFFFF"/>
        <bgColor rgb="FFFFFFFF"/>
      </patternFill>
    </fill>
    <fill>
      <patternFill patternType="solid">
        <fgColor rgb="FFCAEADA"/>
        <bgColor rgb="FFCAEADA"/>
      </patternFill>
    </fill>
    <fill>
      <patternFill patternType="solid">
        <fgColor rgb="FFF4C6C3"/>
        <bgColor rgb="FFF4C6C3"/>
      </patternFill>
    </fill>
    <fill>
      <patternFill patternType="solid">
        <fgColor rgb="FFFFD666"/>
        <bgColor rgb="FFFFD666"/>
      </patternFill>
    </fill>
    <fill>
      <patternFill patternType="solid">
        <fgColor rgb="FFFBEBEA"/>
        <bgColor rgb="FFFBEBEA"/>
      </patternFill>
    </fill>
    <fill>
      <patternFill patternType="solid">
        <fgColor rgb="FFF5CFCC"/>
        <bgColor rgb="FFF5CFCC"/>
      </patternFill>
    </fill>
    <fill>
      <patternFill patternType="solid">
        <fgColor rgb="FFE6F5EE"/>
        <bgColor rgb="FFE6F5EE"/>
      </patternFill>
    </fill>
    <fill>
      <patternFill patternType="solid">
        <fgColor rgb="FFF1D369"/>
        <bgColor rgb="FFF1D369"/>
      </patternFill>
    </fill>
    <fill>
      <patternFill patternType="solid">
        <fgColor rgb="FFE98471"/>
        <bgColor rgb="FFE98471"/>
      </patternFill>
    </fill>
    <fill>
      <patternFill patternType="solid">
        <fgColor rgb="FFF6D1CD"/>
        <bgColor rgb="FFF6D1CD"/>
      </patternFill>
    </fill>
    <fill>
      <patternFill patternType="solid">
        <fgColor rgb="FFFAE7E5"/>
        <bgColor rgb="FFFAE7E5"/>
      </patternFill>
    </fill>
    <fill>
      <patternFill patternType="solid">
        <fgColor rgb="FFFBECEA"/>
        <bgColor rgb="FFFBECEA"/>
      </patternFill>
    </fill>
    <fill>
      <patternFill patternType="solid">
        <fgColor rgb="FFFBEDEC"/>
        <bgColor rgb="FFFBEDEC"/>
      </patternFill>
    </fill>
    <fill>
      <patternFill patternType="solid">
        <fgColor rgb="FFF7BA6A"/>
        <bgColor rgb="FFF7BA6A"/>
      </patternFill>
    </fill>
    <fill>
      <patternFill patternType="solid">
        <fgColor rgb="FFB9E3CE"/>
        <bgColor rgb="FFB9E3CE"/>
      </patternFill>
    </fill>
    <fill>
      <patternFill patternType="solid">
        <fgColor rgb="FF5CBD8E"/>
        <bgColor rgb="FF5CBD8E"/>
      </patternFill>
    </fill>
    <fill>
      <patternFill patternType="solid">
        <fgColor rgb="FFF4CCCC"/>
        <bgColor rgb="FFF4CCCC"/>
      </patternFill>
    </fill>
    <fill>
      <patternFill patternType="solid">
        <fgColor rgb="FF9FD8BC"/>
        <bgColor rgb="FF9FD8BC"/>
      </patternFill>
    </fill>
    <fill>
      <patternFill patternType="solid">
        <fgColor rgb="FF5FBF90"/>
        <bgColor rgb="FF5FBF90"/>
      </patternFill>
    </fill>
    <fill>
      <patternFill patternType="solid">
        <fgColor rgb="FF59BC8B"/>
        <bgColor rgb="FF59BC8B"/>
      </patternFill>
    </fill>
    <fill>
      <patternFill patternType="solid">
        <fgColor rgb="FF9BD7BA"/>
        <bgColor rgb="FF9BD7BA"/>
      </patternFill>
    </fill>
    <fill>
      <patternFill patternType="solid">
        <fgColor rgb="FF74C79E"/>
        <bgColor rgb="FF74C79E"/>
      </patternFill>
    </fill>
    <fill>
      <patternFill patternType="solid">
        <fgColor rgb="FF72C69D"/>
        <bgColor rgb="FF72C69D"/>
      </patternFill>
    </fill>
    <fill>
      <patternFill patternType="solid">
        <fgColor rgb="FF68C296"/>
        <bgColor rgb="FF68C296"/>
      </patternFill>
    </fill>
    <fill>
      <patternFill patternType="solid">
        <fgColor rgb="FF71C69C"/>
        <bgColor rgb="FF71C69C"/>
      </patternFill>
    </fill>
    <fill>
      <patternFill patternType="solid">
        <fgColor rgb="FF96D5B6"/>
        <bgColor rgb="FF96D5B6"/>
      </patternFill>
    </fill>
    <fill>
      <patternFill patternType="solid">
        <fgColor rgb="FF6DC499"/>
        <bgColor rgb="FF6DC499"/>
      </patternFill>
    </fill>
    <fill>
      <patternFill patternType="solid">
        <fgColor rgb="FFA5DBC1"/>
        <bgColor rgb="FFA5DBC1"/>
      </patternFill>
    </fill>
    <fill>
      <patternFill patternType="solid">
        <fgColor rgb="FF93D3B4"/>
        <bgColor rgb="FF93D3B4"/>
      </patternFill>
    </fill>
    <fill>
      <patternFill patternType="solid">
        <fgColor rgb="FF94D4B5"/>
        <bgColor rgb="FF94D4B5"/>
      </patternFill>
    </fill>
    <fill>
      <patternFill patternType="solid">
        <fgColor rgb="FF7ECBA6"/>
        <bgColor rgb="FF7ECBA6"/>
      </patternFill>
    </fill>
    <fill>
      <patternFill patternType="solid">
        <fgColor rgb="FFA8DCC3"/>
        <bgColor rgb="FFA8DCC3"/>
      </patternFill>
    </fill>
    <fill>
      <patternFill patternType="solid">
        <fgColor rgb="FF73C79E"/>
        <bgColor rgb="FF73C79E"/>
      </patternFill>
    </fill>
    <fill>
      <patternFill patternType="solid">
        <fgColor rgb="FF90D3B2"/>
        <bgColor rgb="FF90D3B2"/>
      </patternFill>
    </fill>
    <fill>
      <patternFill patternType="solid">
        <fgColor rgb="FFD4EEE2"/>
        <bgColor rgb="FFD4EEE2"/>
      </patternFill>
    </fill>
    <fill>
      <patternFill patternType="solid">
        <fgColor rgb="FF7ECBA5"/>
        <bgColor rgb="FF7ECBA5"/>
      </patternFill>
    </fill>
    <fill>
      <patternFill patternType="solid">
        <fgColor rgb="FFD6EFE2"/>
        <bgColor rgb="FFD6EFE2"/>
      </patternFill>
    </fill>
    <fill>
      <patternFill patternType="solid">
        <fgColor rgb="FFF6FCF9"/>
        <bgColor rgb="FFF6FCF9"/>
      </patternFill>
    </fill>
    <fill>
      <patternFill patternType="solid">
        <fgColor rgb="FFA3DABF"/>
        <bgColor rgb="FFA3DABF"/>
      </patternFill>
    </fill>
    <fill>
      <patternFill patternType="solid">
        <fgColor rgb="FFBDE5D1"/>
        <bgColor rgb="FFBDE5D1"/>
      </patternFill>
    </fill>
    <fill>
      <patternFill patternType="solid">
        <fgColor rgb="FF86CEAB"/>
        <bgColor rgb="FF86CEAB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1" xfId="0" applyFont="1" applyBorder="1"/>
    <xf numFmtId="3" fontId="4" fillId="0" borderId="1" xfId="0" applyNumberFormat="1" applyFont="1" applyBorder="1"/>
    <xf numFmtId="0" fontId="4" fillId="0" borderId="1" xfId="0" applyFont="1" applyBorder="1"/>
    <xf numFmtId="1" fontId="4" fillId="0" borderId="1" xfId="0" applyNumberFormat="1" applyFont="1" applyBorder="1"/>
    <xf numFmtId="164" fontId="4" fillId="0" borderId="1" xfId="0" applyNumberFormat="1" applyFont="1" applyBorder="1"/>
    <xf numFmtId="0" fontId="1" fillId="0" borderId="1" xfId="0" applyFont="1" applyBorder="1"/>
    <xf numFmtId="9" fontId="3" fillId="0" borderId="1" xfId="0" applyNumberFormat="1" applyFont="1" applyBorder="1" applyAlignment="1">
      <alignment horizontal="right"/>
    </xf>
    <xf numFmtId="9" fontId="3" fillId="0" borderId="1" xfId="0" applyNumberFormat="1" applyFont="1" applyBorder="1" applyAlignment="1">
      <alignment horizontal="center"/>
    </xf>
    <xf numFmtId="9" fontId="1" fillId="0" borderId="1" xfId="0" applyNumberFormat="1" applyFont="1" applyBorder="1"/>
    <xf numFmtId="0" fontId="2" fillId="2" borderId="0" xfId="0" applyFont="1" applyFill="1"/>
    <xf numFmtId="0" fontId="5" fillId="2" borderId="2" xfId="0" applyFont="1" applyFill="1" applyBorder="1"/>
    <xf numFmtId="0" fontId="1" fillId="0" borderId="2" xfId="0" applyFont="1" applyBorder="1"/>
    <xf numFmtId="0" fontId="5" fillId="2" borderId="3" xfId="0" applyFont="1" applyFill="1" applyBorder="1"/>
    <xf numFmtId="0" fontId="5" fillId="2" borderId="4" xfId="0" applyFont="1" applyFill="1" applyBorder="1"/>
    <xf numFmtId="9" fontId="1" fillId="0" borderId="0" xfId="0" applyNumberFormat="1" applyFont="1"/>
    <xf numFmtId="9" fontId="6" fillId="3" borderId="1" xfId="0" applyNumberFormat="1" applyFont="1" applyFill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1" fontId="6" fillId="3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2" fontId="1" fillId="3" borderId="1" xfId="0" applyNumberFormat="1" applyFont="1" applyFill="1" applyBorder="1"/>
    <xf numFmtId="0" fontId="7" fillId="3" borderId="4" xfId="0" applyFont="1" applyFill="1" applyBorder="1" applyAlignment="1">
      <alignment horizontal="right"/>
    </xf>
    <xf numFmtId="3" fontId="7" fillId="3" borderId="4" xfId="0" applyNumberFormat="1" applyFont="1" applyFill="1" applyBorder="1" applyAlignment="1">
      <alignment horizontal="right"/>
    </xf>
    <xf numFmtId="0" fontId="5" fillId="2" borderId="1" xfId="0" applyFont="1" applyFill="1" applyBorder="1"/>
    <xf numFmtId="1" fontId="3" fillId="0" borderId="1" xfId="0" applyNumberFormat="1" applyFont="1" applyBorder="1" applyAlignment="1">
      <alignment horizontal="right"/>
    </xf>
    <xf numFmtId="10" fontId="6" fillId="4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0" fontId="6" fillId="0" borderId="1" xfId="0" applyNumberFormat="1" applyFont="1" applyBorder="1" applyAlignment="1">
      <alignment horizontal="right"/>
    </xf>
    <xf numFmtId="4" fontId="5" fillId="2" borderId="1" xfId="0" applyNumberFormat="1" applyFont="1" applyFill="1" applyBorder="1"/>
    <xf numFmtId="3" fontId="1" fillId="5" borderId="1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1" fontId="6" fillId="6" borderId="1" xfId="0" applyNumberFormat="1" applyFont="1" applyFill="1" applyBorder="1" applyAlignment="1">
      <alignment horizontal="right"/>
    </xf>
    <xf numFmtId="3" fontId="6" fillId="6" borderId="1" xfId="0" applyNumberFormat="1" applyFont="1" applyFill="1" applyBorder="1" applyAlignment="1">
      <alignment horizontal="right"/>
    </xf>
    <xf numFmtId="166" fontId="1" fillId="5" borderId="1" xfId="0" applyNumberFormat="1" applyFont="1" applyFill="1" applyBorder="1" applyAlignment="1">
      <alignment horizontal="right"/>
    </xf>
    <xf numFmtId="9" fontId="1" fillId="7" borderId="1" xfId="0" applyNumberFormat="1" applyFont="1" applyFill="1" applyBorder="1" applyAlignment="1">
      <alignment horizontal="right"/>
    </xf>
    <xf numFmtId="9" fontId="1" fillId="8" borderId="1" xfId="0" applyNumberFormat="1" applyFont="1" applyFill="1" applyBorder="1" applyAlignment="1">
      <alignment horizontal="right"/>
    </xf>
    <xf numFmtId="9" fontId="1" fillId="9" borderId="1" xfId="0" applyNumberFormat="1" applyFont="1" applyFill="1" applyBorder="1" applyAlignment="1">
      <alignment horizontal="right"/>
    </xf>
    <xf numFmtId="165" fontId="1" fillId="8" borderId="1" xfId="0" applyNumberFormat="1" applyFont="1" applyFill="1" applyBorder="1" applyAlignment="1">
      <alignment horizontal="right"/>
    </xf>
    <xf numFmtId="9" fontId="1" fillId="10" borderId="1" xfId="0" applyNumberFormat="1" applyFont="1" applyFill="1" applyBorder="1" applyAlignment="1">
      <alignment horizontal="right"/>
    </xf>
    <xf numFmtId="9" fontId="1" fillId="11" borderId="1" xfId="0" applyNumberFormat="1" applyFont="1" applyFill="1" applyBorder="1" applyAlignment="1">
      <alignment horizontal="right"/>
    </xf>
    <xf numFmtId="10" fontId="1" fillId="11" borderId="1" xfId="0" applyNumberFormat="1" applyFont="1" applyFill="1" applyBorder="1" applyAlignment="1">
      <alignment horizontal="right"/>
    </xf>
    <xf numFmtId="0" fontId="2" fillId="2" borderId="3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9" fontId="6" fillId="12" borderId="1" xfId="0" applyNumberFormat="1" applyFont="1" applyFill="1" applyBorder="1" applyAlignment="1">
      <alignment horizontal="right"/>
    </xf>
    <xf numFmtId="9" fontId="6" fillId="13" borderId="1" xfId="0" applyNumberFormat="1" applyFont="1" applyFill="1" applyBorder="1" applyAlignment="1">
      <alignment horizontal="right"/>
    </xf>
    <xf numFmtId="9" fontId="4" fillId="0" borderId="0" xfId="0" applyNumberFormat="1" applyFont="1"/>
    <xf numFmtId="0" fontId="1" fillId="0" borderId="1" xfId="0" applyFont="1" applyBorder="1" applyAlignment="1">
      <alignment horizontal="right"/>
    </xf>
    <xf numFmtId="9" fontId="1" fillId="14" borderId="1" xfId="0" applyNumberFormat="1" applyFont="1" applyFill="1" applyBorder="1" applyAlignment="1">
      <alignment horizontal="right"/>
    </xf>
    <xf numFmtId="9" fontId="1" fillId="15" borderId="1" xfId="0" applyNumberFormat="1" applyFont="1" applyFill="1" applyBorder="1" applyAlignment="1">
      <alignment horizontal="right"/>
    </xf>
    <xf numFmtId="9" fontId="6" fillId="16" borderId="1" xfId="0" applyNumberFormat="1" applyFont="1" applyFill="1" applyBorder="1" applyAlignment="1">
      <alignment horizontal="right"/>
    </xf>
    <xf numFmtId="9" fontId="6" fillId="17" borderId="1" xfId="0" applyNumberFormat="1" applyFont="1" applyFill="1" applyBorder="1" applyAlignment="1">
      <alignment horizontal="right"/>
    </xf>
    <xf numFmtId="9" fontId="6" fillId="8" borderId="1" xfId="0" applyNumberFormat="1" applyFont="1" applyFill="1" applyBorder="1" applyAlignment="1">
      <alignment horizontal="right"/>
    </xf>
    <xf numFmtId="9" fontId="6" fillId="18" borderId="1" xfId="0" applyNumberFormat="1" applyFont="1" applyFill="1" applyBorder="1" applyAlignment="1">
      <alignment horizontal="right"/>
    </xf>
    <xf numFmtId="0" fontId="4" fillId="0" borderId="0" xfId="0" applyFont="1"/>
    <xf numFmtId="165" fontId="4" fillId="0" borderId="0" xfId="0" applyNumberFormat="1" applyFont="1"/>
    <xf numFmtId="165" fontId="6" fillId="8" borderId="1" xfId="0" applyNumberFormat="1" applyFont="1" applyFill="1" applyBorder="1" applyAlignment="1">
      <alignment horizontal="right"/>
    </xf>
    <xf numFmtId="9" fontId="6" fillId="19" borderId="1" xfId="0" applyNumberFormat="1" applyFont="1" applyFill="1" applyBorder="1" applyAlignment="1">
      <alignment horizontal="right"/>
    </xf>
    <xf numFmtId="9" fontId="6" fillId="20" borderId="1" xfId="0" applyNumberFormat="1" applyFont="1" applyFill="1" applyBorder="1" applyAlignment="1">
      <alignment horizontal="right"/>
    </xf>
    <xf numFmtId="0" fontId="9" fillId="0" borderId="0" xfId="0" applyFont="1"/>
    <xf numFmtId="9" fontId="10" fillId="14" borderId="1" xfId="0" applyNumberFormat="1" applyFont="1" applyFill="1" applyBorder="1" applyAlignment="1">
      <alignment horizontal="right"/>
    </xf>
    <xf numFmtId="9" fontId="10" fillId="15" borderId="1" xfId="0" applyNumberFormat="1" applyFont="1" applyFill="1" applyBorder="1" applyAlignment="1">
      <alignment horizontal="right"/>
    </xf>
    <xf numFmtId="9" fontId="6" fillId="21" borderId="1" xfId="0" applyNumberFormat="1" applyFont="1" applyFill="1" applyBorder="1" applyAlignment="1">
      <alignment horizontal="right"/>
    </xf>
    <xf numFmtId="9" fontId="6" fillId="22" borderId="1" xfId="0" applyNumberFormat="1" applyFont="1" applyFill="1" applyBorder="1" applyAlignment="1">
      <alignment horizontal="right"/>
    </xf>
    <xf numFmtId="165" fontId="11" fillId="0" borderId="1" xfId="0" applyNumberFormat="1" applyFont="1" applyBorder="1" applyAlignment="1">
      <alignment horizontal="right"/>
    </xf>
    <xf numFmtId="165" fontId="12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166" fontId="12" fillId="0" borderId="1" xfId="0" applyNumberFormat="1" applyFont="1" applyBorder="1" applyAlignment="1">
      <alignment horizontal="right"/>
    </xf>
    <xf numFmtId="166" fontId="4" fillId="0" borderId="0" xfId="0" applyNumberFormat="1" applyFont="1"/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9" fontId="1" fillId="23" borderId="1" xfId="0" applyNumberFormat="1" applyFont="1" applyFill="1" applyBorder="1" applyAlignment="1">
      <alignment horizontal="right"/>
    </xf>
    <xf numFmtId="9" fontId="1" fillId="0" borderId="1" xfId="0" applyNumberFormat="1" applyFont="1" applyBorder="1" applyAlignment="1">
      <alignment horizontal="right"/>
    </xf>
    <xf numFmtId="4" fontId="3" fillId="11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24" borderId="1" xfId="0" applyFont="1" applyFill="1" applyBorder="1" applyAlignment="1">
      <alignment horizontal="center"/>
    </xf>
    <xf numFmtId="4" fontId="3" fillId="8" borderId="1" xfId="0" applyNumberFormat="1" applyFont="1" applyFill="1" applyBorder="1" applyAlignment="1">
      <alignment horizontal="center"/>
    </xf>
    <xf numFmtId="166" fontId="3" fillId="11" borderId="1" xfId="0" applyNumberFormat="1" applyFont="1" applyFill="1" applyBorder="1" applyAlignment="1">
      <alignment horizontal="center"/>
    </xf>
    <xf numFmtId="164" fontId="14" fillId="3" borderId="0" xfId="0" applyNumberFormat="1" applyFont="1" applyFill="1" applyAlignment="1">
      <alignment horizontal="center"/>
    </xf>
    <xf numFmtId="9" fontId="1" fillId="25" borderId="1" xfId="0" applyNumberFormat="1" applyFont="1" applyFill="1" applyBorder="1" applyAlignment="1">
      <alignment horizontal="right"/>
    </xf>
    <xf numFmtId="0" fontId="0" fillId="0" borderId="0" xfId="0"/>
    <xf numFmtId="165" fontId="1" fillId="26" borderId="1" xfId="0" applyNumberFormat="1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1" fontId="3" fillId="27" borderId="1" xfId="0" applyNumberFormat="1" applyFont="1" applyFill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3" fillId="11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/>
    <xf numFmtId="9" fontId="1" fillId="28" borderId="1" xfId="0" applyNumberFormat="1" applyFont="1" applyFill="1" applyBorder="1" applyAlignment="1">
      <alignment horizontal="right"/>
    </xf>
    <xf numFmtId="165" fontId="1" fillId="29" borderId="1" xfId="0" applyNumberFormat="1" applyFont="1" applyFill="1" applyBorder="1" applyAlignment="1">
      <alignment horizontal="right"/>
    </xf>
    <xf numFmtId="9" fontId="1" fillId="30" borderId="1" xfId="0" applyNumberFormat="1" applyFont="1" applyFill="1" applyBorder="1" applyAlignment="1">
      <alignment horizontal="right"/>
    </xf>
    <xf numFmtId="9" fontId="1" fillId="24" borderId="1" xfId="0" applyNumberFormat="1" applyFont="1" applyFill="1" applyBorder="1" applyAlignment="1">
      <alignment horizontal="right"/>
    </xf>
    <xf numFmtId="3" fontId="1" fillId="31" borderId="1" xfId="0" applyNumberFormat="1" applyFont="1" applyFill="1" applyBorder="1"/>
    <xf numFmtId="3" fontId="1" fillId="32" borderId="1" xfId="0" applyNumberFormat="1" applyFont="1" applyFill="1" applyBorder="1"/>
    <xf numFmtId="9" fontId="1" fillId="33" borderId="1" xfId="0" applyNumberFormat="1" applyFont="1" applyFill="1" applyBorder="1" applyAlignment="1">
      <alignment horizontal="right"/>
    </xf>
    <xf numFmtId="9" fontId="1" fillId="34" borderId="1" xfId="0" applyNumberFormat="1" applyFont="1" applyFill="1" applyBorder="1" applyAlignment="1">
      <alignment horizontal="right"/>
    </xf>
    <xf numFmtId="0" fontId="1" fillId="35" borderId="1" xfId="0" applyFont="1" applyFill="1" applyBorder="1" applyAlignment="1">
      <alignment horizontal="right"/>
    </xf>
    <xf numFmtId="0" fontId="1" fillId="36" borderId="1" xfId="0" applyFont="1" applyFill="1" applyBorder="1" applyAlignment="1">
      <alignment horizontal="right"/>
    </xf>
    <xf numFmtId="1" fontId="1" fillId="37" borderId="1" xfId="0" applyNumberFormat="1" applyFont="1" applyFill="1" applyBorder="1" applyAlignment="1">
      <alignment horizontal="right"/>
    </xf>
    <xf numFmtId="1" fontId="1" fillId="11" borderId="1" xfId="0" applyNumberFormat="1" applyFont="1" applyFill="1" applyBorder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8" borderId="1" xfId="0" applyFont="1" applyFill="1" applyBorder="1" applyAlignment="1">
      <alignment horizontal="right"/>
    </xf>
    <xf numFmtId="1" fontId="1" fillId="8" borderId="1" xfId="0" applyNumberFormat="1" applyFont="1" applyFill="1" applyBorder="1" applyAlignment="1">
      <alignment horizontal="right"/>
    </xf>
    <xf numFmtId="165" fontId="1" fillId="38" borderId="1" xfId="0" applyNumberFormat="1" applyFont="1" applyFill="1" applyBorder="1" applyAlignment="1">
      <alignment horizontal="right"/>
    </xf>
    <xf numFmtId="1" fontId="1" fillId="39" borderId="1" xfId="0" applyNumberFormat="1" applyFont="1" applyFill="1" applyBorder="1"/>
    <xf numFmtId="0" fontId="1" fillId="40" borderId="1" xfId="0" applyFont="1" applyFill="1" applyBorder="1"/>
    <xf numFmtId="1" fontId="1" fillId="41" borderId="1" xfId="0" applyNumberFormat="1" applyFont="1" applyFill="1" applyBorder="1" applyAlignment="1">
      <alignment horizontal="right"/>
    </xf>
    <xf numFmtId="0" fontId="1" fillId="39" borderId="1" xfId="0" applyFont="1" applyFill="1" applyBorder="1"/>
    <xf numFmtId="0" fontId="1" fillId="42" borderId="1" xfId="0" applyFont="1" applyFill="1" applyBorder="1" applyAlignment="1">
      <alignment horizontal="right"/>
    </xf>
    <xf numFmtId="0" fontId="1" fillId="43" borderId="1" xfId="0" applyFont="1" applyFill="1" applyBorder="1" applyAlignment="1">
      <alignment horizontal="right"/>
    </xf>
    <xf numFmtId="1" fontId="1" fillId="43" borderId="1" xfId="0" applyNumberFormat="1" applyFont="1" applyFill="1" applyBorder="1" applyAlignment="1">
      <alignment horizontal="right"/>
    </xf>
    <xf numFmtId="0" fontId="1" fillId="40" borderId="1" xfId="0" applyFont="1" applyFill="1" applyBorder="1" applyAlignment="1">
      <alignment horizontal="right"/>
    </xf>
    <xf numFmtId="1" fontId="1" fillId="44" borderId="1" xfId="0" applyNumberFormat="1" applyFont="1" applyFill="1" applyBorder="1" applyAlignment="1">
      <alignment horizontal="right"/>
    </xf>
    <xf numFmtId="1" fontId="1" fillId="45" borderId="1" xfId="0" applyNumberFormat="1" applyFont="1" applyFill="1" applyBorder="1" applyAlignment="1">
      <alignment horizontal="right"/>
    </xf>
    <xf numFmtId="0" fontId="1" fillId="46" borderId="0" xfId="0" applyFont="1" applyFill="1" applyAlignment="1">
      <alignment horizontal="right"/>
    </xf>
    <xf numFmtId="0" fontId="1" fillId="47" borderId="0" xfId="0" applyFont="1" applyFill="1" applyAlignment="1">
      <alignment horizontal="right"/>
    </xf>
    <xf numFmtId="1" fontId="1" fillId="47" borderId="0" xfId="0" applyNumberFormat="1" applyFont="1" applyFill="1" applyAlignment="1">
      <alignment horizontal="right"/>
    </xf>
    <xf numFmtId="0" fontId="1" fillId="48" borderId="1" xfId="0" applyFont="1" applyFill="1" applyBorder="1" applyAlignment="1">
      <alignment horizontal="right"/>
    </xf>
    <xf numFmtId="1" fontId="1" fillId="49" borderId="1" xfId="0" applyNumberFormat="1" applyFont="1" applyFill="1" applyBorder="1" applyAlignment="1">
      <alignment horizontal="right"/>
    </xf>
    <xf numFmtId="1" fontId="1" fillId="50" borderId="1" xfId="0" applyNumberFormat="1" applyFont="1" applyFill="1" applyBorder="1" applyAlignment="1">
      <alignment horizontal="right"/>
    </xf>
    <xf numFmtId="0" fontId="3" fillId="51" borderId="1" xfId="0" applyFont="1" applyFill="1" applyBorder="1" applyAlignment="1">
      <alignment horizontal="right"/>
    </xf>
    <xf numFmtId="1" fontId="3" fillId="52" borderId="1" xfId="0" applyNumberFormat="1" applyFont="1" applyFill="1" applyBorder="1" applyAlignment="1">
      <alignment horizontal="right"/>
    </xf>
    <xf numFmtId="1" fontId="3" fillId="53" borderId="1" xfId="0" applyNumberFormat="1" applyFont="1" applyFill="1" applyBorder="1" applyAlignment="1">
      <alignment horizontal="right"/>
    </xf>
    <xf numFmtId="0" fontId="1" fillId="54" borderId="1" xfId="0" applyFont="1" applyFill="1" applyBorder="1" applyAlignment="1">
      <alignment horizontal="right"/>
    </xf>
    <xf numFmtId="1" fontId="1" fillId="55" borderId="1" xfId="0" applyNumberFormat="1" applyFont="1" applyFill="1" applyBorder="1"/>
    <xf numFmtId="1" fontId="1" fillId="56" borderId="1" xfId="0" applyNumberFormat="1" applyFont="1" applyFill="1" applyBorder="1"/>
    <xf numFmtId="0" fontId="1" fillId="57" borderId="1" xfId="0" applyFont="1" applyFill="1" applyBorder="1" applyAlignment="1">
      <alignment horizontal="right"/>
    </xf>
    <xf numFmtId="1" fontId="1" fillId="58" borderId="1" xfId="0" applyNumberFormat="1" applyFont="1" applyFill="1" applyBorder="1"/>
    <xf numFmtId="1" fontId="1" fillId="59" borderId="1" xfId="0" applyNumberFormat="1" applyFont="1" applyFill="1" applyBorder="1"/>
    <xf numFmtId="0" fontId="3" fillId="60" borderId="1" xfId="0" applyFont="1" applyFill="1" applyBorder="1" applyAlignment="1">
      <alignment horizontal="right"/>
    </xf>
    <xf numFmtId="1" fontId="3" fillId="61" borderId="1" xfId="0" applyNumberFormat="1" applyFont="1" applyFill="1" applyBorder="1" applyAlignment="1">
      <alignment horizontal="right"/>
    </xf>
    <xf numFmtId="0" fontId="1" fillId="62" borderId="1" xfId="0" applyFont="1" applyFill="1" applyBorder="1" applyAlignment="1">
      <alignment horizontal="right"/>
    </xf>
    <xf numFmtId="1" fontId="1" fillId="63" borderId="1" xfId="0" applyNumberFormat="1" applyFont="1" applyFill="1" applyBorder="1"/>
    <xf numFmtId="1" fontId="1" fillId="64" borderId="1" xfId="0" applyNumberFormat="1" applyFont="1" applyFill="1" applyBorder="1"/>
    <xf numFmtId="1" fontId="1" fillId="0" borderId="0" xfId="0" applyNumberFormat="1" applyFont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6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942975</xdr:colOff>
      <xdr:row>50</xdr:row>
      <xdr:rowOff>200025</xdr:rowOff>
    </xdr:from>
    <xdr:ext cx="8562975" cy="34575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152007D-EF21-4B57-879B-B47F8A9A74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3915" y="9435465"/>
          <a:ext cx="8562975" cy="3457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ofitfromit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89C5-A73E-4A58-8ECE-6DCDCB21E954}">
  <sheetPr>
    <outlinePr summaryBelow="0" summaryRight="0"/>
  </sheetPr>
  <dimension ref="A1:AB1009"/>
  <sheetViews>
    <sheetView tabSelected="1" workbookViewId="0"/>
  </sheetViews>
  <sheetFormatPr defaultColWidth="12.6640625" defaultRowHeight="15.75" customHeight="1" x14ac:dyDescent="0.25"/>
  <cols>
    <col min="1" max="1" width="12.33203125" customWidth="1"/>
  </cols>
  <sheetData>
    <row r="1" spans="1:28" ht="13.2" x14ac:dyDescent="0.25">
      <c r="A1" s="1"/>
      <c r="B1" s="1"/>
      <c r="C1" s="1"/>
      <c r="D1" s="1"/>
      <c r="E1" s="2" t="s">
        <v>0</v>
      </c>
      <c r="F1" s="1"/>
      <c r="G1" s="1"/>
      <c r="H1" s="1"/>
      <c r="I1" s="2" t="s">
        <v>1</v>
      </c>
      <c r="J1" s="1"/>
      <c r="K1" s="1"/>
      <c r="L1" s="1"/>
      <c r="M1" s="1"/>
      <c r="N1" s="1"/>
      <c r="O1" s="1"/>
      <c r="P1" s="1"/>
      <c r="Q1" s="1"/>
      <c r="R1" s="2" t="s">
        <v>2</v>
      </c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3.2" x14ac:dyDescent="0.25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  <c r="V2" s="2" t="s">
        <v>24</v>
      </c>
      <c r="W2" s="2" t="s">
        <v>20</v>
      </c>
      <c r="X2" s="1"/>
      <c r="Y2" s="1"/>
      <c r="Z2" s="1"/>
      <c r="AA2" s="1"/>
      <c r="AB2" s="1"/>
    </row>
    <row r="3" spans="1:28" ht="15.75" customHeight="1" x14ac:dyDescent="0.3">
      <c r="A3" s="1"/>
      <c r="B3" s="3" t="s">
        <v>25</v>
      </c>
      <c r="C3" s="4">
        <f ca="1">IFERROR(__xludf.DUMMYFUNCTION("GOOGLEFINANCE(""nse:""&amp;B3,""price"")"),3175)</f>
        <v>3175</v>
      </c>
      <c r="D3" s="4">
        <f ca="1">IFERROR(__xludf.DUMMYFUNCTION("GOOGLEFINANCE(""nse:""&amp;B3,""MARKETCAP"")/10000000"),91653.6985485)</f>
        <v>91653.698548500004</v>
      </c>
      <c r="E3" s="5">
        <f t="shared" ref="E3:G4" si="0">C44</f>
        <v>15461</v>
      </c>
      <c r="F3" s="5">
        <f t="shared" si="0"/>
        <v>2131</v>
      </c>
      <c r="G3" s="6">
        <f t="shared" si="0"/>
        <v>79.199999999999989</v>
      </c>
      <c r="H3" s="5">
        <v>10</v>
      </c>
      <c r="I3" s="7">
        <v>287</v>
      </c>
      <c r="J3" s="6">
        <f t="shared" ref="J3:J4" si="1">H44</f>
        <v>9217.94</v>
      </c>
      <c r="K3" s="5">
        <v>939</v>
      </c>
      <c r="L3" s="5">
        <v>259</v>
      </c>
      <c r="M3" s="5">
        <v>13156</v>
      </c>
      <c r="N3" s="5">
        <v>8786</v>
      </c>
      <c r="O3" s="5">
        <v>19747</v>
      </c>
      <c r="P3" s="5">
        <v>10151</v>
      </c>
      <c r="Q3" s="6">
        <v>1184</v>
      </c>
      <c r="R3" s="5">
        <v>-3274</v>
      </c>
      <c r="S3" s="5">
        <v>3158</v>
      </c>
      <c r="T3" s="5">
        <v>-6808</v>
      </c>
      <c r="U3" s="5">
        <v>4305</v>
      </c>
      <c r="V3" s="5">
        <f t="shared" ref="V3:V4" si="2">SUM(S3:U3)</f>
        <v>655</v>
      </c>
      <c r="W3" s="8"/>
      <c r="X3" s="1"/>
      <c r="Y3" s="1"/>
      <c r="Z3" s="1"/>
      <c r="AA3" s="1"/>
      <c r="AB3" s="1"/>
    </row>
    <row r="4" spans="1:28" ht="15.75" customHeight="1" x14ac:dyDescent="0.3">
      <c r="A4" s="1"/>
      <c r="B4" s="3" t="s">
        <v>26</v>
      </c>
      <c r="C4" s="5">
        <v>2405</v>
      </c>
      <c r="D4" s="6">
        <f ca="1">C4*D3/C3</f>
        <v>69425.87244382441</v>
      </c>
      <c r="E4" s="5">
        <f t="shared" si="0"/>
        <v>14444</v>
      </c>
      <c r="F4" s="5">
        <f t="shared" si="0"/>
        <v>1759</v>
      </c>
      <c r="G4" s="6">
        <f t="shared" si="0"/>
        <v>68.239999999999995</v>
      </c>
      <c r="H4" s="5">
        <v>10</v>
      </c>
      <c r="I4" s="7">
        <v>287</v>
      </c>
      <c r="J4" s="5">
        <f t="shared" si="1"/>
        <v>9192</v>
      </c>
      <c r="K4" s="5">
        <v>318</v>
      </c>
      <c r="L4" s="5">
        <v>236</v>
      </c>
      <c r="M4" s="5">
        <v>8013</v>
      </c>
      <c r="N4" s="5">
        <v>5423</v>
      </c>
      <c r="O4" s="5">
        <v>11313</v>
      </c>
      <c r="P4" s="5">
        <v>7165</v>
      </c>
      <c r="Q4" s="5">
        <v>971</v>
      </c>
      <c r="R4" s="5">
        <v>-1342</v>
      </c>
      <c r="S4" s="5">
        <v>2305</v>
      </c>
      <c r="T4" s="5">
        <v>-3340</v>
      </c>
      <c r="U4" s="5">
        <v>909</v>
      </c>
      <c r="V4" s="5">
        <f t="shared" si="2"/>
        <v>-126</v>
      </c>
      <c r="W4" s="8"/>
      <c r="X4" s="1"/>
      <c r="Y4" s="1"/>
      <c r="Z4" s="1"/>
      <c r="AA4" s="1"/>
      <c r="AB4" s="1"/>
    </row>
    <row r="5" spans="1:28" ht="15.75" customHeight="1" x14ac:dyDescent="0.3">
      <c r="A5" s="1"/>
      <c r="B5" s="3" t="s">
        <v>27</v>
      </c>
      <c r="C5" s="9">
        <f t="shared" ref="C5:R5" ca="1" si="3">(C3/C4)-1</f>
        <v>0.32016632016632007</v>
      </c>
      <c r="D5" s="9">
        <f t="shared" ca="1" si="3"/>
        <v>0.3201663201663203</v>
      </c>
      <c r="E5" s="9">
        <f t="shared" si="3"/>
        <v>7.0409858764885147E-2</v>
      </c>
      <c r="F5" s="9">
        <f t="shared" si="3"/>
        <v>0.21148379761227964</v>
      </c>
      <c r="G5" s="9">
        <f t="shared" si="3"/>
        <v>0.16060961313012889</v>
      </c>
      <c r="H5" s="9">
        <f t="shared" si="3"/>
        <v>0</v>
      </c>
      <c r="I5" s="9">
        <f t="shared" si="3"/>
        <v>0</v>
      </c>
      <c r="J5" s="9">
        <f t="shared" si="3"/>
        <v>2.8220191470844647E-3</v>
      </c>
      <c r="K5" s="10">
        <f t="shared" si="3"/>
        <v>1.9528301886792452</v>
      </c>
      <c r="L5" s="9">
        <f t="shared" si="3"/>
        <v>9.745762711864403E-2</v>
      </c>
      <c r="M5" s="9">
        <f t="shared" si="3"/>
        <v>0.64183202296268571</v>
      </c>
      <c r="N5" s="9">
        <f t="shared" si="3"/>
        <v>0.62013645583625299</v>
      </c>
      <c r="O5" s="9">
        <f t="shared" si="3"/>
        <v>0.74551401043047827</v>
      </c>
      <c r="P5" s="9">
        <f t="shared" si="3"/>
        <v>0.41674808094905802</v>
      </c>
      <c r="Q5" s="9">
        <f t="shared" si="3"/>
        <v>0.21936148300720903</v>
      </c>
      <c r="R5" s="9">
        <f t="shared" si="3"/>
        <v>1.4396423248882266</v>
      </c>
      <c r="S5" s="9">
        <v>8.23</v>
      </c>
      <c r="T5" s="9">
        <f t="shared" ref="T5:V5" si="4">(T3/T4)-1</f>
        <v>1.0383233532934133</v>
      </c>
      <c r="U5" s="9">
        <f t="shared" si="4"/>
        <v>3.7359735973597363</v>
      </c>
      <c r="V5" s="9">
        <f t="shared" si="4"/>
        <v>-6.1984126984126986</v>
      </c>
      <c r="W5" s="11"/>
      <c r="X5" s="1"/>
      <c r="Y5" s="1"/>
      <c r="Z5" s="1"/>
      <c r="AA5" s="1"/>
      <c r="AB5" s="1"/>
    </row>
    <row r="6" spans="1:28" ht="13.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3.8" x14ac:dyDescent="0.25">
      <c r="A7" s="1"/>
      <c r="B7" s="12" t="s">
        <v>28</v>
      </c>
      <c r="C7" s="12" t="s">
        <v>29</v>
      </c>
      <c r="D7" s="1"/>
      <c r="E7" s="1"/>
      <c r="F7" s="12" t="s">
        <v>30</v>
      </c>
      <c r="G7" s="1"/>
      <c r="H7" s="1"/>
      <c r="I7" s="12" t="s">
        <v>31</v>
      </c>
      <c r="J7" s="1"/>
      <c r="K7" s="1"/>
      <c r="L7" s="12" t="s">
        <v>32</v>
      </c>
      <c r="M7" s="1"/>
      <c r="N7" s="1"/>
      <c r="O7" s="1"/>
      <c r="P7" s="1"/>
      <c r="Q7" s="13" t="s">
        <v>2</v>
      </c>
      <c r="R7" s="14"/>
      <c r="S7" s="14"/>
      <c r="T7" s="1"/>
      <c r="U7" s="1"/>
      <c r="V7" s="1"/>
      <c r="W7" s="1"/>
      <c r="X7" s="1"/>
      <c r="Y7" s="1"/>
      <c r="Z7" s="1"/>
      <c r="AA7" s="1"/>
      <c r="AB7" s="1"/>
    </row>
    <row r="8" spans="1:28" ht="13.8" x14ac:dyDescent="0.25">
      <c r="A8" s="12" t="s">
        <v>33</v>
      </c>
      <c r="B8" s="12" t="s">
        <v>34</v>
      </c>
      <c r="C8" s="12" t="s">
        <v>35</v>
      </c>
      <c r="D8" s="12" t="s">
        <v>36</v>
      </c>
      <c r="E8" s="12" t="s">
        <v>37</v>
      </c>
      <c r="F8" s="12" t="s">
        <v>38</v>
      </c>
      <c r="G8" s="12" t="s">
        <v>39</v>
      </c>
      <c r="H8" s="12" t="s">
        <v>40</v>
      </c>
      <c r="I8" s="12" t="s">
        <v>41</v>
      </c>
      <c r="J8" s="12" t="s">
        <v>42</v>
      </c>
      <c r="K8" s="12" t="s">
        <v>43</v>
      </c>
      <c r="L8" s="12" t="s">
        <v>44</v>
      </c>
      <c r="M8" s="12" t="s">
        <v>45</v>
      </c>
      <c r="N8" s="12" t="s">
        <v>46</v>
      </c>
      <c r="O8" s="12" t="s">
        <v>47</v>
      </c>
      <c r="P8" s="12" t="s">
        <v>48</v>
      </c>
      <c r="Q8" s="15" t="s">
        <v>49</v>
      </c>
      <c r="R8" s="16" t="s">
        <v>50</v>
      </c>
      <c r="S8" s="16" t="s">
        <v>51</v>
      </c>
      <c r="T8" s="17"/>
      <c r="U8" s="17"/>
      <c r="V8" s="1"/>
      <c r="W8" s="1"/>
      <c r="X8" s="1"/>
      <c r="Y8" s="1"/>
      <c r="Z8" s="1"/>
      <c r="AA8" s="1"/>
      <c r="AB8" s="1"/>
    </row>
    <row r="9" spans="1:28" ht="15.75" customHeight="1" x14ac:dyDescent="0.3">
      <c r="A9" s="1"/>
      <c r="B9" s="18">
        <f>D24</f>
        <v>0.2983279554121443</v>
      </c>
      <c r="C9" s="19">
        <f>B30</f>
        <v>0.1746497966561229</v>
      </c>
      <c r="D9" s="20">
        <f>M3/N3</f>
        <v>1.4973821989528795</v>
      </c>
      <c r="E9" s="21">
        <f>(Q3/E3)*365</f>
        <v>27.951620205678807</v>
      </c>
      <c r="F9" s="18">
        <f>K3/(I3+J3)</f>
        <v>9.8790734081435544E-2</v>
      </c>
      <c r="G9" s="18">
        <f>P3/O3</f>
        <v>0.51405276750898876</v>
      </c>
      <c r="H9" s="22">
        <f>B31</f>
        <v>18.953488372093023</v>
      </c>
      <c r="I9" s="18">
        <f>F3/(J3+I3)</f>
        <v>0.22419920588662315</v>
      </c>
      <c r="J9" s="20">
        <f>F3/I3</f>
        <v>7.4250871080139369</v>
      </c>
      <c r="K9" s="18">
        <f>F3/O3</f>
        <v>0.10791512634830608</v>
      </c>
      <c r="L9" s="20">
        <f ca="1">C3/G3</f>
        <v>40.088383838383841</v>
      </c>
      <c r="M9" s="19">
        <f ca="1">G3/C3</f>
        <v>2.4944881889763775E-2</v>
      </c>
      <c r="N9" s="22">
        <f>(I3+J3)/(I3/H3)</f>
        <v>331.18257839721258</v>
      </c>
      <c r="O9" s="23">
        <v>12.6</v>
      </c>
      <c r="P9" s="24">
        <f ca="1">R35</f>
        <v>0.71601975465802992</v>
      </c>
      <c r="Q9" s="25">
        <f>S3-N3</f>
        <v>-5628</v>
      </c>
      <c r="R9" s="25">
        <f>S3-K3</f>
        <v>2219</v>
      </c>
      <c r="S9" s="26">
        <f>S3-R3</f>
        <v>6432</v>
      </c>
      <c r="T9" s="1"/>
      <c r="U9" s="1"/>
      <c r="V9" s="1"/>
      <c r="W9" s="1"/>
      <c r="X9" s="1"/>
      <c r="Y9" s="1"/>
      <c r="Z9" s="1"/>
      <c r="AA9" s="1"/>
      <c r="AB9" s="1"/>
    </row>
    <row r="10" spans="1:28" ht="13.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3.8" x14ac:dyDescent="0.25">
      <c r="A11" s="27" t="s">
        <v>52</v>
      </c>
      <c r="B11" s="27" t="s">
        <v>4</v>
      </c>
      <c r="C11" s="27" t="s">
        <v>5</v>
      </c>
      <c r="D11" s="27" t="s">
        <v>53</v>
      </c>
      <c r="E11" s="27" t="s">
        <v>54</v>
      </c>
      <c r="F11" s="27" t="s">
        <v>55</v>
      </c>
    </row>
    <row r="12" spans="1:28" ht="15.75" customHeight="1" x14ac:dyDescent="0.3">
      <c r="B12" s="3" t="s">
        <v>25</v>
      </c>
      <c r="C12" s="28">
        <f ca="1">IFERROR(__xludf.DUMMYFUNCTION("GOOGLEFINANCE(""NSE:""&amp;B12,""price"")"),3175)</f>
        <v>3175</v>
      </c>
      <c r="D12" s="29">
        <v>0.02</v>
      </c>
      <c r="E12" s="30">
        <f ca="1">IFERROR(MAX(0.25, MIN(1,1.25 - 0.5*(C12/M17))),"")</f>
        <v>0.85637079500256974</v>
      </c>
      <c r="F12" s="31">
        <f ca="1">D12*E12</f>
        <v>1.7127415900051395E-2</v>
      </c>
    </row>
    <row r="14" spans="1:28" ht="13.8" x14ac:dyDescent="0.25">
      <c r="A14" s="12" t="s">
        <v>56</v>
      </c>
      <c r="B14" s="2" t="s">
        <v>57</v>
      </c>
      <c r="C14" s="2" t="s">
        <v>7</v>
      </c>
      <c r="D14" s="2" t="s">
        <v>8</v>
      </c>
      <c r="E14" s="2" t="s">
        <v>58</v>
      </c>
      <c r="F14" s="27" t="s">
        <v>59</v>
      </c>
      <c r="G14" s="32" t="s">
        <v>60</v>
      </c>
      <c r="H14" s="27" t="s">
        <v>61</v>
      </c>
      <c r="I14" s="27" t="s">
        <v>62</v>
      </c>
      <c r="J14" s="27" t="s">
        <v>60</v>
      </c>
      <c r="K14" s="27" t="s">
        <v>63</v>
      </c>
      <c r="L14" s="27" t="s">
        <v>62</v>
      </c>
      <c r="M14" s="27" t="s">
        <v>64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 customHeight="1" x14ac:dyDescent="0.3">
      <c r="A15" s="1"/>
      <c r="B15" s="8" t="s">
        <v>65</v>
      </c>
      <c r="C15" s="33">
        <f t="shared" ref="C15:F15" si="5">FV(15%,5,0,-C16,0)</f>
        <v>87950.521455444308</v>
      </c>
      <c r="D15" s="33">
        <f t="shared" si="5"/>
        <v>8795.0521455444305</v>
      </c>
      <c r="E15" s="33">
        <f t="shared" si="5"/>
        <v>341.07909393637499</v>
      </c>
      <c r="F15" s="34">
        <f t="shared" si="5"/>
        <v>1891.1927044830434</v>
      </c>
      <c r="G15" s="35">
        <f t="shared" ref="G15:G17" si="6">E15*20</f>
        <v>6821.5818787275002</v>
      </c>
      <c r="H15" s="35">
        <f t="shared" ref="H15:H17" si="7">AVERAGE(G15,I15)</f>
        <v>13643.163757455</v>
      </c>
      <c r="I15" s="35">
        <f t="shared" ref="I15:I17" si="8">E15*60</f>
        <v>20464.745636182499</v>
      </c>
      <c r="J15" s="36">
        <f t="shared" ref="J15:J17" si="9">F15*4</f>
        <v>7564.7708179321735</v>
      </c>
      <c r="K15" s="35">
        <f t="shared" ref="K15:K17" si="10">AVERAGE(J15,L15)</f>
        <v>15129.541635864347</v>
      </c>
      <c r="L15" s="36">
        <f t="shared" ref="L15:L17" si="11">F15*12</f>
        <v>22694.31245379652</v>
      </c>
      <c r="M15" s="35">
        <f t="shared" ref="M15:M17" si="12">H15*60%+K15*40%</f>
        <v>14237.71490881874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3.8" x14ac:dyDescent="0.25">
      <c r="A16" s="1"/>
      <c r="B16" s="8" t="s">
        <v>66</v>
      </c>
      <c r="C16" s="33">
        <f>FV(C20,4,0,-C17,0)</f>
        <v>43726.953125</v>
      </c>
      <c r="D16" s="33">
        <f t="shared" ref="D16:D17" si="13">C16*F20</f>
        <v>4372.6953125</v>
      </c>
      <c r="E16" s="33">
        <f>(D16*E17)/D17</f>
        <v>169.57659040178567</v>
      </c>
      <c r="F16" s="36">
        <f>FV(25%,4,0,-F17,0)</f>
        <v>940.25701463482301</v>
      </c>
      <c r="G16" s="35">
        <f t="shared" si="6"/>
        <v>3391.5318080357133</v>
      </c>
      <c r="H16" s="35">
        <f t="shared" si="7"/>
        <v>6783.0636160714266</v>
      </c>
      <c r="I16" s="35">
        <f t="shared" si="8"/>
        <v>10174.595424107139</v>
      </c>
      <c r="J16" s="36">
        <f t="shared" si="9"/>
        <v>3761.028058539292</v>
      </c>
      <c r="K16" s="35">
        <f t="shared" si="10"/>
        <v>7522.0561170785841</v>
      </c>
      <c r="L16" s="36">
        <f t="shared" si="11"/>
        <v>11283.084175617876</v>
      </c>
      <c r="M16" s="35">
        <f t="shared" si="12"/>
        <v>7078.6606164742898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3.8" x14ac:dyDescent="0.25">
      <c r="A17" s="1"/>
      <c r="B17" s="8" t="s">
        <v>67</v>
      </c>
      <c r="C17" s="33">
        <f>FV(C21,1,0,-C45,0)</f>
        <v>17910.560000000001</v>
      </c>
      <c r="D17" s="33">
        <f t="shared" si="13"/>
        <v>3008.9740800000004</v>
      </c>
      <c r="E17" s="37">
        <f>FV(E21,1,0,-E45,0)</f>
        <v>116.69039999999998</v>
      </c>
      <c r="F17" s="36">
        <f>(100%*I45)+M45</f>
        <v>385.12927319442349</v>
      </c>
      <c r="G17" s="35">
        <f t="shared" si="6"/>
        <v>2333.8079999999995</v>
      </c>
      <c r="H17" s="35">
        <f t="shared" si="7"/>
        <v>4667.6159999999991</v>
      </c>
      <c r="I17" s="35">
        <f t="shared" si="8"/>
        <v>7001.4239999999991</v>
      </c>
      <c r="J17" s="36">
        <f t="shared" si="9"/>
        <v>1540.517092777694</v>
      </c>
      <c r="K17" s="35">
        <f t="shared" si="10"/>
        <v>3081.0341855553879</v>
      </c>
      <c r="L17" s="36">
        <f t="shared" si="11"/>
        <v>4621.5512783330814</v>
      </c>
      <c r="M17" s="35">
        <f t="shared" si="12"/>
        <v>4032.9832742221547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3.2" x14ac:dyDescent="0.25">
      <c r="A18" s="1"/>
      <c r="B18" s="1"/>
      <c r="C18" s="1"/>
      <c r="D18" s="1"/>
      <c r="E18" s="1"/>
      <c r="F18" s="1"/>
      <c r="G18" s="1"/>
      <c r="H18" s="1"/>
      <c r="O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3.2" x14ac:dyDescent="0.25">
      <c r="A19" s="12" t="s">
        <v>68</v>
      </c>
      <c r="B19" s="2" t="s">
        <v>57</v>
      </c>
      <c r="C19" s="2" t="s">
        <v>7</v>
      </c>
      <c r="D19" s="2" t="s">
        <v>8</v>
      </c>
      <c r="E19" s="2" t="s">
        <v>58</v>
      </c>
      <c r="F19" s="2" t="s">
        <v>69</v>
      </c>
      <c r="H19" s="1"/>
      <c r="O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3.2" x14ac:dyDescent="0.25">
      <c r="A20" s="1"/>
      <c r="B20" s="8" t="s">
        <v>70</v>
      </c>
      <c r="C20" s="38">
        <v>0.25</v>
      </c>
      <c r="D20" s="39">
        <v>0.25</v>
      </c>
      <c r="E20" s="40">
        <v>0.25</v>
      </c>
      <c r="F20" s="41">
        <v>0.1</v>
      </c>
      <c r="H20" s="1"/>
      <c r="O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3.2" x14ac:dyDescent="0.25">
      <c r="A21" s="1"/>
      <c r="B21" s="8" t="s">
        <v>71</v>
      </c>
      <c r="C21" s="40">
        <v>0.24</v>
      </c>
      <c r="D21" s="42">
        <f>(D17/D45)-1</f>
        <v>0.71061630471859027</v>
      </c>
      <c r="E21" s="43">
        <v>0.71</v>
      </c>
      <c r="F21" s="44">
        <v>0.16800000000000001</v>
      </c>
      <c r="H21" s="1"/>
      <c r="O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3.2" x14ac:dyDescent="0.25">
      <c r="U22" s="1"/>
      <c r="V22" s="1"/>
      <c r="W22" s="1"/>
      <c r="X22" s="1"/>
      <c r="Y22" s="1"/>
      <c r="Z22" s="1"/>
      <c r="AA22" s="1"/>
      <c r="AB22" s="1"/>
    </row>
    <row r="23" spans="1:28" ht="13.2" x14ac:dyDescent="0.25">
      <c r="A23" s="2" t="s">
        <v>72</v>
      </c>
      <c r="B23" s="2" t="s">
        <v>73</v>
      </c>
      <c r="C23" s="2" t="s">
        <v>74</v>
      </c>
      <c r="D23" s="2" t="s">
        <v>75</v>
      </c>
      <c r="E23" s="1"/>
      <c r="F23" s="2" t="s">
        <v>72</v>
      </c>
      <c r="G23" s="2" t="s">
        <v>76</v>
      </c>
      <c r="H23" s="2" t="s">
        <v>77</v>
      </c>
      <c r="I23" s="2" t="s">
        <v>75</v>
      </c>
      <c r="J23" s="1"/>
      <c r="K23" s="2" t="s">
        <v>72</v>
      </c>
      <c r="L23" s="2" t="s">
        <v>78</v>
      </c>
      <c r="M23" s="2" t="s">
        <v>79</v>
      </c>
      <c r="N23" s="2" t="s">
        <v>75</v>
      </c>
      <c r="P23" s="45" t="s">
        <v>80</v>
      </c>
      <c r="Q23" s="45" t="s">
        <v>81</v>
      </c>
      <c r="R23" s="45" t="s">
        <v>81</v>
      </c>
      <c r="S23" s="45" t="s">
        <v>82</v>
      </c>
      <c r="T23" s="45" t="s">
        <v>75</v>
      </c>
      <c r="V23" s="45" t="s">
        <v>83</v>
      </c>
      <c r="W23" s="45" t="s">
        <v>81</v>
      </c>
      <c r="X23" s="45" t="s">
        <v>81</v>
      </c>
      <c r="Y23" s="45" t="s">
        <v>82</v>
      </c>
      <c r="Z23" s="45" t="s">
        <v>75</v>
      </c>
    </row>
    <row r="24" spans="1:28" ht="13.8" x14ac:dyDescent="0.25">
      <c r="A24" s="46" t="s">
        <v>7</v>
      </c>
      <c r="B24" s="47">
        <v>4426</v>
      </c>
      <c r="C24" s="47">
        <v>3409</v>
      </c>
      <c r="D24" s="48">
        <f t="shared" ref="D24:D26" si="14">(B24/C24)^(1/1)-1</f>
        <v>0.2983279554121443</v>
      </c>
      <c r="E24" s="1"/>
      <c r="F24" s="46" t="s">
        <v>7</v>
      </c>
      <c r="G24" s="47">
        <v>4004</v>
      </c>
      <c r="H24" s="47">
        <v>2936</v>
      </c>
      <c r="I24" s="48">
        <f t="shared" ref="I24:I26" si="15">(G24/H24)^(1/1)-1</f>
        <v>0.36376021798365121</v>
      </c>
      <c r="J24" s="1"/>
      <c r="K24" s="46" t="s">
        <v>7</v>
      </c>
      <c r="L24" s="47">
        <v>14444</v>
      </c>
      <c r="M24" s="47">
        <v>11398</v>
      </c>
      <c r="N24" s="49">
        <f t="shared" ref="N24:N26" si="16">(L24/M24)^(1/1)-1</f>
        <v>0.26723986664327071</v>
      </c>
      <c r="O24" s="50"/>
      <c r="P24" s="8" t="s">
        <v>84</v>
      </c>
      <c r="Q24" s="51">
        <v>3872</v>
      </c>
      <c r="R24" s="51">
        <v>3179</v>
      </c>
      <c r="S24" s="52">
        <f t="shared" ref="S24:S26" si="17">Q24/$Q$28</f>
        <v>0.86583184257602863</v>
      </c>
      <c r="T24" s="53">
        <f t="shared" ref="T24:T26" si="18">(Q24/R24)^(1/1)-1</f>
        <v>0.2179930795847751</v>
      </c>
      <c r="V24" s="8" t="s">
        <v>85</v>
      </c>
      <c r="W24" s="51">
        <v>2962</v>
      </c>
      <c r="X24" s="51">
        <v>1796</v>
      </c>
      <c r="Y24" s="52">
        <f t="shared" ref="Y24:Y31" si="19">W24/$W$33</f>
        <v>0.81084040514645495</v>
      </c>
      <c r="Z24" s="53">
        <f t="shared" ref="Z24:Z31" si="20">(W24/X24)^(1/1)-1</f>
        <v>0.6492204899777283</v>
      </c>
    </row>
    <row r="25" spans="1:28" ht="13.8" x14ac:dyDescent="0.25">
      <c r="A25" s="46" t="s">
        <v>86</v>
      </c>
      <c r="B25" s="47">
        <v>43</v>
      </c>
      <c r="C25" s="47">
        <v>34</v>
      </c>
      <c r="D25" s="54">
        <f t="shared" si="14"/>
        <v>0.26470588235294112</v>
      </c>
      <c r="E25" s="1"/>
      <c r="F25" s="46" t="s">
        <v>86</v>
      </c>
      <c r="G25" s="47">
        <v>57</v>
      </c>
      <c r="H25" s="47">
        <v>48</v>
      </c>
      <c r="I25" s="54">
        <f t="shared" si="15"/>
        <v>0.1875</v>
      </c>
      <c r="J25" s="1"/>
      <c r="K25" s="46" t="s">
        <v>86</v>
      </c>
      <c r="L25" s="47">
        <v>152</v>
      </c>
      <c r="M25" s="47">
        <v>140</v>
      </c>
      <c r="N25" s="55">
        <f t="shared" si="16"/>
        <v>8.5714285714285632E-2</v>
      </c>
      <c r="O25" s="50"/>
      <c r="P25" s="5" t="s">
        <v>87</v>
      </c>
      <c r="Q25" s="5">
        <v>11</v>
      </c>
      <c r="R25" s="5">
        <v>11</v>
      </c>
      <c r="S25" s="52">
        <f t="shared" si="17"/>
        <v>2.4597495527728087E-3</v>
      </c>
      <c r="T25" s="53">
        <f t="shared" si="18"/>
        <v>0</v>
      </c>
      <c r="V25" s="5" t="s">
        <v>88</v>
      </c>
      <c r="W25" s="5">
        <v>614</v>
      </c>
      <c r="X25" s="5">
        <v>207</v>
      </c>
      <c r="Y25" s="52">
        <f t="shared" si="19"/>
        <v>0.16808102929099369</v>
      </c>
      <c r="Z25" s="53">
        <f t="shared" si="20"/>
        <v>1.9661835748792269</v>
      </c>
    </row>
    <row r="26" spans="1:28" ht="13.8" x14ac:dyDescent="0.25">
      <c r="A26" s="8" t="s">
        <v>89</v>
      </c>
      <c r="B26" s="51">
        <v>3654</v>
      </c>
      <c r="C26" s="51">
        <v>2966</v>
      </c>
      <c r="D26" s="56">
        <f t="shared" si="14"/>
        <v>0.23196223870532706</v>
      </c>
      <c r="E26" s="1"/>
      <c r="F26" s="8" t="s">
        <v>89</v>
      </c>
      <c r="G26" s="51">
        <v>3291</v>
      </c>
      <c r="H26" s="51">
        <v>2641</v>
      </c>
      <c r="I26" s="56">
        <f t="shared" si="15"/>
        <v>0.24611889435819756</v>
      </c>
      <c r="J26" s="1"/>
      <c r="K26" s="8" t="s">
        <v>89</v>
      </c>
      <c r="L26" s="51">
        <v>12277</v>
      </c>
      <c r="M26" s="51">
        <v>10239</v>
      </c>
      <c r="N26" s="57">
        <f t="shared" si="16"/>
        <v>0.19904287528078912</v>
      </c>
      <c r="O26" s="50"/>
      <c r="P26" s="8" t="s">
        <v>90</v>
      </c>
      <c r="Q26" s="51">
        <v>589</v>
      </c>
      <c r="R26" s="51">
        <v>226</v>
      </c>
      <c r="S26" s="52">
        <f t="shared" si="17"/>
        <v>0.13170840787119856</v>
      </c>
      <c r="T26" s="53">
        <f t="shared" si="18"/>
        <v>1.6061946902654869</v>
      </c>
      <c r="V26" s="8" t="s">
        <v>91</v>
      </c>
      <c r="W26" s="51">
        <v>-760</v>
      </c>
      <c r="X26" s="51">
        <v>510</v>
      </c>
      <c r="Y26" s="52">
        <f t="shared" si="19"/>
        <v>-0.20804817957842869</v>
      </c>
      <c r="Z26" s="53">
        <f t="shared" si="20"/>
        <v>-2.4901960784313726</v>
      </c>
    </row>
    <row r="27" spans="1:28" ht="13.8" x14ac:dyDescent="0.25">
      <c r="A27" s="58" t="s">
        <v>92</v>
      </c>
      <c r="B27" s="59">
        <f t="shared" ref="B27:C27" si="21">(B24-B26+B25)/B24</f>
        <v>0.184139177586986</v>
      </c>
      <c r="C27" s="59">
        <f t="shared" si="21"/>
        <v>0.13992373129950131</v>
      </c>
      <c r="D27" s="60">
        <f>B27-C27</f>
        <v>4.4215446287484694E-2</v>
      </c>
      <c r="E27" s="1"/>
      <c r="F27" s="58" t="s">
        <v>92</v>
      </c>
      <c r="G27" s="59">
        <f t="shared" ref="G27:H27" si="22">(G24-G26+G25)/G24</f>
        <v>0.19230769230769232</v>
      </c>
      <c r="H27" s="59">
        <f t="shared" si="22"/>
        <v>0.11682561307901908</v>
      </c>
      <c r="I27" s="60">
        <f>G27-H27</f>
        <v>7.5482079228673241E-2</v>
      </c>
      <c r="K27" s="58" t="s">
        <v>92</v>
      </c>
      <c r="L27" s="59">
        <f t="shared" ref="L27:M27" si="23">(L24-L26+L25)/L24</f>
        <v>0.16055109387981167</v>
      </c>
      <c r="M27" s="59">
        <f t="shared" si="23"/>
        <v>0.11396736269520968</v>
      </c>
      <c r="N27" s="60">
        <f>L27-M27</f>
        <v>4.658373118460199E-2</v>
      </c>
      <c r="O27" s="59"/>
      <c r="V27" s="8" t="s">
        <v>93</v>
      </c>
      <c r="W27" s="51">
        <v>43</v>
      </c>
      <c r="X27" s="51">
        <v>34</v>
      </c>
      <c r="Y27" s="52">
        <f t="shared" si="19"/>
        <v>1.1771147002463728E-2</v>
      </c>
      <c r="Z27" s="53">
        <f t="shared" si="20"/>
        <v>0.26470588235294112</v>
      </c>
    </row>
    <row r="28" spans="1:28" ht="13.8" x14ac:dyDescent="0.25">
      <c r="A28" s="8" t="s">
        <v>8</v>
      </c>
      <c r="B28" s="51">
        <v>773</v>
      </c>
      <c r="C28" s="51">
        <v>401</v>
      </c>
      <c r="D28" s="61">
        <f t="shared" ref="D28:D29" si="24">(B28/C28)^(1/1)-1</f>
        <v>0.92768079800498748</v>
      </c>
      <c r="E28" s="1"/>
      <c r="F28" s="8" t="s">
        <v>8</v>
      </c>
      <c r="G28" s="51">
        <v>644</v>
      </c>
      <c r="H28" s="51">
        <v>475</v>
      </c>
      <c r="I28" s="61">
        <f t="shared" ref="I28:I29" si="25">(G28/H28)^(1/1)-1</f>
        <v>0.35578947368421043</v>
      </c>
      <c r="J28" s="1"/>
      <c r="K28" s="8" t="s">
        <v>8</v>
      </c>
      <c r="L28" s="51">
        <v>1928</v>
      </c>
      <c r="M28" s="51">
        <v>1274</v>
      </c>
      <c r="N28" s="62">
        <f t="shared" ref="N28:N29" si="26">(L28/M28)^(1/1)-1</f>
        <v>0.51334379905808469</v>
      </c>
      <c r="O28" s="50"/>
      <c r="P28" s="63" t="s">
        <v>94</v>
      </c>
      <c r="Q28" s="63">
        <f t="shared" ref="Q28:R28" si="27">SUM(Q24:Q26)</f>
        <v>4472</v>
      </c>
      <c r="R28" s="63">
        <f t="shared" si="27"/>
        <v>3416</v>
      </c>
      <c r="S28" s="64">
        <f>Q28/$Q$28</f>
        <v>1</v>
      </c>
      <c r="T28" s="65">
        <f>(Q28/R28)^(1/1)-1</f>
        <v>0.30913348946135821</v>
      </c>
      <c r="V28" s="8" t="s">
        <v>95</v>
      </c>
      <c r="W28" s="51">
        <v>185</v>
      </c>
      <c r="X28" s="51">
        <v>69</v>
      </c>
      <c r="Y28" s="52">
        <f t="shared" si="19"/>
        <v>5.0643306871064879E-2</v>
      </c>
      <c r="Z28" s="53">
        <f t="shared" si="20"/>
        <v>1.681159420289855</v>
      </c>
    </row>
    <row r="29" spans="1:28" ht="13.8" x14ac:dyDescent="0.25">
      <c r="A29" s="8" t="s">
        <v>58</v>
      </c>
      <c r="B29" s="51">
        <v>25.94</v>
      </c>
      <c r="C29" s="51">
        <v>14.98</v>
      </c>
      <c r="D29" s="66">
        <f t="shared" si="24"/>
        <v>0.73164218958611493</v>
      </c>
      <c r="E29" s="1"/>
      <c r="F29" s="8" t="s">
        <v>58</v>
      </c>
      <c r="G29" s="51">
        <v>21.59</v>
      </c>
      <c r="H29" s="51">
        <v>17.93</v>
      </c>
      <c r="I29" s="66">
        <f t="shared" si="25"/>
        <v>0.20412716118237584</v>
      </c>
      <c r="J29" s="1"/>
      <c r="K29" s="8" t="s">
        <v>58</v>
      </c>
      <c r="L29" s="51">
        <v>68.239999999999995</v>
      </c>
      <c r="M29" s="51">
        <v>48.05</v>
      </c>
      <c r="N29" s="67">
        <f t="shared" si="26"/>
        <v>0.42018730489073874</v>
      </c>
      <c r="O29" s="50"/>
      <c r="V29" s="8" t="s">
        <v>96</v>
      </c>
      <c r="W29" s="51">
        <v>182</v>
      </c>
      <c r="X29" s="51">
        <v>76</v>
      </c>
      <c r="Y29" s="52">
        <f t="shared" si="19"/>
        <v>4.9822064056939501E-2</v>
      </c>
      <c r="Z29" s="53">
        <f t="shared" si="20"/>
        <v>1.3947368421052633</v>
      </c>
    </row>
    <row r="30" spans="1:28" ht="13.8" x14ac:dyDescent="0.25">
      <c r="A30" s="8" t="s">
        <v>97</v>
      </c>
      <c r="B30" s="68">
        <f t="shared" ref="B30:C30" si="28">B28/B24</f>
        <v>0.1746497966561229</v>
      </c>
      <c r="C30" s="68">
        <f t="shared" si="28"/>
        <v>0.11762980346142564</v>
      </c>
      <c r="D30" s="69">
        <f t="shared" ref="D30:D31" si="29">B30-C30</f>
        <v>5.7019993194697263E-2</v>
      </c>
      <c r="E30" s="1"/>
      <c r="F30" s="8" t="s">
        <v>97</v>
      </c>
      <c r="G30" s="68">
        <f t="shared" ref="G30:H30" si="30">G28/G24</f>
        <v>0.16083916083916083</v>
      </c>
      <c r="H30" s="68">
        <f t="shared" si="30"/>
        <v>0.16178474114441416</v>
      </c>
      <c r="I30" s="69">
        <f t="shared" ref="I30:I31" si="31">G30-H30</f>
        <v>-9.4558030525332404E-4</v>
      </c>
      <c r="J30" s="1"/>
      <c r="K30" s="8" t="s">
        <v>97</v>
      </c>
      <c r="L30" s="68">
        <f t="shared" ref="L30:M30" si="32">L28/L24</f>
        <v>0.13348103018554416</v>
      </c>
      <c r="M30" s="68">
        <f t="shared" si="32"/>
        <v>0.11177399543779611</v>
      </c>
      <c r="N30" s="69">
        <f t="shared" ref="N30:N31" si="33">L30-M30</f>
        <v>2.1707034747748058E-2</v>
      </c>
      <c r="O30" s="59"/>
      <c r="V30" s="8" t="s">
        <v>98</v>
      </c>
      <c r="W30" s="8">
        <v>292</v>
      </c>
      <c r="X30" s="8">
        <v>211</v>
      </c>
      <c r="Y30" s="52">
        <f t="shared" si="19"/>
        <v>7.9934300574869971E-2</v>
      </c>
      <c r="Z30" s="53">
        <f t="shared" si="20"/>
        <v>0.38388625592417069</v>
      </c>
    </row>
    <row r="31" spans="1:28" ht="13.8" x14ac:dyDescent="0.25">
      <c r="A31" s="8" t="s">
        <v>99</v>
      </c>
      <c r="B31" s="70">
        <f t="shared" ref="B31:C31" si="34">(B24-B26+B25)/B25</f>
        <v>18.953488372093023</v>
      </c>
      <c r="C31" s="70">
        <f t="shared" si="34"/>
        <v>14.029411764705882</v>
      </c>
      <c r="D31" s="71">
        <f t="shared" si="29"/>
        <v>4.9240766073871409</v>
      </c>
      <c r="E31" s="1"/>
      <c r="F31" s="8" t="s">
        <v>99</v>
      </c>
      <c r="G31" s="70">
        <f t="shared" ref="G31:H31" si="35">(G24-G26+G25)/G25</f>
        <v>13.508771929824562</v>
      </c>
      <c r="H31" s="70">
        <f t="shared" si="35"/>
        <v>7.145833333333333</v>
      </c>
      <c r="I31" s="71">
        <f t="shared" si="31"/>
        <v>6.3629385964912286</v>
      </c>
      <c r="J31" s="1"/>
      <c r="K31" s="8" t="s">
        <v>99</v>
      </c>
      <c r="L31" s="70">
        <f t="shared" ref="L31:M31" si="36">(L24-L26+L25)/L25</f>
        <v>15.256578947368421</v>
      </c>
      <c r="M31" s="70">
        <f t="shared" si="36"/>
        <v>9.2785714285714285</v>
      </c>
      <c r="N31" s="71">
        <f t="shared" si="33"/>
        <v>5.9780075187969928</v>
      </c>
      <c r="O31" s="72"/>
      <c r="V31" s="5" t="s">
        <v>100</v>
      </c>
      <c r="W31" s="5">
        <v>135</v>
      </c>
      <c r="X31" s="5">
        <v>63</v>
      </c>
      <c r="Y31" s="52">
        <f t="shared" si="19"/>
        <v>3.6955926635641935E-2</v>
      </c>
      <c r="Z31" s="53">
        <f t="shared" si="20"/>
        <v>1.1428571428571428</v>
      </c>
    </row>
    <row r="32" spans="1:28" ht="13.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28" ht="13.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V33" s="73" t="s">
        <v>94</v>
      </c>
      <c r="W33" s="74">
        <f t="shared" ref="W33:X33" si="37">SUM(W24:W31)</f>
        <v>3653</v>
      </c>
      <c r="X33" s="74">
        <f t="shared" si="37"/>
        <v>2966</v>
      </c>
      <c r="Y33" s="52">
        <f>W33/$W$33</f>
        <v>1</v>
      </c>
      <c r="Z33" s="53">
        <f>(W33/X33)^(1/1)-1</f>
        <v>0.23162508428860429</v>
      </c>
    </row>
    <row r="34" spans="1:28" ht="13.2" x14ac:dyDescent="0.25">
      <c r="A34" s="12" t="s">
        <v>101</v>
      </c>
      <c r="B34" s="12" t="s">
        <v>102</v>
      </c>
      <c r="C34" s="2" t="s">
        <v>103</v>
      </c>
      <c r="D34" s="2" t="s">
        <v>104</v>
      </c>
      <c r="E34" s="2" t="s">
        <v>105</v>
      </c>
      <c r="F34" s="2" t="s">
        <v>73</v>
      </c>
      <c r="G34" s="2" t="s">
        <v>106</v>
      </c>
      <c r="H34" s="1"/>
      <c r="I34" s="2" t="s">
        <v>107</v>
      </c>
      <c r="J34" s="2" t="s">
        <v>108</v>
      </c>
      <c r="K34" s="2" t="s">
        <v>109</v>
      </c>
      <c r="L34" s="2" t="s">
        <v>81</v>
      </c>
      <c r="M34" s="2" t="s">
        <v>110</v>
      </c>
      <c r="N34" s="1"/>
      <c r="O34" s="75" t="s">
        <v>111</v>
      </c>
      <c r="P34" s="75" t="s">
        <v>112</v>
      </c>
      <c r="Q34" s="75" t="s">
        <v>113</v>
      </c>
      <c r="R34" s="75" t="s">
        <v>114</v>
      </c>
      <c r="T34" s="1"/>
      <c r="U34" s="1"/>
      <c r="V34" s="1"/>
      <c r="W34" s="1"/>
      <c r="X34" s="1"/>
      <c r="Y34" s="1"/>
      <c r="Z34" s="1"/>
      <c r="AA34" s="1"/>
      <c r="AB34" s="1"/>
    </row>
    <row r="35" spans="1:28" ht="14.4" x14ac:dyDescent="0.3">
      <c r="B35" s="8" t="s">
        <v>7</v>
      </c>
      <c r="C35" s="76">
        <v>0.02</v>
      </c>
      <c r="D35" s="76">
        <v>0.23</v>
      </c>
      <c r="E35" s="76">
        <v>0.27</v>
      </c>
      <c r="F35" s="76">
        <v>0.3</v>
      </c>
      <c r="G35" s="77">
        <v>0.24</v>
      </c>
      <c r="I35" s="78">
        <v>13.75</v>
      </c>
      <c r="J35" s="78">
        <v>18.41</v>
      </c>
      <c r="K35" s="78">
        <v>21.59</v>
      </c>
      <c r="L35" s="78">
        <v>25.94</v>
      </c>
      <c r="M35" s="79">
        <f>SUM(I35:L35)</f>
        <v>79.69</v>
      </c>
      <c r="O35" s="80">
        <v>68</v>
      </c>
      <c r="P35" s="81">
        <v>79.69</v>
      </c>
      <c r="Q35" s="82">
        <f>E17</f>
        <v>116.69039999999998</v>
      </c>
      <c r="R35" s="83">
        <f ca="1">Q37/38</f>
        <v>0.71601975465802992</v>
      </c>
      <c r="S35" s="50"/>
      <c r="T35" s="1"/>
      <c r="U35" s="1"/>
      <c r="V35" s="17"/>
      <c r="W35" s="1"/>
      <c r="X35" s="1"/>
      <c r="Y35" s="1"/>
      <c r="Z35" s="1"/>
      <c r="AA35" s="1"/>
      <c r="AB35" s="1"/>
    </row>
    <row r="36" spans="1:28" ht="13.2" x14ac:dyDescent="0.25">
      <c r="B36" s="8" t="s">
        <v>8</v>
      </c>
      <c r="C36" s="84">
        <v>0.18</v>
      </c>
      <c r="D36" s="84">
        <v>0.61</v>
      </c>
      <c r="E36" s="84">
        <v>0.51</v>
      </c>
      <c r="F36" s="84">
        <v>0.93</v>
      </c>
      <c r="G36" s="77">
        <v>0.71</v>
      </c>
      <c r="O36" s="75" t="s">
        <v>115</v>
      </c>
      <c r="P36" s="75" t="s">
        <v>116</v>
      </c>
      <c r="Q36" s="75" t="s">
        <v>117</v>
      </c>
      <c r="R36" s="85"/>
      <c r="S36" s="50"/>
      <c r="T36" s="1"/>
      <c r="U36" s="1"/>
      <c r="V36" s="1"/>
      <c r="W36" s="1"/>
      <c r="X36" s="1"/>
      <c r="Y36" s="1"/>
      <c r="Z36" s="1"/>
      <c r="AA36" s="1"/>
      <c r="AB36" s="1"/>
    </row>
    <row r="37" spans="1:28" ht="14.4" x14ac:dyDescent="0.3">
      <c r="B37" s="8" t="s">
        <v>69</v>
      </c>
      <c r="C37" s="86">
        <v>0.111</v>
      </c>
      <c r="D37" s="86">
        <v>0.123</v>
      </c>
      <c r="E37" s="86">
        <v>0.13300000000000001</v>
      </c>
      <c r="F37" s="86">
        <v>0.17499999999999999</v>
      </c>
      <c r="G37" s="87">
        <v>0.16800000000000001</v>
      </c>
      <c r="O37" s="88">
        <f>C4/O35</f>
        <v>35.367647058823529</v>
      </c>
      <c r="P37" s="89">
        <f ca="1">C3/P35</f>
        <v>39.841887313339193</v>
      </c>
      <c r="Q37" s="90">
        <f ca="1">C3/Q35</f>
        <v>27.208750677005138</v>
      </c>
      <c r="R37" s="85"/>
      <c r="S37" s="50"/>
      <c r="T37" s="1"/>
      <c r="U37" s="1"/>
      <c r="V37" s="1"/>
      <c r="W37" s="1"/>
      <c r="X37" s="1"/>
      <c r="Y37" s="1"/>
      <c r="Z37" s="1"/>
      <c r="AA37" s="1"/>
      <c r="AB37" s="1"/>
    </row>
    <row r="38" spans="1:28" ht="13.2" x14ac:dyDescent="0.25">
      <c r="R38" s="50"/>
      <c r="S38" s="50"/>
      <c r="T38" s="1"/>
      <c r="U38" s="1"/>
      <c r="V38" s="1"/>
      <c r="W38" s="1"/>
      <c r="X38" s="1"/>
      <c r="Y38" s="1"/>
      <c r="Z38" s="1"/>
      <c r="AA38" s="1"/>
      <c r="AB38" s="1"/>
    </row>
    <row r="39" spans="1:28" ht="13.2" x14ac:dyDescent="0.25">
      <c r="A39" s="12" t="s">
        <v>75</v>
      </c>
      <c r="B39" s="2" t="s">
        <v>57</v>
      </c>
      <c r="C39" s="2" t="s">
        <v>7</v>
      </c>
      <c r="D39" s="2" t="s">
        <v>8</v>
      </c>
      <c r="E39" s="2" t="s">
        <v>58</v>
      </c>
      <c r="F39" s="91" t="s">
        <v>97</v>
      </c>
      <c r="G39" s="2" t="s">
        <v>11</v>
      </c>
      <c r="H39" s="2" t="s">
        <v>12</v>
      </c>
      <c r="I39" s="2" t="s">
        <v>59</v>
      </c>
      <c r="J39" s="2" t="s">
        <v>118</v>
      </c>
      <c r="K39" s="2" t="s">
        <v>119</v>
      </c>
      <c r="L39" s="2" t="s">
        <v>120</v>
      </c>
      <c r="M39" s="2" t="s">
        <v>121</v>
      </c>
      <c r="N39" s="2" t="s">
        <v>122</v>
      </c>
      <c r="O39" s="2" t="s">
        <v>123</v>
      </c>
      <c r="R39" s="50"/>
      <c r="S39" s="50"/>
      <c r="T39" s="1"/>
      <c r="U39" s="1"/>
      <c r="V39" s="1"/>
      <c r="W39" s="1"/>
      <c r="X39" s="1"/>
      <c r="Y39" s="1"/>
      <c r="Z39" s="1"/>
      <c r="AA39" s="1"/>
      <c r="AB39" s="1"/>
    </row>
    <row r="40" spans="1:28" ht="13.2" x14ac:dyDescent="0.25">
      <c r="A40" s="1"/>
      <c r="B40" s="8" t="s">
        <v>124</v>
      </c>
      <c r="C40" s="92">
        <f t="shared" ref="C40:E40" si="38">(C45/C50)^(1/5)-1</f>
        <v>0.48561196514312388</v>
      </c>
      <c r="D40" s="92">
        <f t="shared" si="38"/>
        <v>1.1421024922168748</v>
      </c>
      <c r="E40" s="92">
        <f t="shared" si="38"/>
        <v>1.0023529476860062</v>
      </c>
      <c r="F40" s="93">
        <f>MEDIAN(F45:F50)</f>
        <v>5.0994410026410475E-2</v>
      </c>
      <c r="G40" s="92">
        <f t="shared" ref="G40:I40" si="39">(G45/G50)^(1/5)-1</f>
        <v>7.8159798303840455E-2</v>
      </c>
      <c r="H40" s="92">
        <f t="shared" si="39"/>
        <v>1.4650045677547663</v>
      </c>
      <c r="I40" s="92">
        <f t="shared" si="39"/>
        <v>0.85278965730770029</v>
      </c>
      <c r="J40" s="94"/>
      <c r="K40" s="95"/>
      <c r="L40" s="96"/>
      <c r="M40" s="97"/>
      <c r="N40" s="96"/>
      <c r="O40" s="97"/>
      <c r="R40" s="50"/>
      <c r="S40" s="50"/>
      <c r="T40" s="1"/>
      <c r="U40" s="1"/>
      <c r="V40" s="1"/>
      <c r="W40" s="1"/>
      <c r="X40" s="1"/>
      <c r="Y40" s="1"/>
      <c r="Z40" s="1"/>
      <c r="AA40" s="1"/>
      <c r="AB40" s="1"/>
    </row>
    <row r="41" spans="1:28" ht="13.2" x14ac:dyDescent="0.25">
      <c r="A41" s="1"/>
      <c r="B41" s="8" t="s">
        <v>125</v>
      </c>
      <c r="C41" s="98">
        <f t="shared" ref="C41:E41" si="40">(C45/C46)-1</f>
        <v>0.26723986664327071</v>
      </c>
      <c r="D41" s="98">
        <f t="shared" si="40"/>
        <v>0.38069073783359508</v>
      </c>
      <c r="E41" s="98">
        <f t="shared" si="40"/>
        <v>0.42018730489073874</v>
      </c>
      <c r="F41" s="43">
        <f>F45</f>
        <v>0.12178067017446691</v>
      </c>
      <c r="G41" s="98">
        <f>(G45/G46)-1</f>
        <v>9.1254752851710919E-2</v>
      </c>
      <c r="H41" s="99">
        <f t="shared" ref="H41:I41" si="41">H45/H46</f>
        <v>2.4037656903765692</v>
      </c>
      <c r="I41" s="99">
        <f t="shared" si="41"/>
        <v>2.1253562540868516</v>
      </c>
      <c r="J41" s="100">
        <v>2026</v>
      </c>
      <c r="K41" s="101">
        <v>3743</v>
      </c>
      <c r="L41" s="102">
        <f t="shared" ref="L41:O41" si="42">L45</f>
        <v>29.689331770222747</v>
      </c>
      <c r="M41" s="103">
        <f t="shared" si="42"/>
        <v>54.850527549824157</v>
      </c>
      <c r="N41" s="102">
        <f t="shared" si="42"/>
        <v>6.1342124696697962</v>
      </c>
      <c r="O41" s="103">
        <f t="shared" si="42"/>
        <v>11.332851566620951</v>
      </c>
      <c r="R41" s="50"/>
      <c r="S41" s="50"/>
      <c r="T41" s="1"/>
      <c r="U41" s="1"/>
      <c r="V41" s="1"/>
      <c r="W41" s="1"/>
      <c r="X41" s="1"/>
      <c r="Y41" s="1"/>
      <c r="Z41" s="1"/>
      <c r="AA41" s="1"/>
      <c r="AB41" s="1"/>
    </row>
    <row r="42" spans="1:28" ht="13.2" x14ac:dyDescent="0.25">
      <c r="A42" s="1"/>
      <c r="B42" s="1"/>
      <c r="C42" s="1"/>
      <c r="D42" s="1"/>
      <c r="E42" s="104"/>
      <c r="F42" s="1"/>
      <c r="G42" s="1"/>
      <c r="H42" s="105"/>
      <c r="I42" s="105"/>
      <c r="J42" s="106"/>
      <c r="K42" s="106"/>
      <c r="L42" s="105"/>
      <c r="M42" s="105"/>
      <c r="N42" s="105"/>
      <c r="O42" s="105"/>
      <c r="R42" s="50"/>
      <c r="S42" s="50"/>
      <c r="T42" s="1"/>
      <c r="U42" s="1"/>
      <c r="V42" s="1"/>
      <c r="W42" s="1"/>
      <c r="X42" s="1"/>
      <c r="Y42" s="1"/>
      <c r="Z42" s="1"/>
      <c r="AA42" s="1"/>
      <c r="AB42" s="1"/>
    </row>
    <row r="43" spans="1:28" ht="13.2" x14ac:dyDescent="0.25">
      <c r="A43" s="12" t="s">
        <v>126</v>
      </c>
      <c r="B43" s="2" t="s">
        <v>57</v>
      </c>
      <c r="C43" s="2" t="s">
        <v>7</v>
      </c>
      <c r="D43" s="2" t="s">
        <v>8</v>
      </c>
      <c r="E43" s="2" t="s">
        <v>58</v>
      </c>
      <c r="F43" s="2" t="s">
        <v>97</v>
      </c>
      <c r="G43" s="2" t="s">
        <v>11</v>
      </c>
      <c r="H43" s="2" t="s">
        <v>12</v>
      </c>
      <c r="I43" s="2" t="s">
        <v>59</v>
      </c>
      <c r="J43" s="2" t="s">
        <v>118</v>
      </c>
      <c r="K43" s="2" t="s">
        <v>119</v>
      </c>
      <c r="L43" s="2" t="s">
        <v>120</v>
      </c>
      <c r="M43" s="2" t="s">
        <v>121</v>
      </c>
      <c r="N43" s="2" t="s">
        <v>122</v>
      </c>
      <c r="O43" s="2" t="s">
        <v>123</v>
      </c>
      <c r="T43" s="1"/>
      <c r="U43" s="1"/>
      <c r="V43" s="1"/>
      <c r="W43" s="1"/>
      <c r="X43" s="1"/>
      <c r="Y43" s="1"/>
      <c r="Z43" s="1"/>
      <c r="AA43" s="1"/>
      <c r="AB43" s="1"/>
    </row>
    <row r="44" spans="1:28" ht="13.2" x14ac:dyDescent="0.25">
      <c r="B44" s="8" t="s">
        <v>127</v>
      </c>
      <c r="C44" s="107">
        <f>C45+B24-C24</f>
        <v>15461</v>
      </c>
      <c r="D44" s="107">
        <f>D45+B28-C28</f>
        <v>2131</v>
      </c>
      <c r="E44" s="108">
        <f>E45+B29-C29</f>
        <v>79.199999999999989</v>
      </c>
      <c r="F44" s="109">
        <f t="shared" ref="F44:F50" si="43">D44/C44</f>
        <v>0.13783067071987581</v>
      </c>
      <c r="G44" s="51">
        <v>287</v>
      </c>
      <c r="H44" s="110">
        <f>H45+B29</f>
        <v>9217.94</v>
      </c>
      <c r="I44" s="110">
        <f t="shared" ref="I44:I50" si="44">(G44+H44)/(G44/10)</f>
        <v>331.18257839721258</v>
      </c>
      <c r="J44" s="111">
        <v>1863</v>
      </c>
      <c r="K44" s="8">
        <v>3342</v>
      </c>
      <c r="L44" s="112">
        <f t="shared" ref="L44:L45" si="45">J44/E44</f>
        <v>23.522727272727277</v>
      </c>
      <c r="M44" s="108">
        <f t="shared" ref="M44:M45" si="46">K44/E44</f>
        <v>42.196969696969703</v>
      </c>
      <c r="N44" s="112">
        <f t="shared" ref="N44:N45" si="47">J44/I44</f>
        <v>5.6252958987642208</v>
      </c>
      <c r="O44" s="108">
        <f t="shared" ref="O44:O45" si="48">K44/I44</f>
        <v>10.091110517267861</v>
      </c>
      <c r="S44" s="50"/>
      <c r="T44" s="1"/>
      <c r="U44" s="1"/>
      <c r="V44" s="1"/>
      <c r="W44" s="1"/>
      <c r="X44" s="1"/>
      <c r="Y44" s="1"/>
      <c r="Z44" s="1"/>
      <c r="AA44" s="1"/>
      <c r="AB44" s="1"/>
    </row>
    <row r="45" spans="1:28" ht="13.2" x14ac:dyDescent="0.25">
      <c r="A45" s="1" t="s">
        <v>128</v>
      </c>
      <c r="B45" s="8" t="s">
        <v>129</v>
      </c>
      <c r="C45" s="107">
        <v>14444</v>
      </c>
      <c r="D45" s="107">
        <f>D46+1284-799</f>
        <v>1759</v>
      </c>
      <c r="E45" s="108">
        <v>68.239999999999995</v>
      </c>
      <c r="F45" s="109">
        <f t="shared" si="43"/>
        <v>0.12178067017446691</v>
      </c>
      <c r="G45" s="51">
        <v>287</v>
      </c>
      <c r="H45" s="113">
        <v>9192</v>
      </c>
      <c r="I45" s="110">
        <f t="shared" si="44"/>
        <v>330.27874564459933</v>
      </c>
      <c r="J45" s="111">
        <v>2026</v>
      </c>
      <c r="K45" s="8">
        <v>3743</v>
      </c>
      <c r="L45" s="112">
        <f t="shared" si="45"/>
        <v>29.689331770222747</v>
      </c>
      <c r="M45" s="108">
        <f t="shared" si="46"/>
        <v>54.850527549824157</v>
      </c>
      <c r="N45" s="112">
        <f t="shared" si="47"/>
        <v>6.1342124696697962</v>
      </c>
      <c r="O45" s="108">
        <f t="shared" si="48"/>
        <v>11.332851566620951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3.2" x14ac:dyDescent="0.25">
      <c r="A46" s="1"/>
      <c r="B46" s="8" t="s">
        <v>130</v>
      </c>
      <c r="C46" s="114">
        <v>11398</v>
      </c>
      <c r="D46" s="115">
        <v>1274</v>
      </c>
      <c r="E46" s="116">
        <v>48.05</v>
      </c>
      <c r="F46" s="109">
        <f t="shared" si="43"/>
        <v>0.11177399543779611</v>
      </c>
      <c r="G46" s="51">
        <v>263</v>
      </c>
      <c r="H46" s="114">
        <v>3824</v>
      </c>
      <c r="I46" s="110">
        <f t="shared" si="44"/>
        <v>155.39923954372622</v>
      </c>
      <c r="J46" s="117"/>
      <c r="K46" s="51"/>
      <c r="L46" s="118"/>
      <c r="M46" s="119"/>
      <c r="N46" s="118"/>
      <c r="O46" s="119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3.2" x14ac:dyDescent="0.25">
      <c r="B47" s="8" t="s">
        <v>131</v>
      </c>
      <c r="C47" s="120">
        <v>6751</v>
      </c>
      <c r="D47" s="121">
        <v>500</v>
      </c>
      <c r="E47" s="122">
        <v>21.82</v>
      </c>
      <c r="F47" s="109">
        <f t="shared" si="43"/>
        <v>7.4063101762701825E-2</v>
      </c>
      <c r="G47" s="106">
        <v>244</v>
      </c>
      <c r="H47" s="123">
        <v>1595</v>
      </c>
      <c r="I47" s="110">
        <f t="shared" si="44"/>
        <v>75.368852459016395</v>
      </c>
      <c r="J47" s="111"/>
      <c r="K47" s="8"/>
      <c r="L47" s="124"/>
      <c r="M47" s="125"/>
      <c r="N47" s="124"/>
      <c r="O47" s="125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4" x14ac:dyDescent="0.3">
      <c r="A48" s="1"/>
      <c r="B48" s="8" t="s">
        <v>132</v>
      </c>
      <c r="C48" s="126">
        <v>2854</v>
      </c>
      <c r="D48" s="127">
        <v>79.7</v>
      </c>
      <c r="E48" s="128">
        <v>3.84</v>
      </c>
      <c r="F48" s="109">
        <f t="shared" si="43"/>
        <v>2.7925718290119132E-2</v>
      </c>
      <c r="G48" s="28">
        <v>197</v>
      </c>
      <c r="H48" s="129">
        <v>231</v>
      </c>
      <c r="I48" s="110">
        <f t="shared" si="44"/>
        <v>21.725888324873097</v>
      </c>
      <c r="J48" s="111"/>
      <c r="K48" s="8"/>
      <c r="L48" s="130"/>
      <c r="M48" s="131"/>
      <c r="N48" s="130"/>
      <c r="O48" s="13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4" x14ac:dyDescent="0.3">
      <c r="A49" s="1"/>
      <c r="B49" s="8" t="s">
        <v>133</v>
      </c>
      <c r="C49" s="126">
        <v>1953</v>
      </c>
      <c r="D49" s="127">
        <v>48</v>
      </c>
      <c r="E49" s="128">
        <v>2.46</v>
      </c>
      <c r="F49" s="109">
        <f t="shared" si="43"/>
        <v>2.4577572964669739E-2</v>
      </c>
      <c r="G49" s="28">
        <v>197</v>
      </c>
      <c r="H49" s="132">
        <v>148</v>
      </c>
      <c r="I49" s="110">
        <f t="shared" si="44"/>
        <v>17.512690355329951</v>
      </c>
      <c r="J49" s="111"/>
      <c r="K49" s="8"/>
      <c r="L49" s="133"/>
      <c r="M49" s="134"/>
      <c r="N49" s="133"/>
      <c r="O49" s="13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4" x14ac:dyDescent="0.3">
      <c r="A50" s="1"/>
      <c r="B50" s="8" t="s">
        <v>134</v>
      </c>
      <c r="C50" s="135">
        <v>1996</v>
      </c>
      <c r="D50" s="136">
        <v>39</v>
      </c>
      <c r="E50" s="128">
        <v>2.12</v>
      </c>
      <c r="F50" s="109">
        <f t="shared" si="43"/>
        <v>1.9539078156312624E-2</v>
      </c>
      <c r="G50" s="28">
        <v>197</v>
      </c>
      <c r="H50" s="137">
        <v>101</v>
      </c>
      <c r="I50" s="110">
        <f t="shared" si="44"/>
        <v>15.126903553299494</v>
      </c>
      <c r="J50" s="111"/>
      <c r="K50" s="8"/>
      <c r="L50" s="138"/>
      <c r="M50" s="139"/>
      <c r="N50" s="138"/>
      <c r="O50" s="139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3.2" x14ac:dyDescent="0.25">
      <c r="A51" s="1"/>
      <c r="B51" s="1"/>
      <c r="C51" s="1"/>
      <c r="D51" s="1"/>
      <c r="E51" s="140"/>
      <c r="F51" s="140"/>
      <c r="H51" s="17"/>
      <c r="I51" s="1"/>
      <c r="K51" s="140"/>
      <c r="L51" s="140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3.2" x14ac:dyDescent="0.25">
      <c r="A52" s="1"/>
      <c r="B52" s="1"/>
      <c r="C52" s="1"/>
      <c r="D52" s="1"/>
      <c r="E52" s="140"/>
      <c r="F52" s="140"/>
      <c r="G52" s="140"/>
      <c r="H52" s="17"/>
      <c r="I52" s="1"/>
      <c r="J52" s="1"/>
      <c r="K52" s="140"/>
      <c r="L52" s="14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3.2" x14ac:dyDescent="0.25">
      <c r="A53" s="1"/>
      <c r="B53" s="1"/>
      <c r="C53" s="1"/>
      <c r="D53" s="1"/>
      <c r="E53" s="140"/>
      <c r="F53" s="140"/>
      <c r="G53" s="140"/>
      <c r="H53" s="17"/>
      <c r="I53" s="1"/>
      <c r="J53" s="1"/>
      <c r="K53" s="140"/>
      <c r="L53" s="14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3.2" x14ac:dyDescent="0.25">
      <c r="A54" s="1"/>
      <c r="B54" s="1"/>
      <c r="C54" s="1"/>
      <c r="D54" s="1"/>
      <c r="E54" s="140"/>
      <c r="F54" s="1"/>
      <c r="G54" s="140"/>
      <c r="H54" s="17"/>
      <c r="I54" s="1"/>
      <c r="J54" s="1"/>
      <c r="K54" s="140"/>
      <c r="L54" s="140"/>
      <c r="M54" s="1"/>
      <c r="N54" s="1"/>
      <c r="O54" s="1"/>
      <c r="P54" s="1"/>
      <c r="Q54" s="1"/>
      <c r="R54" s="1"/>
      <c r="S54" s="17"/>
      <c r="T54" s="1"/>
      <c r="U54" s="1"/>
      <c r="V54" s="1"/>
      <c r="W54" s="1"/>
      <c r="X54" s="1"/>
      <c r="Y54" s="1"/>
      <c r="Z54" s="1"/>
      <c r="AA54" s="1"/>
      <c r="AB54" s="1"/>
    </row>
    <row r="55" spans="1:28" ht="13.2" x14ac:dyDescent="0.25">
      <c r="A55" s="1"/>
      <c r="B55" s="1"/>
      <c r="C55" s="1"/>
      <c r="D55" s="1"/>
      <c r="E55" s="140"/>
      <c r="F55" s="1"/>
      <c r="G55" s="140"/>
      <c r="H55" s="17"/>
      <c r="I55" s="1"/>
      <c r="J55" s="1"/>
      <c r="K55" s="140"/>
      <c r="L55" s="140"/>
      <c r="M55" s="1"/>
      <c r="N55" s="1"/>
      <c r="O55" s="1"/>
      <c r="P55" s="1"/>
      <c r="Q55" s="1"/>
      <c r="R55" s="1"/>
      <c r="S55" s="17"/>
      <c r="T55" s="1"/>
      <c r="U55" s="1"/>
      <c r="V55" s="1"/>
      <c r="W55" s="1"/>
      <c r="X55" s="1"/>
      <c r="Y55" s="1"/>
      <c r="Z55" s="1"/>
      <c r="AA55" s="1"/>
      <c r="AB55" s="1"/>
    </row>
    <row r="56" spans="1:28" ht="13.2" x14ac:dyDescent="0.25">
      <c r="A56" s="1"/>
      <c r="B56" s="1"/>
      <c r="C56" s="1"/>
      <c r="D56" s="1"/>
      <c r="E56" s="140"/>
      <c r="F56" s="1"/>
      <c r="G56" s="140"/>
      <c r="H56" s="17"/>
      <c r="I56" s="1"/>
      <c r="J56" s="1"/>
      <c r="K56" s="140"/>
      <c r="L56" s="140"/>
      <c r="M56" s="1"/>
      <c r="N56" s="1"/>
      <c r="O56" s="1"/>
      <c r="P56" s="1"/>
      <c r="Q56" s="1"/>
      <c r="R56" s="1"/>
      <c r="S56" s="17"/>
      <c r="T56" s="1"/>
      <c r="U56" s="1"/>
      <c r="V56" s="1"/>
      <c r="W56" s="1"/>
      <c r="X56" s="1"/>
      <c r="Y56" s="1"/>
      <c r="Z56" s="1"/>
      <c r="AA56" s="1"/>
      <c r="AB56" s="1"/>
    </row>
    <row r="57" spans="1:28" ht="13.2" x14ac:dyDescent="0.25">
      <c r="A57" s="1"/>
      <c r="B57" s="1"/>
      <c r="C57" s="1"/>
      <c r="D57" s="1"/>
      <c r="E57" s="140"/>
      <c r="F57" s="1"/>
      <c r="G57" s="140"/>
      <c r="H57" s="17"/>
      <c r="I57" s="1"/>
      <c r="J57" s="1"/>
      <c r="K57" s="140"/>
      <c r="L57" s="140"/>
      <c r="M57" s="1"/>
      <c r="N57" s="1"/>
      <c r="O57" s="1"/>
      <c r="P57" s="1"/>
      <c r="Q57" s="1"/>
      <c r="R57" s="1"/>
      <c r="S57" s="17"/>
      <c r="T57" s="1"/>
      <c r="U57" s="1"/>
      <c r="V57" s="1"/>
      <c r="W57" s="1"/>
      <c r="X57" s="1"/>
      <c r="Y57" s="1"/>
      <c r="Z57" s="1"/>
      <c r="AA57" s="1"/>
      <c r="AB57" s="1"/>
    </row>
    <row r="58" spans="1:28" ht="13.2" x14ac:dyDescent="0.25">
      <c r="A58" s="1"/>
      <c r="B58" s="1"/>
      <c r="C58" s="1"/>
      <c r="D58" s="1"/>
      <c r="E58" s="140"/>
      <c r="F58" s="1"/>
      <c r="G58" s="140"/>
      <c r="H58" s="17"/>
      <c r="I58" s="1"/>
      <c r="J58" s="1"/>
      <c r="K58" s="140"/>
      <c r="L58" s="140"/>
      <c r="M58" s="1"/>
      <c r="N58" s="1"/>
      <c r="O58" s="1"/>
      <c r="P58" s="1"/>
      <c r="Q58" s="1"/>
      <c r="R58" s="1"/>
      <c r="S58" s="17"/>
      <c r="T58" s="1"/>
      <c r="U58" s="1"/>
      <c r="V58" s="1"/>
      <c r="W58" s="1"/>
      <c r="X58" s="1"/>
      <c r="Y58" s="1"/>
      <c r="Z58" s="1"/>
      <c r="AA58" s="1"/>
      <c r="AB58" s="1"/>
    </row>
    <row r="59" spans="1:28" ht="13.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3.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3.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3.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3.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3.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3.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3.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3.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3.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3.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3.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3.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3.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3.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3.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3.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3.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3.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3.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3.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3.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3.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3.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3.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3.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3.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3.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3.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3.2" x14ac:dyDescent="0.25">
      <c r="A88" s="1"/>
      <c r="B88" s="141" t="s">
        <v>135</v>
      </c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3.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3.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3.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3.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3.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3.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3.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3.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3.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3.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3.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3.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3.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3.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3.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3.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3.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3.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3.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3.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3.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3.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3.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3.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3.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3.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3.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3.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3.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3.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3.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3.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3.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3.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3.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3.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3.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3.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3.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3.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3.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3.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3.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3.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3.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3.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3.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3.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3.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3.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3.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3.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3.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3.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3.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3.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3.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3.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3.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3.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3.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3.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3.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3.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3.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3.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3.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3.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3.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3.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3.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3.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3.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3.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3.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3.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3.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3.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3.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3.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3.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3.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3.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3.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3.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3.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3.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3.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3.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3.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3.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3.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3.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3.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3.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3.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3.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3.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3.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3.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3.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3.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3.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3.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3.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3.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3.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3.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3.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3.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3.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3.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3.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3.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3.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3.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3.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3.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3.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3.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3.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3.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3.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3.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3.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3.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3.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3.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3.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3.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3.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3.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3.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3.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3.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3.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3.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3.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3.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3.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3.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3.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3.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3.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3.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3.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3.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3.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3.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3.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3.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3.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3.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3.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3.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3.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3.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3.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3.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3.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3.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3.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3.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3.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3.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3.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3.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3.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3.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3.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3.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3.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3.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3.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3.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3.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3.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3.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3.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3.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3.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3.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3.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3.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3.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3.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3.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3.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3.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3.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3.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3.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3.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3.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3.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3.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3.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3.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3.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3.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3.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3.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3.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3.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3.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3.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3.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3.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3.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3.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3.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3.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3.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3.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3.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3.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3.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3.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3.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3.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3.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3.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3.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3.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3.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3.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3.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3.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3.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3.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3.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3.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3.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3.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3.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3.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3.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3.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3.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3.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3.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3.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3.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3.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3.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3.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3.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3.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3.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3.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3.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3.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3.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3.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3.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3.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3.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3.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3.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3.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3.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3.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3.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3.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3.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3.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3.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3.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3.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3.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3.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3.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3.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3.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3.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3.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3.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3.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3.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3.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3.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3.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3.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3.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3.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3.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3.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3.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3.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3.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3.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3.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3.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3.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3.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3.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3.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3.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3.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3.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3.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3.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3.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3.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3.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3.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3.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3.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3.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3.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3.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3.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3.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3.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3.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3.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3.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3.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3.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3.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3.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3.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3.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3.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3.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3.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3.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3.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3.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3.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3.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3.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3.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3.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3.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3.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3.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3.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3.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3.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3.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3.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3.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3.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3.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3.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3.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3.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3.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3.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3.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3.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3.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3.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3.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3.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3.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3.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3.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3.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3.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3.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3.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3.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3.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3.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3.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3.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3.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3.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3.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3.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3.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3.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3.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3.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3.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3.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3.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3.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3.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3.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3.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3.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3.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3.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3.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3.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3.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3.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3.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3.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3.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3.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3.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3.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3.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3.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3.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3.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3.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3.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3.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3.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3.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3.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3.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3.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3.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3.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3.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3.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3.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3.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3.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3.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3.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3.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3.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3.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3.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3.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3.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3.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3.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3.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3.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3.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3.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3.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3.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3.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3.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3.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3.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3.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3.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3.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3.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3.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3.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3.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3.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3.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3.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3.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3.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3.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3.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3.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3.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3.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3.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3.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3.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3.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3.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3.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3.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3.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3.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3.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3.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3.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3.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3.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3.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3.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3.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3.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3.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3.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3.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3.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3.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3.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3.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3.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3.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3.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3.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3.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3.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3.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3.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3.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3.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3.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3.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3.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3.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3.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3.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3.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3.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3.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3.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3.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3.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3.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3.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3.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3.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3.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3.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3.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3.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3.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3.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3.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3.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3.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3.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3.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3.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3.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3.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3.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3.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3.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3.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3.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3.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3.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3.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3.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3.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3.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3.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3.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3.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3.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3.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3.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3.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3.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3.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3.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3.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3.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3.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3.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3.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3.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3.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3.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3.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3.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3.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3.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3.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3.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3.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3.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3.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3.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3.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3.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3.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3.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3.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3.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3.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3.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3.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3.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3.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3.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3.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3.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3.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3.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3.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3.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3.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3.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3.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3.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3.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3.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3.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3.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3.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3.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3.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3.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3.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3.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3.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3.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3.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3.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3.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3.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3.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3.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3.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3.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3.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3.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3.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3.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3.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3.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3.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3.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3.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3.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3.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3.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3.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3.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3.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3.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3.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3.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3.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3.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3.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3.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3.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3.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3.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3.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3.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3.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3.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3.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3.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3.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3.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3.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3.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3.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3.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3.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3.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3.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3.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3.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3.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3.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3.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3.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3.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3.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3.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3.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3.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3.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3.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3.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3.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3.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3.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3.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3.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3.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3.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3.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3.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3.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3.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3.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3.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3.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3.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3.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3.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3.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3.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3.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3.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3.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3.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3.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3.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3.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3.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3.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3.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3.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3.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3.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3.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3.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3.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3.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3.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3.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3.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3.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3.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3.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3.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3.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3.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3.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3.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3.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3.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3.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3.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3.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3.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3.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3.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3.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3.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3.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3.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3.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3.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3.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3.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3.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3.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3.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3.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3.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3.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3.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3.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3.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3.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3.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3.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3.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3.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3.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3.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3.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3.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3.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3.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3.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3.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3.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3.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3.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3.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3.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3.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3.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3.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3.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3.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3.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3.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3.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3.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3.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3.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3.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3.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3.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3.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3.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3.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3.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3.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3.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3.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3.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3.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3.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3.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3.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3.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3.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3.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3.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3.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3.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3.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3.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3.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3.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3.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3.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3.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3.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3.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3.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3.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3.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3.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3.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3.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3.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3.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3.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3.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3.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3.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3.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3.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3.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3.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3.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3.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3.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3.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3.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3.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3.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3.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3.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3.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3.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3.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3.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3.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3.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3.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3.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3.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3.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3.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3.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3.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3.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3.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3.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3.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3.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3.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3.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3.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3.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3.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3.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3.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3.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3.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3.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3.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3.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3.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3.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3.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3.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3.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3.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3.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3.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3.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3.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3.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3.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3.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3.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3.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3.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3.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3.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3.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3.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3.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3.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3.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3.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3.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3.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3.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3.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3.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3.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3.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3.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3.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3.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3.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3.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3.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3.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3.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3.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3.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3.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3.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3.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3.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3.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3.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3.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3.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3.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3.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3.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3.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3.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3.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3.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3.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3.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3.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3.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3.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3.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3.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3.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3.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3.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3.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3.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3.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3.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3.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3.2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3.2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3.2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3.2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3.2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3.2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3.2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3.2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3.2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3.2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13.2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13.2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</sheetData>
  <mergeCells count="2">
    <mergeCell ref="R35:R37"/>
    <mergeCell ref="B88:N88"/>
  </mergeCells>
  <conditionalFormatting sqref="C40:E41 G40:I41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5:F36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7:F37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35:L35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44:K45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31:N50 O35:O50">
    <cfRule type="colorScale" priority="5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O35:Q35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37:Q37">
    <cfRule type="colorScale" priority="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S20:S26 Y20:Y31 S28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T21:T26 Z21:Z31 T28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88" r:id="rId1" xr:uid="{A9599B58-0119-4F3D-B682-CBEA802BC4B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WAAREE LTD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2025-08-23T06:28:01Z</dcterms:created>
  <dcterms:modified xsi:type="dcterms:W3CDTF">2025-08-23T06:28:20Z</dcterms:modified>
</cp:coreProperties>
</file>