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E51636C6-153F-42D0-9728-FA65B219A704}" xr6:coauthVersionLast="47" xr6:coauthVersionMax="47" xr10:uidLastSave="{00000000-0000-0000-0000-000000000000}"/>
  <bookViews>
    <workbookView xWindow="-108" yWindow="-108" windowWidth="23256" windowHeight="12456" xr2:uid="{AD680B94-563C-4280-A5D4-DEA855EB24A0}"/>
  </bookViews>
  <sheets>
    <sheet name="BAJAJ-AUTO" sheetId="1" r:id="rId1"/>
    <sheet name="2_3 Wheelers" sheetId="3" r:id="rId2"/>
  </sheets>
  <externalReferences>
    <externalReference r:id="rId3"/>
  </externalReferences>
  <definedNames>
    <definedName name="_xlnm._FilterDatabase" localSheetId="1" hidden="1">'2_3 Wheelers'!$A$1:$AO$10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" i="3" l="1"/>
  <c r="E160" i="3"/>
  <c r="L159" i="3"/>
  <c r="E159" i="3"/>
  <c r="L158" i="3"/>
  <c r="E158" i="3"/>
  <c r="L157" i="3"/>
  <c r="E157" i="3"/>
  <c r="L14" i="3"/>
  <c r="J14" i="3"/>
  <c r="H14" i="3"/>
  <c r="F14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D8" i="3"/>
  <c r="C8" i="3"/>
  <c r="D7" i="3"/>
  <c r="C7" i="3"/>
  <c r="AN6" i="3"/>
  <c r="AK6" i="3"/>
  <c r="AJ6" i="3"/>
  <c r="AI6" i="3"/>
  <c r="AH6" i="3"/>
  <c r="AG6" i="3"/>
  <c r="AF6" i="3"/>
  <c r="AE6" i="3"/>
  <c r="AD6" i="3"/>
  <c r="AC6" i="3"/>
  <c r="AB6" i="3"/>
  <c r="AA6" i="3"/>
  <c r="Z6" i="3"/>
  <c r="D6" i="3"/>
  <c r="C6" i="3"/>
  <c r="AO6" i="3" s="1"/>
  <c r="AN5" i="3"/>
  <c r="AK5" i="3"/>
  <c r="AJ5" i="3"/>
  <c r="AI5" i="3"/>
  <c r="AH5" i="3"/>
  <c r="AG5" i="3"/>
  <c r="AF5" i="3"/>
  <c r="AE5" i="3"/>
  <c r="AD5" i="3"/>
  <c r="AC5" i="3"/>
  <c r="AB5" i="3"/>
  <c r="AA5" i="3"/>
  <c r="Z5" i="3"/>
  <c r="D5" i="3"/>
  <c r="C5" i="3"/>
  <c r="AO5" i="3" s="1"/>
  <c r="AN4" i="3"/>
  <c r="AK4" i="3"/>
  <c r="AJ4" i="3"/>
  <c r="AI4" i="3"/>
  <c r="AH4" i="3"/>
  <c r="AG4" i="3"/>
  <c r="AF4" i="3"/>
  <c r="AE4" i="3"/>
  <c r="AD4" i="3"/>
  <c r="AC4" i="3"/>
  <c r="AB4" i="3"/>
  <c r="AA4" i="3"/>
  <c r="Z4" i="3"/>
  <c r="D4" i="3"/>
  <c r="C4" i="3"/>
  <c r="AM4" i="3" s="1"/>
  <c r="AN3" i="3"/>
  <c r="AK3" i="3"/>
  <c r="AJ3" i="3"/>
  <c r="AI3" i="3"/>
  <c r="AH3" i="3"/>
  <c r="AG3" i="3"/>
  <c r="AF3" i="3"/>
  <c r="AE3" i="3"/>
  <c r="AD3" i="3"/>
  <c r="AC3" i="3"/>
  <c r="AB3" i="3"/>
  <c r="AA3" i="3"/>
  <c r="Z3" i="3"/>
  <c r="D3" i="3"/>
  <c r="C3" i="3"/>
  <c r="AO3" i="3" s="1"/>
  <c r="AN2" i="3"/>
  <c r="AN10" i="3" s="1"/>
  <c r="AK2" i="3"/>
  <c r="AJ2" i="3"/>
  <c r="AI2" i="3"/>
  <c r="AH2" i="3"/>
  <c r="AG2" i="3"/>
  <c r="AF2" i="3"/>
  <c r="AE2" i="3"/>
  <c r="AD2" i="3"/>
  <c r="AC2" i="3"/>
  <c r="AB2" i="3"/>
  <c r="AA2" i="3"/>
  <c r="Z2" i="3"/>
  <c r="D2" i="3"/>
  <c r="C2" i="3"/>
  <c r="AO2" i="3" s="1"/>
  <c r="R52" i="1"/>
  <c r="G52" i="1"/>
  <c r="Z51" i="1"/>
  <c r="Y51" i="1"/>
  <c r="X51" i="1"/>
  <c r="R51" i="1"/>
  <c r="Q51" i="1"/>
  <c r="S51" i="1" s="1"/>
  <c r="G51" i="1"/>
  <c r="Y50" i="1"/>
  <c r="Y52" i="1" s="1"/>
  <c r="X50" i="1"/>
  <c r="X52" i="1" s="1"/>
  <c r="Z52" i="1" s="1"/>
  <c r="S50" i="1"/>
  <c r="R50" i="1"/>
  <c r="Q50" i="1"/>
  <c r="Q52" i="1" s="1"/>
  <c r="S52" i="1" s="1"/>
  <c r="G50" i="1"/>
  <c r="G49" i="1"/>
  <c r="Y48" i="1"/>
  <c r="X48" i="1"/>
  <c r="Z48" i="1" s="1"/>
  <c r="S48" i="1"/>
  <c r="R48" i="1"/>
  <c r="Q48" i="1"/>
  <c r="G48" i="1"/>
  <c r="Z47" i="1"/>
  <c r="S47" i="1"/>
  <c r="G47" i="1"/>
  <c r="Z46" i="1"/>
  <c r="S46" i="1"/>
  <c r="G46" i="1"/>
  <c r="G45" i="1"/>
  <c r="F45" i="1"/>
  <c r="F46" i="1" s="1"/>
  <c r="Y44" i="1"/>
  <c r="X44" i="1"/>
  <c r="Z44" i="1" s="1"/>
  <c r="S44" i="1"/>
  <c r="R44" i="1"/>
  <c r="Q44" i="1"/>
  <c r="G44" i="1"/>
  <c r="Z43" i="1"/>
  <c r="S43" i="1"/>
  <c r="K43" i="1"/>
  <c r="J43" i="1"/>
  <c r="I43" i="1"/>
  <c r="H43" i="1"/>
  <c r="G43" i="1"/>
  <c r="Z42" i="1"/>
  <c r="S42" i="1"/>
  <c r="K42" i="1"/>
  <c r="J42" i="1"/>
  <c r="G42" i="1"/>
  <c r="K41" i="1"/>
  <c r="J41" i="1"/>
  <c r="G41" i="1"/>
  <c r="K40" i="1"/>
  <c r="J40" i="1"/>
  <c r="G40" i="1"/>
  <c r="S39" i="1"/>
  <c r="R39" i="1"/>
  <c r="Q39" i="1"/>
  <c r="P39" i="1"/>
  <c r="K39" i="1"/>
  <c r="J39" i="1"/>
  <c r="G39" i="1"/>
  <c r="K38" i="1"/>
  <c r="J38" i="1"/>
  <c r="J21" i="1" s="1"/>
  <c r="L21" i="1" s="1"/>
  <c r="G38" i="1"/>
  <c r="S37" i="1"/>
  <c r="R37" i="1"/>
  <c r="K37" i="1"/>
  <c r="J37" i="1"/>
  <c r="G37" i="1"/>
  <c r="S36" i="1"/>
  <c r="R36" i="1"/>
  <c r="K36" i="1"/>
  <c r="J36" i="1"/>
  <c r="G36" i="1"/>
  <c r="S35" i="1"/>
  <c r="R35" i="1"/>
  <c r="K35" i="1"/>
  <c r="J35" i="1"/>
  <c r="G35" i="1"/>
  <c r="G21" i="1" s="1"/>
  <c r="G17" i="1" s="1"/>
  <c r="E13" i="1" s="1"/>
  <c r="S34" i="1"/>
  <c r="R34" i="1"/>
  <c r="K34" i="1"/>
  <c r="J34" i="1"/>
  <c r="G34" i="1"/>
  <c r="S33" i="1"/>
  <c r="R33" i="1"/>
  <c r="K33" i="1"/>
  <c r="J33" i="1"/>
  <c r="G33" i="1"/>
  <c r="G23" i="1" s="1"/>
  <c r="S32" i="1"/>
  <c r="R32" i="1"/>
  <c r="K32" i="1"/>
  <c r="J32" i="1"/>
  <c r="G32" i="1"/>
  <c r="S31" i="1"/>
  <c r="R31" i="1"/>
  <c r="K31" i="1"/>
  <c r="J31" i="1"/>
  <c r="G31" i="1"/>
  <c r="K30" i="1"/>
  <c r="J30" i="1"/>
  <c r="G30" i="1"/>
  <c r="K29" i="1"/>
  <c r="K22" i="1" s="1"/>
  <c r="J29" i="1"/>
  <c r="AB28" i="1"/>
  <c r="AA28" i="1"/>
  <c r="Z28" i="1"/>
  <c r="W28" i="1"/>
  <c r="V28" i="1"/>
  <c r="U28" i="1"/>
  <c r="R28" i="1"/>
  <c r="Q28" i="1"/>
  <c r="P28" i="1"/>
  <c r="K28" i="1"/>
  <c r="J28" i="1"/>
  <c r="AB27" i="1"/>
  <c r="AA27" i="1"/>
  <c r="Z27" i="1"/>
  <c r="W27" i="1"/>
  <c r="V27" i="1"/>
  <c r="U27" i="1"/>
  <c r="Q27" i="1"/>
  <c r="P27" i="1"/>
  <c r="R27" i="1" s="1"/>
  <c r="K27" i="1"/>
  <c r="J27" i="1"/>
  <c r="E27" i="1"/>
  <c r="F3" i="1" s="1"/>
  <c r="D27" i="1"/>
  <c r="AB26" i="1"/>
  <c r="W26" i="1"/>
  <c r="R26" i="1"/>
  <c r="AB25" i="1"/>
  <c r="W25" i="1"/>
  <c r="R25" i="1"/>
  <c r="AB24" i="1"/>
  <c r="W24" i="1"/>
  <c r="R24" i="1"/>
  <c r="K24" i="1"/>
  <c r="J24" i="1"/>
  <c r="L24" i="1" s="1"/>
  <c r="I24" i="1"/>
  <c r="H24" i="1"/>
  <c r="G24" i="1"/>
  <c r="F24" i="1"/>
  <c r="E24" i="1"/>
  <c r="D24" i="1"/>
  <c r="AB23" i="1"/>
  <c r="W23" i="1"/>
  <c r="R23" i="1"/>
  <c r="K23" i="1"/>
  <c r="J23" i="1"/>
  <c r="L23" i="1" s="1"/>
  <c r="I23" i="1"/>
  <c r="H23" i="1"/>
  <c r="F23" i="1"/>
  <c r="E23" i="1"/>
  <c r="D23" i="1"/>
  <c r="AB22" i="1"/>
  <c r="W22" i="1"/>
  <c r="R22" i="1"/>
  <c r="I22" i="1"/>
  <c r="H22" i="1"/>
  <c r="G22" i="1"/>
  <c r="F22" i="1"/>
  <c r="E22" i="1"/>
  <c r="D22" i="1"/>
  <c r="AB21" i="1"/>
  <c r="W21" i="1"/>
  <c r="R21" i="1"/>
  <c r="K21" i="1"/>
  <c r="I21" i="1"/>
  <c r="H21" i="1"/>
  <c r="F21" i="1"/>
  <c r="E21" i="1"/>
  <c r="D21" i="1"/>
  <c r="E18" i="1"/>
  <c r="Q15" i="1"/>
  <c r="H14" i="1"/>
  <c r="F14" i="1"/>
  <c r="S13" i="1" s="1"/>
  <c r="E14" i="1"/>
  <c r="D14" i="1"/>
  <c r="O13" i="1"/>
  <c r="D13" i="1"/>
  <c r="D12" i="1" s="1"/>
  <c r="R9" i="1"/>
  <c r="Q9" i="1"/>
  <c r="P9" i="1"/>
  <c r="M9" i="1"/>
  <c r="H9" i="1"/>
  <c r="G9" i="1"/>
  <c r="D9" i="1"/>
  <c r="C9" i="1"/>
  <c r="B9" i="1"/>
  <c r="U5" i="1"/>
  <c r="T5" i="1"/>
  <c r="S5" i="1"/>
  <c r="R5" i="1"/>
  <c r="Q5" i="1"/>
  <c r="P5" i="1"/>
  <c r="O5" i="1"/>
  <c r="N5" i="1"/>
  <c r="M5" i="1"/>
  <c r="J5" i="1"/>
  <c r="I5" i="1"/>
  <c r="H5" i="1"/>
  <c r="E5" i="1"/>
  <c r="V4" i="1"/>
  <c r="G4" i="1"/>
  <c r="F4" i="1"/>
  <c r="E4" i="1"/>
  <c r="V3" i="1"/>
  <c r="V5" i="1" s="1"/>
  <c r="K3" i="1"/>
  <c r="K5" i="1" s="1"/>
  <c r="G3" i="1"/>
  <c r="E3" i="1"/>
  <c r="E9" i="1" s="1"/>
  <c r="D3" i="1"/>
  <c r="C3" i="1"/>
  <c r="C5" i="1" s="1"/>
  <c r="AL5" i="3" l="1"/>
  <c r="D10" i="3"/>
  <c r="D14" i="3" s="1"/>
  <c r="AO4" i="3"/>
  <c r="AM5" i="3"/>
  <c r="AM6" i="3"/>
  <c r="AL4" i="3"/>
  <c r="AM2" i="3"/>
  <c r="AL2" i="3"/>
  <c r="AL6" i="3"/>
  <c r="C10" i="3"/>
  <c r="AL3" i="3"/>
  <c r="AM3" i="3"/>
  <c r="L9" i="1"/>
  <c r="E12" i="1"/>
  <c r="F13" i="1"/>
  <c r="J9" i="1"/>
  <c r="F5" i="1"/>
  <c r="I9" i="1"/>
  <c r="S15" i="1"/>
  <c r="T13" i="1" s="1"/>
  <c r="O9" i="1" s="1"/>
  <c r="D4" i="1"/>
  <c r="D5" i="1" s="1"/>
  <c r="Z50" i="1"/>
  <c r="G5" i="1"/>
  <c r="K9" i="1"/>
  <c r="G14" i="1"/>
  <c r="J22" i="1"/>
  <c r="L22" i="1" s="1"/>
  <c r="F9" i="1"/>
  <c r="N9" i="1"/>
  <c r="R15" i="1"/>
  <c r="AL10" i="3" l="1"/>
  <c r="AO10" i="3"/>
  <c r="AM10" i="3"/>
  <c r="F12" i="1"/>
  <c r="H13" i="1"/>
  <c r="G13" i="1"/>
  <c r="H12" i="1" l="1"/>
  <c r="G12" i="1"/>
</calcChain>
</file>

<file path=xl/sharedStrings.xml><?xml version="1.0" encoding="utf-8"?>
<sst xmlns="http://schemas.openxmlformats.org/spreadsheetml/2006/main" count="482" uniqueCount="193">
  <si>
    <t>MARKET</t>
  </si>
  <si>
    <t>INCOME</t>
  </si>
  <si>
    <t>BALANCESHEET</t>
  </si>
  <si>
    <t>CASHFLOW</t>
  </si>
  <si>
    <t>Company</t>
  </si>
  <si>
    <t>Price</t>
  </si>
  <si>
    <t>Marketcap</t>
  </si>
  <si>
    <t>Trail_Sales</t>
  </si>
  <si>
    <t>Trail_Profit</t>
  </si>
  <si>
    <t>Trail_EPS</t>
  </si>
  <si>
    <t>FV</t>
  </si>
  <si>
    <t>Equity</t>
  </si>
  <si>
    <t>TOTAL EQ</t>
  </si>
  <si>
    <t>DEBT</t>
  </si>
  <si>
    <t>LEASE</t>
  </si>
  <si>
    <t>CUR.ASSETS</t>
  </si>
  <si>
    <t>CUR.LIABILITIES</t>
  </si>
  <si>
    <t>ASSETS</t>
  </si>
  <si>
    <t>LIABILITIES</t>
  </si>
  <si>
    <t>TRADE REC</t>
  </si>
  <si>
    <t>PPE</t>
  </si>
  <si>
    <t>CFO</t>
  </si>
  <si>
    <t>CFI</t>
  </si>
  <si>
    <t>CFF</t>
  </si>
  <si>
    <t>TOTAL</t>
  </si>
  <si>
    <t>BAJAJ-AUTO</t>
  </si>
  <si>
    <t>Prev_Year_24</t>
  </si>
  <si>
    <t>Growth</t>
  </si>
  <si>
    <t>GROWTH</t>
  </si>
  <si>
    <t>LIQUIDITY</t>
  </si>
  <si>
    <t>SOLVENCY</t>
  </si>
  <si>
    <t>PROFITABILITY</t>
  </si>
  <si>
    <t>VALUATIONS</t>
  </si>
  <si>
    <t>SALES GROWTH</t>
  </si>
  <si>
    <t>P-MARGIN</t>
  </si>
  <si>
    <t>CUR.RATIO</t>
  </si>
  <si>
    <t>TRD.RC.DAY</t>
  </si>
  <si>
    <t>DEBT2EQUITY</t>
  </si>
  <si>
    <t>DEBTRATIO</t>
  </si>
  <si>
    <t>ICR</t>
  </si>
  <si>
    <t>ROE</t>
  </si>
  <si>
    <t>ROA</t>
  </si>
  <si>
    <t>TRAIL_PE</t>
  </si>
  <si>
    <t>YIELD</t>
  </si>
  <si>
    <t>BOOKVALUE</t>
  </si>
  <si>
    <t>PBV</t>
  </si>
  <si>
    <t>PEG</t>
  </si>
  <si>
    <t>OCFR</t>
  </si>
  <si>
    <t>CFD</t>
  </si>
  <si>
    <t>FCF (INC R)</t>
  </si>
  <si>
    <t>ESTIMATE</t>
  </si>
  <si>
    <t>Year</t>
  </si>
  <si>
    <t>Sales</t>
  </si>
  <si>
    <t>Profit</t>
  </si>
  <si>
    <t>EPS</t>
  </si>
  <si>
    <t>FAIRVALUE</t>
  </si>
  <si>
    <t>Dividend/Y</t>
  </si>
  <si>
    <t>FY_2035</t>
  </si>
  <si>
    <t>TRAIL EPS</t>
  </si>
  <si>
    <t>Q3</t>
  </si>
  <si>
    <t>Q4</t>
  </si>
  <si>
    <t>Q1</t>
  </si>
  <si>
    <t>Q2</t>
  </si>
  <si>
    <t>T_EPS_25</t>
  </si>
  <si>
    <t>EPS_24</t>
  </si>
  <si>
    <t>T_EPS</t>
  </si>
  <si>
    <t>F_EPS_25</t>
  </si>
  <si>
    <t>F_PEG</t>
  </si>
  <si>
    <t>FY_2030</t>
  </si>
  <si>
    <t>FY_2025</t>
  </si>
  <si>
    <t>PE_24</t>
  </si>
  <si>
    <t>T_PE</t>
  </si>
  <si>
    <t>F_PE_25</t>
  </si>
  <si>
    <t>CURANT TREND</t>
  </si>
  <si>
    <t>9M_FY_24</t>
  </si>
  <si>
    <t>FY_24</t>
  </si>
  <si>
    <t>Q1_FY_25</t>
  </si>
  <si>
    <t>H1_FY_25</t>
  </si>
  <si>
    <t>EST_FY25</t>
  </si>
  <si>
    <t>SHORTTERM</t>
  </si>
  <si>
    <t>MARGIN</t>
  </si>
  <si>
    <t>SALES</t>
  </si>
  <si>
    <t>LongTerm</t>
  </si>
  <si>
    <t>PROFIT</t>
  </si>
  <si>
    <t>CYear</t>
  </si>
  <si>
    <t>Margin</t>
  </si>
  <si>
    <t>High Price</t>
  </si>
  <si>
    <t>LowPrice</t>
  </si>
  <si>
    <t>HIGHPE</t>
  </si>
  <si>
    <t>LOWPE</t>
  </si>
  <si>
    <t>AVERAGE</t>
  </si>
  <si>
    <t>H1_FY_24</t>
  </si>
  <si>
    <t>Q2_FY_25</t>
  </si>
  <si>
    <t>Q2_FY_24</t>
  </si>
  <si>
    <t>Q1_FY_24</t>
  </si>
  <si>
    <t>15 YEARS</t>
  </si>
  <si>
    <t>10 Year</t>
  </si>
  <si>
    <t>Exp</t>
  </si>
  <si>
    <t>5 Year</t>
  </si>
  <si>
    <t>FINANCE</t>
  </si>
  <si>
    <t>CYYear</t>
  </si>
  <si>
    <t>EQUITY</t>
  </si>
  <si>
    <t>ACTUAL</t>
  </si>
  <si>
    <t>TRAIL_2025</t>
  </si>
  <si>
    <t>FY_2024</t>
  </si>
  <si>
    <t>FY_2023</t>
  </si>
  <si>
    <t>FY_2022</t>
  </si>
  <si>
    <t>MajorCost</t>
  </si>
  <si>
    <t>SHARE</t>
  </si>
  <si>
    <t>FY_2021</t>
  </si>
  <si>
    <t>Rawmaterial</t>
  </si>
  <si>
    <t>FY_2020</t>
  </si>
  <si>
    <t>Other Exp</t>
  </si>
  <si>
    <t>FY_2019</t>
  </si>
  <si>
    <t>TradedGoods</t>
  </si>
  <si>
    <t>FY_2018</t>
  </si>
  <si>
    <t>EmployeeBenefit</t>
  </si>
  <si>
    <t>AUTO MUTED</t>
  </si>
  <si>
    <t>FY_2017</t>
  </si>
  <si>
    <t>Inventory</t>
  </si>
  <si>
    <t>FY_2016</t>
  </si>
  <si>
    <t>Depreciation</t>
  </si>
  <si>
    <t>FY_2015</t>
  </si>
  <si>
    <t>Finance</t>
  </si>
  <si>
    <t>FY_2014</t>
  </si>
  <si>
    <t>FY_2013</t>
  </si>
  <si>
    <t>FY_2012</t>
  </si>
  <si>
    <t>Bonus 1:1</t>
  </si>
  <si>
    <t>FY_2011</t>
  </si>
  <si>
    <t>DOMESTIC</t>
  </si>
  <si>
    <t>SEGMENT</t>
  </si>
  <si>
    <t>FY_2010</t>
  </si>
  <si>
    <t>VOLUMES</t>
  </si>
  <si>
    <t>2WHEELER</t>
  </si>
  <si>
    <t>LISITING</t>
  </si>
  <si>
    <t>FY_2009</t>
  </si>
  <si>
    <t>CV</t>
  </si>
  <si>
    <t>FY_2008</t>
  </si>
  <si>
    <t>FY_2007</t>
  </si>
  <si>
    <t>EXPORT</t>
  </si>
  <si>
    <t>FY_2006</t>
  </si>
  <si>
    <t>FY_2005</t>
  </si>
  <si>
    <t>FY_2004</t>
  </si>
  <si>
    <t>FY_2003</t>
  </si>
  <si>
    <t>GRAND</t>
  </si>
  <si>
    <t>FY_2002</t>
  </si>
  <si>
    <t>FY_2001</t>
  </si>
  <si>
    <t>FY_2000</t>
  </si>
  <si>
    <t>WWW.PROFITFROMIT.IN</t>
  </si>
  <si>
    <t>Security Name</t>
  </si>
  <si>
    <t>BORROWING</t>
  </si>
  <si>
    <t>EICHERMOT</t>
  </si>
  <si>
    <t>HEROMOTOCO</t>
  </si>
  <si>
    <t>SCOOTER</t>
  </si>
  <si>
    <t>TVSMOTOR</t>
  </si>
  <si>
    <t>WARDINMOBI</t>
  </si>
  <si>
    <t>INDUSTRY</t>
  </si>
  <si>
    <t>ROPE</t>
  </si>
  <si>
    <t xml:space="preserve">  </t>
  </si>
  <si>
    <t>CMP</t>
  </si>
  <si>
    <t>Market Cap</t>
  </si>
  <si>
    <t>CUR ASSET</t>
  </si>
  <si>
    <t>CUR LIABILITY</t>
  </si>
  <si>
    <t>TOT. ASSET</t>
  </si>
  <si>
    <t>TOT. LIABILITY</t>
  </si>
  <si>
    <t>TOT. EQUITY</t>
  </si>
  <si>
    <t xml:space="preserve">TRADE REC. </t>
  </si>
  <si>
    <t>NPA in % (For banks only)</t>
  </si>
  <si>
    <t>TRAIL_EPS</t>
  </si>
  <si>
    <t>Companies weightage</t>
  </si>
  <si>
    <t>SALES_18</t>
  </si>
  <si>
    <t>SALES_23</t>
  </si>
  <si>
    <t>PROFIT_23</t>
  </si>
  <si>
    <t>9M_FY24_SALES</t>
  </si>
  <si>
    <t>9M_FY23_SALES</t>
  </si>
  <si>
    <t>9M_FY24_PROFIT</t>
  </si>
  <si>
    <t>9M_FY23_PROFIT</t>
  </si>
  <si>
    <t>EXPENSE</t>
  </si>
  <si>
    <t>CY_SALES GR</t>
  </si>
  <si>
    <t>CY_PRPFIT_GR</t>
  </si>
  <si>
    <t>SALES_5Y_GR</t>
  </si>
  <si>
    <t>CUR. RATIO</t>
  </si>
  <si>
    <t>TR.DAYS</t>
  </si>
  <si>
    <t>JRELTD</t>
  </si>
  <si>
    <t>2 Wheeler growth for Fy_23 was seen by 9.45%</t>
  </si>
  <si>
    <t>3 Wheeler growth for Fy_23 was seen by 58.5%</t>
  </si>
  <si>
    <t>INDUSTRIES</t>
  </si>
  <si>
    <t>CY_PROFIT_GR</t>
  </si>
  <si>
    <t>WEALTH</t>
  </si>
  <si>
    <t>PRICE_14</t>
  </si>
  <si>
    <t>CAGR %</t>
  </si>
  <si>
    <t>DVND DSTB%</t>
  </si>
  <si>
    <t>DIVIDEND Y@20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</si>
</sst>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0.0"/>
    <numFmt numFmtId="166" formatCode="#,##0.0"/>
    <numFmt numFmtId="167" formatCode="d\ mmm\ yyyy"/>
    <numFmt numFmtId="168" formatCode="dd\ mmm\ yyyy"/>
  </numFmts>
  <fonts count="25" x14ac:knownFonts="1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1"/>
      <color rgb="FFFFFFFF"/>
      <name val="Arial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Arial"/>
    </font>
    <font>
      <b/>
      <i/>
      <sz val="11"/>
      <color theme="1"/>
      <name val="Calibri"/>
    </font>
    <font>
      <i/>
      <sz val="11"/>
      <color theme="1"/>
      <name val="Arial"/>
    </font>
    <font>
      <b/>
      <sz val="10"/>
      <color rgb="FFFFFFFF"/>
      <name val="Calibri"/>
      <scheme val="minor"/>
    </font>
    <font>
      <sz val="25"/>
      <color theme="1"/>
      <name val="Calibri"/>
      <scheme val="minor"/>
    </font>
    <font>
      <sz val="11"/>
      <color rgb="FF000000"/>
      <name val="Arial"/>
    </font>
    <font>
      <b/>
      <sz val="10"/>
      <color theme="0"/>
      <name val="Calibri"/>
      <scheme val="minor"/>
    </font>
    <font>
      <sz val="10"/>
      <color theme="0"/>
      <name val="Calibri"/>
      <scheme val="minor"/>
    </font>
    <font>
      <sz val="9"/>
      <color rgb="FF000000"/>
      <name val="Arial"/>
    </font>
    <font>
      <b/>
      <i/>
      <u/>
      <sz val="10"/>
      <color theme="1"/>
      <name val="Calibri"/>
      <scheme val="minor"/>
    </font>
    <font>
      <sz val="12"/>
      <color theme="1"/>
      <name val="Calibri"/>
    </font>
    <font>
      <u/>
      <sz val="33"/>
      <color rgb="FFFFFFFF"/>
      <name val="Arial"/>
    </font>
    <font>
      <sz val="11"/>
      <color rgb="FF000000"/>
      <name val="Calibri"/>
    </font>
    <font>
      <sz val="10"/>
      <color rgb="FFFFFFFF"/>
      <name val="Calibri"/>
      <scheme val="minor"/>
    </font>
    <font>
      <b/>
      <sz val="10"/>
      <color rgb="FFFFFFFF"/>
      <name val="Arial"/>
    </font>
    <font>
      <b/>
      <sz val="10"/>
      <color theme="1"/>
      <name val="Calibri"/>
      <scheme val="minor"/>
    </font>
    <font>
      <b/>
      <i/>
      <sz val="10"/>
      <color theme="1"/>
      <name val="Calibri"/>
      <scheme val="minor"/>
    </font>
    <font>
      <b/>
      <i/>
      <sz val="10"/>
      <color theme="1"/>
      <name val="Arial"/>
    </font>
    <font>
      <sz val="11"/>
      <color rgb="FFFFFF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0124D"/>
        <bgColor rgb="FF20124D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073763"/>
        <bgColor rgb="FF073763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4C1130"/>
        <bgColor rgb="FF4C113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0" xfId="0" applyFont="1" applyFill="1"/>
    <xf numFmtId="0" fontId="3" fillId="3" borderId="1" xfId="0" applyFont="1" applyFill="1" applyBorder="1"/>
    <xf numFmtId="0" fontId="3" fillId="2" borderId="0" xfId="0" applyFont="1" applyFill="1"/>
    <xf numFmtId="0" fontId="4" fillId="0" borderId="2" xfId="0" applyFont="1" applyBorder="1"/>
    <xf numFmtId="0" fontId="2" fillId="0" borderId="0" xfId="0" applyFont="1"/>
    <xf numFmtId="1" fontId="5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4" xfId="0" applyFont="1" applyFill="1" applyBorder="1" applyAlignment="1">
      <alignment horizontal="center"/>
    </xf>
    <xf numFmtId="0" fontId="7" fillId="4" borderId="1" xfId="0" applyFont="1" applyFill="1" applyBorder="1"/>
    <xf numFmtId="9" fontId="7" fillId="4" borderId="1" xfId="0" applyNumberFormat="1" applyFont="1" applyFill="1" applyBorder="1"/>
    <xf numFmtId="9" fontId="7" fillId="4" borderId="3" xfId="0" applyNumberFormat="1" applyFont="1" applyFill="1" applyBorder="1" applyAlignment="1">
      <alignment horizontal="center"/>
    </xf>
    <xf numFmtId="9" fontId="2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3" fillId="3" borderId="0" xfId="0" applyFont="1" applyFill="1"/>
    <xf numFmtId="0" fontId="3" fillId="3" borderId="2" xfId="0" applyFont="1" applyFill="1" applyBorder="1"/>
    <xf numFmtId="9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164" fontId="3" fillId="3" borderId="1" xfId="0" applyNumberFormat="1" applyFont="1" applyFill="1" applyBorder="1"/>
    <xf numFmtId="9" fontId="6" fillId="5" borderId="1" xfId="0" applyNumberFormat="1" applyFont="1" applyFill="1" applyBorder="1" applyAlignment="1">
      <alignment horizontal="right"/>
    </xf>
    <xf numFmtId="165" fontId="6" fillId="5" borderId="1" xfId="0" applyNumberFormat="1" applyFont="1" applyFill="1" applyBorder="1" applyAlignment="1">
      <alignment horizontal="right"/>
    </xf>
    <xf numFmtId="3" fontId="6" fillId="5" borderId="1" xfId="0" applyNumberFormat="1" applyFont="1" applyFill="1" applyBorder="1" applyAlignment="1">
      <alignment horizontal="right"/>
    </xf>
    <xf numFmtId="1" fontId="6" fillId="5" borderId="1" xfId="0" applyNumberFormat="1" applyFont="1" applyFill="1" applyBorder="1" applyAlignment="1">
      <alignment horizontal="right"/>
    </xf>
    <xf numFmtId="164" fontId="6" fillId="5" borderId="1" xfId="0" applyNumberFormat="1" applyFont="1" applyFill="1" applyBorder="1" applyAlignment="1">
      <alignment horizontal="right"/>
    </xf>
    <xf numFmtId="165" fontId="8" fillId="5" borderId="4" xfId="0" applyNumberFormat="1" applyFont="1" applyFill="1" applyBorder="1" applyAlignment="1">
      <alignment horizontal="right"/>
    </xf>
    <xf numFmtId="3" fontId="8" fillId="5" borderId="4" xfId="0" applyNumberFormat="1" applyFont="1" applyFill="1" applyBorder="1" applyAlignment="1">
      <alignment horizontal="right"/>
    </xf>
    <xf numFmtId="0" fontId="2" fillId="0" borderId="5" xfId="0" applyFont="1" applyBorder="1"/>
    <xf numFmtId="0" fontId="9" fillId="6" borderId="1" xfId="0" applyFont="1" applyFill="1" applyBorder="1"/>
    <xf numFmtId="0" fontId="6" fillId="0" borderId="1" xfId="0" applyFont="1" applyBorder="1" applyAlignment="1">
      <alignment horizontal="left"/>
    </xf>
    <xf numFmtId="1" fontId="6" fillId="7" borderId="1" xfId="0" applyNumberFormat="1" applyFont="1" applyFill="1" applyBorder="1"/>
    <xf numFmtId="1" fontId="2" fillId="7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6" fillId="0" borderId="1" xfId="0" applyFont="1" applyBorder="1"/>
    <xf numFmtId="1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10" fillId="5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9" fontId="2" fillId="0" borderId="1" xfId="0" applyNumberFormat="1" applyFont="1" applyBorder="1"/>
    <xf numFmtId="165" fontId="2" fillId="0" borderId="0" xfId="0" applyNumberFormat="1" applyFont="1"/>
    <xf numFmtId="9" fontId="6" fillId="0" borderId="1" xfId="0" applyNumberFormat="1" applyFont="1" applyBorder="1"/>
    <xf numFmtId="164" fontId="2" fillId="0" borderId="1" xfId="0" applyNumberFormat="1" applyFont="1" applyBorder="1"/>
    <xf numFmtId="164" fontId="6" fillId="0" borderId="1" xfId="0" applyNumberFormat="1" applyFont="1" applyBorder="1"/>
    <xf numFmtId="3" fontId="6" fillId="0" borderId="1" xfId="0" applyNumberFormat="1" applyFont="1" applyBorder="1"/>
    <xf numFmtId="165" fontId="6" fillId="0" borderId="1" xfId="0" applyNumberFormat="1" applyFont="1" applyBorder="1"/>
    <xf numFmtId="10" fontId="2" fillId="0" borderId="1" xfId="0" applyNumberFormat="1" applyFont="1" applyBorder="1"/>
    <xf numFmtId="1" fontId="2" fillId="0" borderId="1" xfId="0" applyNumberFormat="1" applyFont="1" applyBorder="1"/>
    <xf numFmtId="0" fontId="9" fillId="6" borderId="1" xfId="0" applyFont="1" applyFill="1" applyBorder="1" applyAlignment="1">
      <alignment horizontal="left"/>
    </xf>
    <xf numFmtId="165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" fontId="6" fillId="0" borderId="1" xfId="0" applyNumberFormat="1" applyFont="1" applyBorder="1"/>
    <xf numFmtId="3" fontId="2" fillId="0" borderId="1" xfId="0" applyNumberFormat="1" applyFont="1" applyBorder="1"/>
    <xf numFmtId="1" fontId="11" fillId="0" borderId="1" xfId="0" applyNumberFormat="1" applyFont="1" applyBorder="1"/>
    <xf numFmtId="0" fontId="11" fillId="0" borderId="1" xfId="0" applyFont="1" applyBorder="1"/>
    <xf numFmtId="0" fontId="12" fillId="6" borderId="1" xfId="0" applyFont="1" applyFill="1" applyBorder="1"/>
    <xf numFmtId="0" fontId="13" fillId="6" borderId="1" xfId="0" applyFont="1" applyFill="1" applyBorder="1"/>
    <xf numFmtId="3" fontId="14" fillId="2" borderId="1" xfId="0" applyNumberFormat="1" applyFont="1" applyFill="1" applyBorder="1" applyAlignment="1">
      <alignment horizontal="right" wrapText="1"/>
    </xf>
    <xf numFmtId="0" fontId="15" fillId="0" borderId="6" xfId="0" applyFont="1" applyBorder="1"/>
    <xf numFmtId="1" fontId="15" fillId="0" borderId="6" xfId="0" applyNumberFormat="1" applyFont="1" applyBorder="1"/>
    <xf numFmtId="9" fontId="15" fillId="0" borderId="6" xfId="0" applyNumberFormat="1" applyFont="1" applyBorder="1"/>
    <xf numFmtId="0" fontId="15" fillId="0" borderId="1" xfId="0" applyFont="1" applyBorder="1"/>
    <xf numFmtId="1" fontId="1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4" fontId="15" fillId="0" borderId="1" xfId="0" applyNumberFormat="1" applyFont="1" applyBorder="1"/>
    <xf numFmtId="1" fontId="16" fillId="8" borderId="1" xfId="0" applyNumberFormat="1" applyFont="1" applyFill="1" applyBorder="1" applyAlignment="1">
      <alignment horizontal="right"/>
    </xf>
    <xf numFmtId="0" fontId="17" fillId="6" borderId="0" xfId="0" applyFont="1" applyFill="1" applyAlignment="1">
      <alignment horizontal="center" vertical="center"/>
    </xf>
    <xf numFmtId="167" fontId="2" fillId="0" borderId="0" xfId="0" applyNumberFormat="1" applyFont="1"/>
    <xf numFmtId="168" fontId="2" fillId="0" borderId="0" xfId="0" applyNumberFormat="1" applyFont="1"/>
    <xf numFmtId="0" fontId="18" fillId="0" borderId="0" xfId="0" applyFont="1"/>
    <xf numFmtId="0" fontId="19" fillId="6" borderId="1" xfId="0" applyFont="1" applyFill="1" applyBorder="1"/>
    <xf numFmtId="0" fontId="20" fillId="9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18" fillId="0" borderId="1" xfId="0" applyFont="1" applyBorder="1"/>
    <xf numFmtId="1" fontId="4" fillId="0" borderId="1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/>
    <xf numFmtId="2" fontId="2" fillId="0" borderId="1" xfId="0" applyNumberFormat="1" applyFont="1" applyBorder="1"/>
    <xf numFmtId="0" fontId="21" fillId="0" borderId="1" xfId="0" applyFont="1" applyBorder="1"/>
    <xf numFmtId="0" fontId="2" fillId="0" borderId="7" xfId="0" applyFont="1" applyBorder="1"/>
    <xf numFmtId="0" fontId="22" fillId="7" borderId="1" xfId="0" applyFont="1" applyFill="1" applyBorder="1"/>
    <xf numFmtId="10" fontId="22" fillId="7" borderId="1" xfId="0" applyNumberFormat="1" applyFont="1" applyFill="1" applyBorder="1"/>
    <xf numFmtId="164" fontId="22" fillId="7" borderId="1" xfId="0" applyNumberFormat="1" applyFont="1" applyFill="1" applyBorder="1"/>
    <xf numFmtId="1" fontId="22" fillId="7" borderId="1" xfId="0" applyNumberFormat="1" applyFont="1" applyFill="1" applyBorder="1"/>
    <xf numFmtId="165" fontId="22" fillId="7" borderId="1" xfId="0" applyNumberFormat="1" applyFont="1" applyFill="1" applyBorder="1"/>
    <xf numFmtId="2" fontId="22" fillId="7" borderId="1" xfId="0" applyNumberFormat="1" applyFont="1" applyFill="1" applyBorder="1"/>
    <xf numFmtId="9" fontId="22" fillId="7" borderId="1" xfId="0" applyNumberFormat="1" applyFont="1" applyFill="1" applyBorder="1"/>
    <xf numFmtId="0" fontId="20" fillId="6" borderId="1" xfId="0" applyFont="1" applyFill="1" applyBorder="1"/>
    <xf numFmtId="1" fontId="4" fillId="0" borderId="3" xfId="0" applyNumberFormat="1" applyFont="1" applyBorder="1" applyAlignment="1">
      <alignment horizontal="right"/>
    </xf>
    <xf numFmtId="1" fontId="23" fillId="7" borderId="3" xfId="0" applyNumberFormat="1" applyFont="1" applyFill="1" applyBorder="1" applyAlignment="1">
      <alignment horizontal="right"/>
    </xf>
    <xf numFmtId="0" fontId="19" fillId="6" borderId="0" xfId="0" applyFont="1" applyFill="1"/>
    <xf numFmtId="0" fontId="3" fillId="6" borderId="1" xfId="0" applyFont="1" applyFill="1" applyBorder="1"/>
    <xf numFmtId="0" fontId="20" fillId="6" borderId="7" xfId="0" applyFont="1" applyFill="1" applyBorder="1"/>
    <xf numFmtId="0" fontId="5" fillId="0" borderId="3" xfId="0" applyFont="1" applyBorder="1"/>
    <xf numFmtId="1" fontId="4" fillId="0" borderId="4" xfId="0" applyNumberFormat="1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23" fillId="7" borderId="3" xfId="0" applyFont="1" applyFill="1" applyBorder="1"/>
    <xf numFmtId="1" fontId="23" fillId="7" borderId="4" xfId="0" applyNumberFormat="1" applyFont="1" applyFill="1" applyBorder="1" applyAlignment="1">
      <alignment horizontal="right"/>
    </xf>
    <xf numFmtId="164" fontId="23" fillId="7" borderId="3" xfId="0" applyNumberFormat="1" applyFont="1" applyFill="1" applyBorder="1"/>
    <xf numFmtId="0" fontId="3" fillId="6" borderId="0" xfId="0" applyFont="1" applyFill="1"/>
    <xf numFmtId="10" fontId="23" fillId="7" borderId="3" xfId="0" applyNumberFormat="1" applyFont="1" applyFill="1" applyBorder="1"/>
    <xf numFmtId="165" fontId="23" fillId="7" borderId="3" xfId="0" applyNumberFormat="1" applyFont="1" applyFill="1" applyBorder="1"/>
    <xf numFmtId="2" fontId="2" fillId="0" borderId="0" xfId="0" applyNumberFormat="1" applyFont="1"/>
    <xf numFmtId="2" fontId="23" fillId="7" borderId="3" xfId="0" applyNumberFormat="1" applyFont="1" applyFill="1" applyBorder="1"/>
    <xf numFmtId="166" fontId="23" fillId="7" borderId="3" xfId="0" applyNumberFormat="1" applyFont="1" applyFill="1" applyBorder="1"/>
    <xf numFmtId="3" fontId="23" fillId="7" borderId="3" xfId="0" applyNumberFormat="1" applyFont="1" applyFill="1" applyBorder="1"/>
    <xf numFmtId="0" fontId="24" fillId="6" borderId="0" xfId="0" applyFont="1" applyFill="1"/>
    <xf numFmtId="1" fontId="24" fillId="6" borderId="0" xfId="0" applyNumberFormat="1" applyFont="1" applyFill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Copy of 23 Wheelers-style" pivot="0" count="3" xr9:uid="{F6CB4B30-2F5B-4F3F-A5B5-1AACF9C5094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'2_3 Wheelers'!$C$33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EB5D-4047-AF45-DD86D66EA0F6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EB5D-4047-AF45-DD86D66EA0F6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EB5D-4047-AF45-DD86D66EA0F6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EB5D-4047-AF45-DD86D66EA0F6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EB5D-4047-AF45-DD86D66EA0F6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EB5D-4047-AF45-DD86D66EA0F6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EB5D-4047-AF45-DD86D66EA0F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'2_3 Wheelers'!$B$34:$B$40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Wheelers'!$C$34:$C$40</c:f>
              <c:numCache>
                <c:formatCode>0</c:formatCode>
                <c:ptCount val="7"/>
                <c:pt idx="0">
                  <c:v>220388.89143600001</c:v>
                </c:pt>
                <c:pt idx="1">
                  <c:v>105333.65965</c:v>
                </c:pt>
                <c:pt idx="2">
                  <c:v>96986.653709699996</c:v>
                </c:pt>
                <c:pt idx="3">
                  <c:v>98104.373355000003</c:v>
                </c:pt>
                <c:pt idx="4">
                  <c:v>1967.752</c:v>
                </c:pt>
                <c:pt idx="5">
                  <c:v>677.84354970000004</c:v>
                </c:pt>
                <c:pt idx="6">
                  <c:v>304.88271320000001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5D-4047-AF45-DD86D66E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'2_3 Wheelers'!$G$33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77D0-4167-8EE0-5C9F81783BB8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77D0-4167-8EE0-5C9F81783BB8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77D0-4167-8EE0-5C9F81783BB8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77D0-4167-8EE0-5C9F81783BB8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77D0-4167-8EE0-5C9F81783BB8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77D0-4167-8EE0-5C9F81783BB8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77D0-4167-8EE0-5C9F81783BB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'2_3 Wheelers'!$F$34:$F$40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Wheelers'!$G$34:$G$40</c:f>
              <c:numCache>
                <c:formatCode>General</c:formatCode>
                <c:ptCount val="7"/>
                <c:pt idx="0">
                  <c:v>36455</c:v>
                </c:pt>
                <c:pt idx="1">
                  <c:v>14442</c:v>
                </c:pt>
                <c:pt idx="2">
                  <c:v>31974</c:v>
                </c:pt>
                <c:pt idx="3">
                  <c:v>34158</c:v>
                </c:pt>
                <c:pt idx="4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D0-4167-8EE0-5C9F81783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Wheelers'!$K$33</c:f>
              <c:strCache>
                <c:ptCount val="1"/>
                <c:pt idx="0">
                  <c:v>PROFIT_23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DC-4B2B-9021-14254953F9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Wheelers'!$J$34:$J$40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Wheelers'!$K$34:$K$40</c:f>
              <c:numCache>
                <c:formatCode>General</c:formatCode>
                <c:ptCount val="7"/>
                <c:pt idx="0">
                  <c:v>6060</c:v>
                </c:pt>
                <c:pt idx="1">
                  <c:v>2914</c:v>
                </c:pt>
                <c:pt idx="2">
                  <c:v>1309</c:v>
                </c:pt>
                <c:pt idx="3">
                  <c:v>2800</c:v>
                </c:pt>
                <c:pt idx="4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4DC-4B2B-9021-14254953F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519293"/>
        <c:axId val="542053317"/>
      </c:barChart>
      <c:catAx>
        <c:axId val="19965192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42053317"/>
        <c:crosses val="autoZero"/>
        <c:auto val="1"/>
        <c:lblAlgn val="ctr"/>
        <c:lblOffset val="100"/>
        <c:noMultiLvlLbl val="1"/>
      </c:catAx>
      <c:valAx>
        <c:axId val="5420533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651929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Wheelers'!$O$33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A6C-4CA9-9C95-CD49916472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Wheelers'!$N$34:$N$40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Wheelers'!$O$34:$O$40</c:f>
              <c:numCache>
                <c:formatCode>0.0%</c:formatCode>
                <c:ptCount val="7"/>
                <c:pt idx="0">
                  <c:v>7.3566760477506543E-2</c:v>
                </c:pt>
                <c:pt idx="1">
                  <c:v>9.392791569847514E-2</c:v>
                </c:pt>
                <c:pt idx="2">
                  <c:v>0.1393187683129764</c:v>
                </c:pt>
                <c:pt idx="3">
                  <c:v>6.3064677129949231E-3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A6C-4CA9-9C95-CD4991647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026501"/>
        <c:axId val="274217094"/>
      </c:barChart>
      <c:catAx>
        <c:axId val="320026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4217094"/>
        <c:crosses val="autoZero"/>
        <c:auto val="1"/>
        <c:lblAlgn val="ctr"/>
        <c:lblOffset val="100"/>
        <c:noMultiLvlLbl val="1"/>
      </c:catAx>
      <c:valAx>
        <c:axId val="2742170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00265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and CY_PROFIT_GR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Wheelers'!$S$33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307-4CCA-A8CA-4F5A7ADF3801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307-4CCA-A8CA-4F5A7ADF3801}"/>
              </c:ext>
            </c:extLst>
          </c:dPt>
          <c:cat>
            <c:strRef>
              <c:f>'2_3 Wheelers'!$R$34:$R$40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Wheelers'!$S$34:$S$40</c:f>
              <c:numCache>
                <c:formatCode>0.0%</c:formatCode>
                <c:ptCount val="7"/>
                <c:pt idx="0">
                  <c:v>0.21705948372615036</c:v>
                </c:pt>
                <c:pt idx="1">
                  <c:v>8.1983104833125653E-2</c:v>
                </c:pt>
                <c:pt idx="2">
                  <c:v>0.21552084203491773</c:v>
                </c:pt>
                <c:pt idx="3">
                  <c:v>7.9313071969268956E-2</c:v>
                </c:pt>
                <c:pt idx="4">
                  <c:v>4.1841004184099972E-3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307-4CCA-A8CA-4F5A7ADF3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883718"/>
        <c:axId val="1910196379"/>
      </c:barChart>
      <c:lineChart>
        <c:grouping val="standard"/>
        <c:varyColors val="0"/>
        <c:ser>
          <c:idx val="1"/>
          <c:order val="1"/>
          <c:tx>
            <c:strRef>
              <c:f>'2_3 Wheelers'!$T$33</c:f>
              <c:strCache>
                <c:ptCount val="1"/>
                <c:pt idx="0">
                  <c:v>CY_PROFIT_GR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'2_3 Wheelers'!$R$34:$R$40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Wheelers'!$T$34:$T$40</c:f>
              <c:numCache>
                <c:formatCode>0.0%</c:formatCode>
                <c:ptCount val="7"/>
                <c:pt idx="0">
                  <c:v>0.30792192881745128</c:v>
                </c:pt>
                <c:pt idx="1">
                  <c:v>0.2288949897048731</c:v>
                </c:pt>
                <c:pt idx="2">
                  <c:v>0.30947580645161299</c:v>
                </c:pt>
                <c:pt idx="3">
                  <c:v>0.43651925820256765</c:v>
                </c:pt>
                <c:pt idx="4">
                  <c:v>0.22222222222222232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07-4CCA-A8CA-4F5A7ADF3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883718"/>
        <c:axId val="1910196379"/>
      </c:lineChart>
      <c:catAx>
        <c:axId val="8028837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10196379"/>
        <c:crosses val="autoZero"/>
        <c:auto val="1"/>
        <c:lblAlgn val="ctr"/>
        <c:lblOffset val="100"/>
        <c:noMultiLvlLbl val="1"/>
      </c:catAx>
      <c:valAx>
        <c:axId val="19101963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28837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A08-4D74-B524-669888BC8445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A08-4D74-B524-669888BC8445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A08-4D74-B524-669888BC84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Wheelers'!$B$57:$B$64</c:f>
              <c:strCache>
                <c:ptCount val="8"/>
                <c:pt idx="0">
                  <c:v>Security Name</c:v>
                </c:pt>
                <c:pt idx="1">
                  <c:v>BAJAJ-AUTO</c:v>
                </c:pt>
                <c:pt idx="2">
                  <c:v>EICHERMOT</c:v>
                </c:pt>
                <c:pt idx="3">
                  <c:v>TVSMOTOR</c:v>
                </c:pt>
                <c:pt idx="4">
                  <c:v>HEROMOTOCO</c:v>
                </c:pt>
                <c:pt idx="5">
                  <c:v>WARDINMOBI</c:v>
                </c:pt>
                <c:pt idx="6">
                  <c:v>SCOOTER</c:v>
                </c:pt>
                <c:pt idx="7">
                  <c:v>JRELTD</c:v>
                </c:pt>
              </c:strCache>
            </c:strRef>
          </c:cat>
          <c:val>
            <c:numRef>
              <c:f>'2_3 Wheelers'!$C$57:$C$64</c:f>
              <c:numCache>
                <c:formatCode>0.0%</c:formatCode>
                <c:ptCount val="8"/>
                <c:pt idx="0" formatCode="General">
                  <c:v>0</c:v>
                </c:pt>
                <c:pt idx="1">
                  <c:v>0.21309390198279088</c:v>
                </c:pt>
                <c:pt idx="2">
                  <c:v>0.24795734662789087</c:v>
                </c:pt>
                <c:pt idx="3">
                  <c:v>5.4256118954139169E-2</c:v>
                </c:pt>
                <c:pt idx="4">
                  <c:v>0.11377245508982035</c:v>
                </c:pt>
                <c:pt idx="5">
                  <c:v>4.6025104602510462E-2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8A08-4D74-B524-669888BC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512718"/>
        <c:axId val="1529262854"/>
      </c:barChart>
      <c:catAx>
        <c:axId val="8385127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29262854"/>
        <c:crosses val="autoZero"/>
        <c:auto val="1"/>
        <c:lblAlgn val="ctr"/>
        <c:lblOffset val="100"/>
        <c:noMultiLvlLbl val="1"/>
      </c:catAx>
      <c:valAx>
        <c:axId val="15292628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85127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Wheelers'!$G$57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A22-41D0-A6AE-6B2D35905462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A22-41D0-A6AE-6B2D35905462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A22-41D0-A6AE-6B2D3590546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A22-41D0-A6AE-6B2D359054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Wheelers'!$F$58:$F$64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Wheelers'!$G$58:$G$64</c:f>
              <c:numCache>
                <c:formatCode>0.0</c:formatCode>
                <c:ptCount val="7"/>
                <c:pt idx="0">
                  <c:v>1.5740402193784278</c:v>
                </c:pt>
                <c:pt idx="1">
                  <c:v>1.1541353870888276</c:v>
                </c:pt>
                <c:pt idx="2">
                  <c:v>1.0357680587166618</c:v>
                </c:pt>
                <c:pt idx="3">
                  <c:v>1.4991841174870819</c:v>
                </c:pt>
                <c:pt idx="4">
                  <c:v>1.0220994475138121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EA22-41D0-A6AE-6B2D35905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307340"/>
        <c:axId val="921044085"/>
      </c:barChart>
      <c:catAx>
        <c:axId val="16013073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1044085"/>
        <c:crosses val="autoZero"/>
        <c:auto val="1"/>
        <c:lblAlgn val="ctr"/>
        <c:lblOffset val="100"/>
        <c:noMultiLvlLbl val="1"/>
      </c:catAx>
      <c:valAx>
        <c:axId val="9210440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013073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Wheelers'!$K$57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8CF-4423-9CF9-D42DE90E80EE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8CF-4423-9CF9-D42DE90E80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Wheelers'!$J$58:$J$64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Wheelers'!$K$58:$K$64</c:f>
              <c:numCache>
                <c:formatCode>0</c:formatCode>
                <c:ptCount val="7"/>
                <c:pt idx="0">
                  <c:v>20.915786586202167</c:v>
                </c:pt>
                <c:pt idx="1">
                  <c:v>7.2752319623320876</c:v>
                </c:pt>
                <c:pt idx="2">
                  <c:v>18.44337899543379</c:v>
                </c:pt>
                <c:pt idx="3">
                  <c:v>45.189560278704839</c:v>
                </c:pt>
                <c:pt idx="4">
                  <c:v>24.435146443514643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8CF-4423-9CF9-D42DE90E8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328700"/>
        <c:axId val="395693343"/>
      </c:barChart>
      <c:catAx>
        <c:axId val="6833287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95693343"/>
        <c:crosses val="autoZero"/>
        <c:auto val="1"/>
        <c:lblAlgn val="ctr"/>
        <c:lblOffset val="100"/>
        <c:noMultiLvlLbl val="1"/>
      </c:catAx>
      <c:valAx>
        <c:axId val="3956933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33287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Wheelers'!$C$82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05-4F60-8186-DC3409C0A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Wheelers'!$B$83:$B$89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Wheelers'!$C$83:$C$89</c:f>
              <c:numCache>
                <c:formatCode>0</c:formatCode>
                <c:ptCount val="7"/>
                <c:pt idx="0">
                  <c:v>158.05128205128204</c:v>
                </c:pt>
                <c:pt idx="1">
                  <c:v>104.17857142857143</c:v>
                </c:pt>
                <c:pt idx="2">
                  <c:v>2.3457602339181287</c:v>
                </c:pt>
                <c:pt idx="3">
                  <c:v>32.342857142857142</c:v>
                </c:pt>
                <c:pt idx="4">
                  <c:v>17.949152542372879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C05-4F60-8186-DC3409C0A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858652"/>
        <c:axId val="587231652"/>
      </c:barChart>
      <c:catAx>
        <c:axId val="11908586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87231652"/>
        <c:crosses val="autoZero"/>
        <c:auto val="1"/>
        <c:lblAlgn val="ctr"/>
        <c:lblOffset val="100"/>
        <c:noMultiLvlLbl val="1"/>
      </c:catAx>
      <c:valAx>
        <c:axId val="5872316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08586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Wheelers'!$G$82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C58-4807-B566-AD347B1D7B11}"/>
              </c:ext>
            </c:extLst>
          </c:dPt>
          <c:cat>
            <c:strRef>
              <c:f>'2_3 Wheelers'!$F$83:$F$89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Wheelers'!$G$83:$G$89</c:f>
              <c:numCache>
                <c:formatCode>0.00</c:formatCode>
                <c:ptCount val="7"/>
                <c:pt idx="0">
                  <c:v>0</c:v>
                </c:pt>
                <c:pt idx="1">
                  <c:v>1.6873465641993279E-2</c:v>
                </c:pt>
                <c:pt idx="2">
                  <c:v>3.4825196363110238</c:v>
                </c:pt>
                <c:pt idx="3">
                  <c:v>2.2418249241487807E-2</c:v>
                </c:pt>
                <c:pt idx="4">
                  <c:v>0.50549450549450547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C58-4807-B566-AD347B1D7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875816"/>
        <c:axId val="2144646116"/>
      </c:barChart>
      <c:catAx>
        <c:axId val="344875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4646116"/>
        <c:crosses val="autoZero"/>
        <c:auto val="1"/>
        <c:lblAlgn val="ctr"/>
        <c:lblOffset val="100"/>
        <c:noMultiLvlLbl val="1"/>
      </c:catAx>
      <c:valAx>
        <c:axId val="21446461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448758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Wheelers'!$K$82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229-448A-A537-F1755FD89AB0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229-448A-A537-F1755FD89AB0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229-448A-A537-F1755FD89A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Wheelers'!$J$83:$J$89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Wheelers'!$K$83:$K$89</c:f>
              <c:numCache>
                <c:formatCode>0.00</c:formatCode>
                <c:ptCount val="7"/>
                <c:pt idx="0">
                  <c:v>0.195656346834124</c:v>
                </c:pt>
                <c:pt idx="1">
                  <c:v>0.24360951448548038</c:v>
                </c:pt>
                <c:pt idx="2">
                  <c:v>0.82750550667596445</c:v>
                </c:pt>
                <c:pt idx="3">
                  <c:v>0.32351487970810688</c:v>
                </c:pt>
                <c:pt idx="4">
                  <c:v>0.67025089605734767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9229-448A-A537-F1755FD89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721077"/>
        <c:axId val="1242393434"/>
      </c:barChart>
      <c:catAx>
        <c:axId val="2143721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42393434"/>
        <c:crosses val="autoZero"/>
        <c:auto val="1"/>
        <c:lblAlgn val="ctr"/>
        <c:lblOffset val="100"/>
        <c:noMultiLvlLbl val="1"/>
      </c:catAx>
      <c:valAx>
        <c:axId val="12423934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37210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Wheelers'!$C$107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D1A-40A2-AA79-E285D2FF2B46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D1A-40A2-AA79-E285D2FF2B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Wheelers'!$B$108:$B$114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Wheelers'!$C$108:$C$114</c:f>
              <c:numCache>
                <c:formatCode>0.0%</c:formatCode>
                <c:ptCount val="7"/>
                <c:pt idx="0">
                  <c:v>0.20660734376598139</c:v>
                </c:pt>
                <c:pt idx="1">
                  <c:v>0.18291461954826241</c:v>
                </c:pt>
                <c:pt idx="2">
                  <c:v>0.18751727981044855</c:v>
                </c:pt>
                <c:pt idx="3">
                  <c:v>0.15732104730868637</c:v>
                </c:pt>
                <c:pt idx="4">
                  <c:v>9.8901098901098897E-2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D1A-40A2-AA79-E285D2FF2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462628"/>
        <c:axId val="902599882"/>
      </c:barChart>
      <c:catAx>
        <c:axId val="16434626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2599882"/>
        <c:crosses val="autoZero"/>
        <c:auto val="1"/>
        <c:lblAlgn val="ctr"/>
        <c:lblOffset val="100"/>
        <c:noMultiLvlLbl val="1"/>
      </c:catAx>
      <c:valAx>
        <c:axId val="9025998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434626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ROA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Wheelers'!$D$107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437-4FD3-96C0-CA1C66F3F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Wheelers'!$B$108:$B$114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Wheelers'!$D$108:$D$114</c:f>
              <c:numCache>
                <c:formatCode>0%</c:formatCode>
                <c:ptCount val="7"/>
                <c:pt idx="0">
                  <c:v>0.16617764005813476</c:v>
                </c:pt>
                <c:pt idx="1">
                  <c:v>0.13835487788781387</c:v>
                </c:pt>
                <c:pt idx="2">
                  <c:v>3.2345698170404752E-2</c:v>
                </c:pt>
                <c:pt idx="3">
                  <c:v>0.10641936832503515</c:v>
                </c:pt>
                <c:pt idx="4">
                  <c:v>3.2258064516129031E-2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437-4FD3-96C0-CA1C66F3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771082"/>
        <c:axId val="938314918"/>
      </c:barChart>
      <c:catAx>
        <c:axId val="14797710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8314918"/>
        <c:crosses val="autoZero"/>
        <c:auto val="1"/>
        <c:lblAlgn val="ctr"/>
        <c:lblOffset val="100"/>
        <c:noMultiLvlLbl val="1"/>
      </c:catAx>
      <c:valAx>
        <c:axId val="9383149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ROA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97710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ROPE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Wheelers'!$H$107</c:f>
              <c:strCache>
                <c:ptCount val="1"/>
                <c:pt idx="0">
                  <c:v>ROPE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A41-4944-A629-1274D8EF22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Wheelers'!$G$108:$G$114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Wheelers'!$H$108:$H$114</c:f>
              <c:numCache>
                <c:formatCode>0</c:formatCode>
                <c:ptCount val="7"/>
                <c:pt idx="0">
                  <c:v>21.48936170212766</c:v>
                </c:pt>
                <c:pt idx="1">
                  <c:v>106.42804967129292</c:v>
                </c:pt>
                <c:pt idx="2">
                  <c:v>27.5520942959377</c:v>
                </c:pt>
                <c:pt idx="3">
                  <c:v>71.794871794871796</c:v>
                </c:pt>
                <c:pt idx="4">
                  <c:v>0.34615384615384615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A41-4944-A629-1274D8EF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630829"/>
        <c:axId val="808766032"/>
      </c:barChart>
      <c:catAx>
        <c:axId val="4586308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8766032"/>
        <c:crosses val="autoZero"/>
        <c:auto val="1"/>
        <c:lblAlgn val="ctr"/>
        <c:lblOffset val="100"/>
        <c:noMultiLvlLbl val="1"/>
      </c:catAx>
      <c:valAx>
        <c:axId val="8087660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586308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Wheelers'!$C$131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Wheelers'!$B$132:$B$140</c:f>
              <c:strCache>
                <c:ptCount val="9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  <c:pt idx="8">
                  <c:v>INDUSTRY</c:v>
                </c:pt>
              </c:strCache>
            </c:strRef>
          </c:cat>
          <c:val>
            <c:numRef>
              <c:f>'2_3 Wheelers'!$C$132:$C$140</c:f>
              <c:numCache>
                <c:formatCode>0</c:formatCode>
                <c:ptCount val="9"/>
                <c:pt idx="0">
                  <c:v>29.742987082473437</c:v>
                </c:pt>
                <c:pt idx="1">
                  <c:v>29.427521812337364</c:v>
                </c:pt>
                <c:pt idx="2">
                  <c:v>59.250653499854778</c:v>
                </c:pt>
                <c:pt idx="3">
                  <c:v>30.245240002464726</c:v>
                </c:pt>
                <c:pt idx="4">
                  <c:v>-63.225225225225223</c:v>
                </c:pt>
                <c:pt idx="8" formatCode="#,##0">
                  <c:v>32.210875670155723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66E-4024-A614-ABBB911AF21C}"/>
            </c:ext>
          </c:extLst>
        </c:ser>
        <c:ser>
          <c:idx val="1"/>
          <c:order val="1"/>
          <c:tx>
            <c:strRef>
              <c:f>'2_3 Wheelers'!$D$131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Wheelers'!$B$132:$B$140</c:f>
              <c:strCache>
                <c:ptCount val="9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  <c:pt idx="8">
                  <c:v>INDUSTRY</c:v>
                </c:pt>
              </c:strCache>
            </c:strRef>
          </c:cat>
          <c:val>
            <c:numRef>
              <c:f>'2_3 Wheelers'!$D$132:$D$140</c:f>
              <c:numCache>
                <c:formatCode>0</c:formatCode>
                <c:ptCount val="9"/>
                <c:pt idx="0">
                  <c:v>7.4112014993415061</c:v>
                </c:pt>
                <c:pt idx="1">
                  <c:v>6.5969454158993024</c:v>
                </c:pt>
                <c:pt idx="2">
                  <c:v>13.790216556159473</c:v>
                </c:pt>
                <c:pt idx="3">
                  <c:v>5.3661350002803161</c:v>
                </c:pt>
                <c:pt idx="4">
                  <c:v>15.595555555555556</c:v>
                </c:pt>
                <c:pt idx="8" formatCode="#,##0">
                  <c:v>7.0091827649928886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66E-4024-A614-ABBB911AF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231387"/>
        <c:axId val="1186382670"/>
      </c:barChart>
      <c:catAx>
        <c:axId val="5472313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6382670"/>
        <c:crosses val="autoZero"/>
        <c:auto val="1"/>
        <c:lblAlgn val="ctr"/>
        <c:lblOffset val="100"/>
        <c:noMultiLvlLbl val="1"/>
      </c:catAx>
      <c:valAx>
        <c:axId val="11863826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4723138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'2_3 Wheelers'!$H$131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BCF-4E52-9BEF-5F035D3F4C56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BCF-4E52-9BEF-5F035D3F4C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'2_3 Wheelers'!$G$132:$G$138</c:f>
              <c:strCache>
                <c:ptCount val="7"/>
                <c:pt idx="0">
                  <c:v>BAJAJ-AUTO</c:v>
                </c:pt>
                <c:pt idx="1">
                  <c:v>EICHERMOT</c:v>
                </c:pt>
                <c:pt idx="2">
                  <c:v>TVSMOTOR</c:v>
                </c:pt>
                <c:pt idx="3">
                  <c:v>HEROMOTOCO</c:v>
                </c:pt>
                <c:pt idx="4">
                  <c:v>WARDINMOBI</c:v>
                </c:pt>
                <c:pt idx="5">
                  <c:v>SCOOTER</c:v>
                </c:pt>
                <c:pt idx="6">
                  <c:v>JRELTD</c:v>
                </c:pt>
              </c:strCache>
            </c:strRef>
          </c:cat>
          <c:val>
            <c:numRef>
              <c:f>'2_3 Wheelers'!$H$132:$H$138</c:f>
              <c:numCache>
                <c:formatCode>0.0%</c:formatCode>
                <c:ptCount val="7"/>
                <c:pt idx="0">
                  <c:v>3.3621370887434068E-2</c:v>
                </c:pt>
                <c:pt idx="1">
                  <c:v>3.3981794538361511E-2</c:v>
                </c:pt>
                <c:pt idx="2">
                  <c:v>1.6877450980392155E-2</c:v>
                </c:pt>
                <c:pt idx="3">
                  <c:v>3.3063053886115919E-2</c:v>
                </c:pt>
                <c:pt idx="4">
                  <c:v>-1.5816471929324595E-2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BCF-4E52-9BEF-5F035D3F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849501"/>
        <c:axId val="606148899"/>
      </c:barChart>
      <c:catAx>
        <c:axId val="1542849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6148899"/>
        <c:crosses val="autoZero"/>
        <c:auto val="1"/>
        <c:lblAlgn val="ctr"/>
        <c:lblOffset val="100"/>
        <c:noMultiLvlLbl val="1"/>
      </c:catAx>
      <c:valAx>
        <c:axId val="6061488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28495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4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3.jp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1</xdr:row>
      <xdr:rowOff>0</xdr:rowOff>
    </xdr:from>
    <xdr:ext cx="57150" cy="85725"/>
    <xdr:pic>
      <xdr:nvPicPr>
        <xdr:cNvPr id="2" name="image4.gif" descr="https://www.bseindia.com/include/images/rs.gif">
          <a:extLst>
            <a:ext uri="{FF2B5EF4-FFF2-40B4-BE49-F238E27FC236}">
              <a16:creationId xmlns:a16="http://schemas.microsoft.com/office/drawing/2014/main" id="{EC70B09C-B83F-4B94-AE55-4D6F6B34DE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7620" y="198120"/>
          <a:ext cx="57150" cy="85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53</xdr:row>
      <xdr:rowOff>-142875</xdr:rowOff>
    </xdr:from>
    <xdr:ext cx="11344275" cy="4829175"/>
    <xdr:pic>
      <xdr:nvPicPr>
        <xdr:cNvPr id="3" name="image5.png" title="Image">
          <a:extLst>
            <a:ext uri="{FF2B5EF4-FFF2-40B4-BE49-F238E27FC236}">
              <a16:creationId xmlns:a16="http://schemas.microsoft.com/office/drawing/2014/main" id="{CAE73512-EA04-4FC3-9C0F-9B3979F60A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0357485"/>
          <a:ext cx="11344275" cy="4829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42</xdr:row>
      <xdr:rowOff>38100</xdr:rowOff>
    </xdr:from>
    <xdr:ext cx="3962400" cy="24479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1EC69C7A-0FFE-4A2D-A6B8-84B8D8152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219075</xdr:colOff>
      <xdr:row>42</xdr:row>
      <xdr:rowOff>38100</xdr:rowOff>
    </xdr:from>
    <xdr:ext cx="3914775" cy="244792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231B0BF6-53A3-41F6-BEFA-EDA819C24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295275</xdr:colOff>
      <xdr:row>42</xdr:row>
      <xdr:rowOff>38100</xdr:rowOff>
    </xdr:from>
    <xdr:ext cx="3962400" cy="244792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A1BECBF-36CB-44FD-BC79-A315091DE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12</xdr:col>
      <xdr:colOff>419100</xdr:colOff>
      <xdr:row>42</xdr:row>
      <xdr:rowOff>38100</xdr:rowOff>
    </xdr:from>
    <xdr:ext cx="4010025" cy="24479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BB12A529-E6BB-4799-9E1D-7A432FF92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16</xdr:col>
      <xdr:colOff>590550</xdr:colOff>
      <xdr:row>42</xdr:row>
      <xdr:rowOff>38100</xdr:rowOff>
    </xdr:from>
    <xdr:ext cx="3962400" cy="24479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EC6AF5BD-3DE3-46B8-A85F-4F7942162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76200</xdr:colOff>
      <xdr:row>66</xdr:row>
      <xdr:rowOff>133350</xdr:rowOff>
    </xdr:from>
    <xdr:ext cx="4010025" cy="24479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83EEFD3B-C988-4A50-A069-2F848F618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247650</xdr:colOff>
      <xdr:row>66</xdr:row>
      <xdr:rowOff>133350</xdr:rowOff>
    </xdr:from>
    <xdr:ext cx="4010025" cy="24479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D193B3D5-06E4-4C72-B9B1-4663305A2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8</xdr:col>
      <xdr:colOff>419100</xdr:colOff>
      <xdr:row>66</xdr:row>
      <xdr:rowOff>133350</xdr:rowOff>
    </xdr:from>
    <xdr:ext cx="4010025" cy="24479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142D7359-A513-4BFA-9EE2-2C8112B6B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95250</xdr:colOff>
      <xdr:row>91</xdr:row>
      <xdr:rowOff>133350</xdr:rowOff>
    </xdr:from>
    <xdr:ext cx="3962400" cy="244792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33400C85-0ECF-4CF0-A245-0B9596CAD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4</xdr:col>
      <xdr:colOff>247650</xdr:colOff>
      <xdr:row>91</xdr:row>
      <xdr:rowOff>133350</xdr:rowOff>
    </xdr:from>
    <xdr:ext cx="3962400" cy="244792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8840F615-BF1F-4E0B-A6C7-254FF932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8</xdr:col>
      <xdr:colOff>371475</xdr:colOff>
      <xdr:row>91</xdr:row>
      <xdr:rowOff>133350</xdr:rowOff>
    </xdr:from>
    <xdr:ext cx="3962400" cy="244792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93762C3D-B077-4071-A321-3ED297C22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219075</xdr:colOff>
      <xdr:row>116</xdr:row>
      <xdr:rowOff>66675</xdr:rowOff>
    </xdr:from>
    <xdr:ext cx="4010025" cy="244792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F29008B2-8C87-4FE8-A891-EABF2CCC3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4</xdr:col>
      <xdr:colOff>390525</xdr:colOff>
      <xdr:row>116</xdr:row>
      <xdr:rowOff>66675</xdr:rowOff>
    </xdr:from>
    <xdr:ext cx="3962400" cy="24479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F63E84BD-CECA-4563-9FB3-0FCBB4722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8</xdr:col>
      <xdr:colOff>514350</xdr:colOff>
      <xdr:row>116</xdr:row>
      <xdr:rowOff>66675</xdr:rowOff>
    </xdr:from>
    <xdr:ext cx="3914775" cy="244792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A0CC3D7E-B7FD-4D96-A866-208F3E726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133350</xdr:colOff>
      <xdr:row>140</xdr:row>
      <xdr:rowOff>95250</xdr:rowOff>
    </xdr:from>
    <xdr:ext cx="4095750" cy="2524125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52C634A1-0D39-4EB2-8D85-5CAADC9C6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4</xdr:col>
      <xdr:colOff>390525</xdr:colOff>
      <xdr:row>140</xdr:row>
      <xdr:rowOff>95250</xdr:rowOff>
    </xdr:from>
    <xdr:ext cx="4143375" cy="2524125"/>
    <xdr:graphicFrame macro="">
      <xdr:nvGraphicFramePr>
        <xdr:cNvPr id="17" name="Chart 16" title="Chart">
          <a:extLst>
            <a:ext uri="{FF2B5EF4-FFF2-40B4-BE49-F238E27FC236}">
              <a16:creationId xmlns:a16="http://schemas.microsoft.com/office/drawing/2014/main" id="{22CAC45C-EB3A-4106-864B-276A6D0AE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9</xdr:col>
      <xdr:colOff>123825</xdr:colOff>
      <xdr:row>15</xdr:row>
      <xdr:rowOff>-133350</xdr:rowOff>
    </xdr:from>
    <xdr:ext cx="4600575" cy="3286125"/>
    <xdr:pic>
      <xdr:nvPicPr>
        <xdr:cNvPr id="18" name="image6.jpg" title="Image">
          <a:extLst>
            <a:ext uri="{FF2B5EF4-FFF2-40B4-BE49-F238E27FC236}">
              <a16:creationId xmlns:a16="http://schemas.microsoft.com/office/drawing/2014/main" id="{0DC25CB4-A602-4449-88C5-8A362031BEC3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941945" y="2838450"/>
          <a:ext cx="4600575" cy="3286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14</xdr:row>
      <xdr:rowOff>114300</xdr:rowOff>
    </xdr:from>
    <xdr:ext cx="5276850" cy="3190875"/>
    <xdr:pic>
      <xdr:nvPicPr>
        <xdr:cNvPr id="19" name="image2.jpg" title="Image">
          <a:extLst>
            <a:ext uri="{FF2B5EF4-FFF2-40B4-BE49-F238E27FC236}">
              <a16:creationId xmlns:a16="http://schemas.microsoft.com/office/drawing/2014/main" id="{8E355A0A-62E0-4618-B967-2CD9929BB1BB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42875" y="2887980"/>
          <a:ext cx="5276850" cy="3190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2_3Wheelers%20(8).xlsx" TargetMode="External"/><Relationship Id="rId1" Type="http://schemas.openxmlformats.org/officeDocument/2006/relationships/externalLinkPath" Target="/Users/profi/Downloads/2_3Wheelers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y of 23 Wheelers"/>
      <sheetName val="2_3 WHEELER INDUSTRY"/>
      <sheetName val="Sheet2"/>
      <sheetName val="FOR DASHBOARD"/>
      <sheetName val="BAJAJ-AUTO"/>
    </sheetNames>
    <sheetDataSet>
      <sheetData sheetId="0">
        <row r="33">
          <cell r="C33" t="str">
            <v>Market Cap</v>
          </cell>
          <cell r="G33" t="str">
            <v>SALES_23</v>
          </cell>
          <cell r="K33" t="str">
            <v>PROFIT_23</v>
          </cell>
          <cell r="O33" t="str">
            <v>SALES_5Y_GR</v>
          </cell>
          <cell r="S33" t="str">
            <v>CY_SALES GR</v>
          </cell>
          <cell r="T33" t="str">
            <v>CY_PROFIT_GR</v>
          </cell>
        </row>
        <row r="34">
          <cell r="B34" t="str">
            <v>BAJAJ-AUTO</v>
          </cell>
          <cell r="C34">
            <v>220388.89143600001</v>
          </cell>
          <cell r="F34" t="str">
            <v>BAJAJ-AUTO</v>
          </cell>
          <cell r="G34">
            <v>36455</v>
          </cell>
          <cell r="J34" t="str">
            <v>BAJAJ-AUTO</v>
          </cell>
          <cell r="K34">
            <v>6060</v>
          </cell>
          <cell r="N34" t="str">
            <v>BAJAJ-AUTO</v>
          </cell>
          <cell r="O34">
            <v>7.3566760477506543E-2</v>
          </cell>
          <cell r="R34" t="str">
            <v>BAJAJ-AUTO</v>
          </cell>
          <cell r="S34">
            <v>0.21705948372615036</v>
          </cell>
          <cell r="T34">
            <v>0.30792192881745128</v>
          </cell>
        </row>
        <row r="35">
          <cell r="B35" t="str">
            <v>EICHERMOT</v>
          </cell>
          <cell r="C35">
            <v>105333.65965</v>
          </cell>
          <cell r="F35" t="str">
            <v>EICHERMOT</v>
          </cell>
          <cell r="G35">
            <v>14442</v>
          </cell>
          <cell r="J35" t="str">
            <v>EICHERMOT</v>
          </cell>
          <cell r="K35">
            <v>2914</v>
          </cell>
          <cell r="N35" t="str">
            <v>EICHERMOT</v>
          </cell>
          <cell r="O35">
            <v>9.392791569847514E-2</v>
          </cell>
          <cell r="R35" t="str">
            <v>EICHERMOT</v>
          </cell>
          <cell r="S35">
            <v>8.1983104833125653E-2</v>
          </cell>
          <cell r="T35">
            <v>0.2288949897048731</v>
          </cell>
        </row>
        <row r="36">
          <cell r="B36" t="str">
            <v>TVSMOTOR</v>
          </cell>
          <cell r="C36">
            <v>96986.653709699996</v>
          </cell>
          <cell r="F36" t="str">
            <v>TVSMOTOR</v>
          </cell>
          <cell r="G36">
            <v>31974</v>
          </cell>
          <cell r="J36" t="str">
            <v>TVSMOTOR</v>
          </cell>
          <cell r="K36">
            <v>1309</v>
          </cell>
          <cell r="N36" t="str">
            <v>TVSMOTOR</v>
          </cell>
          <cell r="O36">
            <v>0.1393187683129764</v>
          </cell>
          <cell r="R36" t="str">
            <v>TVSMOTOR</v>
          </cell>
          <cell r="S36">
            <v>0.21552084203491773</v>
          </cell>
          <cell r="T36">
            <v>0.30947580645161299</v>
          </cell>
        </row>
        <row r="37">
          <cell r="B37" t="str">
            <v>HEROMOTOCO</v>
          </cell>
          <cell r="C37">
            <v>98104.373355000003</v>
          </cell>
          <cell r="F37" t="str">
            <v>HEROMOTOCO</v>
          </cell>
          <cell r="G37">
            <v>34158</v>
          </cell>
          <cell r="J37" t="str">
            <v>HEROMOTOCO</v>
          </cell>
          <cell r="K37">
            <v>2800</v>
          </cell>
          <cell r="N37" t="str">
            <v>HEROMOTOCO</v>
          </cell>
          <cell r="O37">
            <v>6.3064677129949231E-3</v>
          </cell>
          <cell r="R37" t="str">
            <v>HEROMOTOCO</v>
          </cell>
          <cell r="S37">
            <v>7.9313071969268956E-2</v>
          </cell>
          <cell r="T37">
            <v>0.43651925820256765</v>
          </cell>
        </row>
        <row r="38">
          <cell r="B38" t="str">
            <v>WARDINMOBI</v>
          </cell>
          <cell r="C38">
            <v>1967.752</v>
          </cell>
          <cell r="F38" t="str">
            <v>WARDINMOBI</v>
          </cell>
          <cell r="G38">
            <v>239</v>
          </cell>
          <cell r="J38" t="str">
            <v>WARDINMOBI</v>
          </cell>
          <cell r="K38">
            <v>9</v>
          </cell>
          <cell r="N38" t="str">
            <v>WARDINMOBI</v>
          </cell>
          <cell r="R38" t="str">
            <v>WARDINMOBI</v>
          </cell>
          <cell r="S38">
            <v>4.1841004184099972E-3</v>
          </cell>
          <cell r="T38">
            <v>0.22222222222222232</v>
          </cell>
        </row>
        <row r="39">
          <cell r="B39" t="str">
            <v>SCOOTER</v>
          </cell>
          <cell r="C39">
            <v>677.84354970000004</v>
          </cell>
          <cell r="F39" t="str">
            <v>SCOOTER</v>
          </cell>
          <cell r="J39" t="str">
            <v>SCOOTER</v>
          </cell>
          <cell r="N39" t="str">
            <v>SCOOTER</v>
          </cell>
          <cell r="R39" t="str">
            <v>SCOOTER</v>
          </cell>
        </row>
        <row r="40">
          <cell r="B40" t="str">
            <v>JRELTD</v>
          </cell>
          <cell r="C40">
            <v>304.88271320000001</v>
          </cell>
          <cell r="F40" t="str">
            <v>JRELTD</v>
          </cell>
          <cell r="J40" t="str">
            <v>JRELTD</v>
          </cell>
          <cell r="N40" t="str">
            <v>JRELTD</v>
          </cell>
          <cell r="R40" t="str">
            <v>JRELTD</v>
          </cell>
        </row>
        <row r="57">
          <cell r="B57" t="str">
            <v>Security Name</v>
          </cell>
          <cell r="C57" t="str">
            <v>MARGIN</v>
          </cell>
          <cell r="G57" t="str">
            <v>CUR. RATIO</v>
          </cell>
          <cell r="K57" t="str">
            <v>TR.DAYS</v>
          </cell>
        </row>
        <row r="58">
          <cell r="B58" t="str">
            <v>BAJAJ-AUTO</v>
          </cell>
          <cell r="C58">
            <v>0.21309390198279088</v>
          </cell>
          <cell r="F58" t="str">
            <v>BAJAJ-AUTO</v>
          </cell>
          <cell r="G58">
            <v>1.5740402193784278</v>
          </cell>
          <cell r="J58" t="str">
            <v>BAJAJ-AUTO</v>
          </cell>
          <cell r="K58">
            <v>20.915786586202167</v>
          </cell>
        </row>
        <row r="59">
          <cell r="B59" t="str">
            <v>EICHERMOT</v>
          </cell>
          <cell r="C59">
            <v>0.24795734662789087</v>
          </cell>
          <cell r="F59" t="str">
            <v>EICHERMOT</v>
          </cell>
          <cell r="G59">
            <v>1.1541353870888276</v>
          </cell>
          <cell r="J59" t="str">
            <v>EICHERMOT</v>
          </cell>
          <cell r="K59">
            <v>7.2752319623320876</v>
          </cell>
        </row>
        <row r="60">
          <cell r="B60" t="str">
            <v>TVSMOTOR</v>
          </cell>
          <cell r="C60">
            <v>5.4256118954139169E-2</v>
          </cell>
          <cell r="F60" t="str">
            <v>TVSMOTOR</v>
          </cell>
          <cell r="G60">
            <v>1.0357680587166618</v>
          </cell>
          <cell r="J60" t="str">
            <v>TVSMOTOR</v>
          </cell>
          <cell r="K60">
            <v>18.44337899543379</v>
          </cell>
        </row>
        <row r="61">
          <cell r="B61" t="str">
            <v>HEROMOTOCO</v>
          </cell>
          <cell r="C61">
            <v>0.11377245508982035</v>
          </cell>
          <cell r="F61" t="str">
            <v>HEROMOTOCO</v>
          </cell>
          <cell r="G61">
            <v>1.4991841174870819</v>
          </cell>
          <cell r="J61" t="str">
            <v>HEROMOTOCO</v>
          </cell>
          <cell r="K61">
            <v>45.189560278704839</v>
          </cell>
        </row>
        <row r="62">
          <cell r="B62" t="str">
            <v>WARDINMOBI</v>
          </cell>
          <cell r="C62">
            <v>4.6025104602510462E-2</v>
          </cell>
          <cell r="F62" t="str">
            <v>WARDINMOBI</v>
          </cell>
          <cell r="G62">
            <v>1.0220994475138121</v>
          </cell>
          <cell r="J62" t="str">
            <v>WARDINMOBI</v>
          </cell>
          <cell r="K62">
            <v>24.435146443514643</v>
          </cell>
        </row>
        <row r="63">
          <cell r="B63" t="str">
            <v>SCOOTER</v>
          </cell>
          <cell r="F63" t="str">
            <v>SCOOTER</v>
          </cell>
          <cell r="J63" t="str">
            <v>SCOOTER</v>
          </cell>
        </row>
        <row r="64">
          <cell r="B64" t="str">
            <v>JRELTD</v>
          </cell>
          <cell r="F64" t="str">
            <v>JRELTD</v>
          </cell>
          <cell r="J64" t="str">
            <v>JRELTD</v>
          </cell>
        </row>
        <row r="82">
          <cell r="C82" t="str">
            <v>ICR</v>
          </cell>
          <cell r="G82" t="str">
            <v>DEBT2EQUITY</v>
          </cell>
          <cell r="K82" t="str">
            <v>DEBTRATIO</v>
          </cell>
        </row>
        <row r="83">
          <cell r="B83" t="str">
            <v>BAJAJ-AUTO</v>
          </cell>
          <cell r="C83">
            <v>158.05128205128204</v>
          </cell>
          <cell r="F83" t="str">
            <v>BAJAJ-AUTO</v>
          </cell>
          <cell r="G83">
            <v>0</v>
          </cell>
          <cell r="J83" t="str">
            <v>BAJAJ-AUTO</v>
          </cell>
          <cell r="K83">
            <v>0.195656346834124</v>
          </cell>
        </row>
        <row r="84">
          <cell r="B84" t="str">
            <v>EICHERMOT</v>
          </cell>
          <cell r="C84">
            <v>104.17857142857143</v>
          </cell>
          <cell r="F84" t="str">
            <v>EICHERMOT</v>
          </cell>
          <cell r="G84">
            <v>1.6873465641993279E-2</v>
          </cell>
          <cell r="J84" t="str">
            <v>EICHERMOT</v>
          </cell>
          <cell r="K84">
            <v>0.24360951448548038</v>
          </cell>
        </row>
        <row r="85">
          <cell r="B85" t="str">
            <v>TVSMOTOR</v>
          </cell>
          <cell r="C85">
            <v>2.3457602339181287</v>
          </cell>
          <cell r="F85" t="str">
            <v>TVSMOTOR</v>
          </cell>
          <cell r="G85">
            <v>3.4825196363110238</v>
          </cell>
          <cell r="J85" t="str">
            <v>TVSMOTOR</v>
          </cell>
          <cell r="K85">
            <v>0.82750550667596445</v>
          </cell>
        </row>
        <row r="86">
          <cell r="B86" t="str">
            <v>HEROMOTOCO</v>
          </cell>
          <cell r="C86">
            <v>32.342857142857142</v>
          </cell>
          <cell r="F86" t="str">
            <v>HEROMOTOCO</v>
          </cell>
          <cell r="G86">
            <v>2.2418249241487807E-2</v>
          </cell>
          <cell r="J86" t="str">
            <v>HEROMOTOCO</v>
          </cell>
          <cell r="K86">
            <v>0.32351487970810688</v>
          </cell>
        </row>
        <row r="87">
          <cell r="B87" t="str">
            <v>WARDINMOBI</v>
          </cell>
          <cell r="C87">
            <v>17.949152542372879</v>
          </cell>
          <cell r="F87" t="str">
            <v>WARDINMOBI</v>
          </cell>
          <cell r="G87">
            <v>0.50549450549450547</v>
          </cell>
          <cell r="J87" t="str">
            <v>WARDINMOBI</v>
          </cell>
          <cell r="K87">
            <v>0.67025089605734767</v>
          </cell>
        </row>
        <row r="88">
          <cell r="B88" t="str">
            <v>SCOOTER</v>
          </cell>
          <cell r="F88" t="str">
            <v>SCOOTER</v>
          </cell>
          <cell r="J88" t="str">
            <v>SCOOTER</v>
          </cell>
        </row>
        <row r="89">
          <cell r="B89" t="str">
            <v>JRELTD</v>
          </cell>
          <cell r="F89" t="str">
            <v>JRELTD</v>
          </cell>
          <cell r="J89" t="str">
            <v>JRELTD</v>
          </cell>
        </row>
        <row r="107">
          <cell r="C107" t="str">
            <v>ROE</v>
          </cell>
          <cell r="D107" t="str">
            <v>ROA</v>
          </cell>
          <cell r="H107" t="str">
            <v>ROPE</v>
          </cell>
        </row>
        <row r="108">
          <cell r="B108" t="str">
            <v>BAJAJ-AUTO</v>
          </cell>
          <cell r="C108">
            <v>0.20660734376598139</v>
          </cell>
          <cell r="D108">
            <v>0.16617764005813476</v>
          </cell>
          <cell r="G108" t="str">
            <v>BAJAJ-AUTO</v>
          </cell>
          <cell r="H108">
            <v>21.48936170212766</v>
          </cell>
        </row>
        <row r="109">
          <cell r="B109" t="str">
            <v>EICHERMOT</v>
          </cell>
          <cell r="C109">
            <v>0.18291461954826241</v>
          </cell>
          <cell r="D109">
            <v>0.13835487788781387</v>
          </cell>
          <cell r="G109" t="str">
            <v>EICHERMOT</v>
          </cell>
          <cell r="H109">
            <v>106.42804967129292</v>
          </cell>
        </row>
        <row r="110">
          <cell r="B110" t="str">
            <v>TVSMOTOR</v>
          </cell>
          <cell r="C110">
            <v>0.18751727981044855</v>
          </cell>
          <cell r="D110">
            <v>3.2345698170404752E-2</v>
          </cell>
          <cell r="G110" t="str">
            <v>TVSMOTOR</v>
          </cell>
          <cell r="H110">
            <v>27.5520942959377</v>
          </cell>
        </row>
        <row r="111">
          <cell r="B111" t="str">
            <v>HEROMOTOCO</v>
          </cell>
          <cell r="C111">
            <v>0.15732104730868637</v>
          </cell>
          <cell r="D111">
            <v>0.10641936832503515</v>
          </cell>
          <cell r="G111" t="str">
            <v>HEROMOTOCO</v>
          </cell>
          <cell r="H111">
            <v>71.794871794871796</v>
          </cell>
        </row>
        <row r="112">
          <cell r="B112" t="str">
            <v>WARDINMOBI</v>
          </cell>
          <cell r="C112">
            <v>9.8901098901098897E-2</v>
          </cell>
          <cell r="D112">
            <v>3.2258064516129031E-2</v>
          </cell>
          <cell r="G112" t="str">
            <v>WARDINMOBI</v>
          </cell>
          <cell r="H112">
            <v>0.34615384615384615</v>
          </cell>
        </row>
        <row r="113">
          <cell r="B113" t="str">
            <v>SCOOTER</v>
          </cell>
          <cell r="G113" t="str">
            <v>SCOOTER</v>
          </cell>
        </row>
        <row r="114">
          <cell r="B114" t="str">
            <v>JRELTD</v>
          </cell>
          <cell r="G114" t="str">
            <v>JRELTD</v>
          </cell>
        </row>
        <row r="131">
          <cell r="C131" t="str">
            <v>TRAIL_PE</v>
          </cell>
          <cell r="D131" t="str">
            <v>PBV</v>
          </cell>
          <cell r="H131" t="str">
            <v>YIELD</v>
          </cell>
        </row>
        <row r="132">
          <cell r="B132" t="str">
            <v>BAJAJ-AUTO</v>
          </cell>
          <cell r="C132">
            <v>29.742987082473437</v>
          </cell>
          <cell r="D132">
            <v>7.4112014993415061</v>
          </cell>
          <cell r="G132" t="str">
            <v>BAJAJ-AUTO</v>
          </cell>
          <cell r="H132">
            <v>3.3621370887434068E-2</v>
          </cell>
        </row>
        <row r="133">
          <cell r="B133" t="str">
            <v>EICHERMOT</v>
          </cell>
          <cell r="C133">
            <v>29.427521812337364</v>
          </cell>
          <cell r="D133">
            <v>6.5969454158993024</v>
          </cell>
          <cell r="G133" t="str">
            <v>EICHERMOT</v>
          </cell>
          <cell r="H133">
            <v>3.3981794538361511E-2</v>
          </cell>
        </row>
        <row r="134">
          <cell r="B134" t="str">
            <v>TVSMOTOR</v>
          </cell>
          <cell r="C134">
            <v>59.250653499854778</v>
          </cell>
          <cell r="D134">
            <v>13.790216556159473</v>
          </cell>
          <cell r="G134" t="str">
            <v>TVSMOTOR</v>
          </cell>
          <cell r="H134">
            <v>1.6877450980392155E-2</v>
          </cell>
        </row>
        <row r="135">
          <cell r="B135" t="str">
            <v>HEROMOTOCO</v>
          </cell>
          <cell r="C135">
            <v>30.245240002464726</v>
          </cell>
          <cell r="D135">
            <v>5.3661350002803161</v>
          </cell>
          <cell r="G135" t="str">
            <v>HEROMOTOCO</v>
          </cell>
          <cell r="H135">
            <v>3.3063053886115919E-2</v>
          </cell>
        </row>
        <row r="136">
          <cell r="B136" t="str">
            <v>WARDINMOBI</v>
          </cell>
          <cell r="C136">
            <v>-63.225225225225223</v>
          </cell>
          <cell r="D136">
            <v>15.595555555555556</v>
          </cell>
          <cell r="G136" t="str">
            <v>WARDINMOBI</v>
          </cell>
          <cell r="H136">
            <v>-1.5816471929324595E-2</v>
          </cell>
        </row>
        <row r="137">
          <cell r="B137" t="str">
            <v>SCOOTER</v>
          </cell>
          <cell r="G137" t="str">
            <v>SCOOTER</v>
          </cell>
        </row>
        <row r="138">
          <cell r="B138" t="str">
            <v>JRELTD</v>
          </cell>
          <cell r="G138" t="str">
            <v>JRELTD</v>
          </cell>
        </row>
        <row r="140">
          <cell r="B140" t="str">
            <v>INDUSTRY</v>
          </cell>
          <cell r="C140">
            <v>32.210875670155723</v>
          </cell>
          <cell r="D140">
            <v>7.0091827649928886</v>
          </cell>
        </row>
      </sheetData>
      <sheetData sheetId="1">
        <row r="2">
          <cell r="K2" t="str">
            <v>MARKETCAP</v>
          </cell>
          <cell r="L2" t="str">
            <v>SALES_02</v>
          </cell>
          <cell r="M2" t="str">
            <v>SALES_12</v>
          </cell>
          <cell r="N2" t="str">
            <v>SALES_17</v>
          </cell>
          <cell r="O2" t="str">
            <v>SALES_21</v>
          </cell>
          <cell r="P2" t="str">
            <v>SALES_22</v>
          </cell>
        </row>
        <row r="3">
          <cell r="C3" t="str">
            <v>BAJAJ-AUTO*</v>
          </cell>
          <cell r="K3">
            <v>274725.25460619997</v>
          </cell>
          <cell r="M3">
            <v>19529</v>
          </cell>
          <cell r="N3">
            <v>23088</v>
          </cell>
          <cell r="O3">
            <v>27741</v>
          </cell>
          <cell r="P3">
            <v>33145</v>
          </cell>
        </row>
        <row r="4">
          <cell r="C4" t="str">
            <v>EICHERMOT</v>
          </cell>
          <cell r="K4">
            <v>133948.58095120001</v>
          </cell>
          <cell r="L4">
            <v>527</v>
          </cell>
          <cell r="M4">
            <v>1049</v>
          </cell>
          <cell r="N4">
            <v>7940</v>
          </cell>
          <cell r="O4">
            <v>8720</v>
          </cell>
          <cell r="P4">
            <v>10259</v>
          </cell>
        </row>
        <row r="5">
          <cell r="C5" t="str">
            <v>HEROMOTOCO</v>
          </cell>
          <cell r="K5">
            <v>100230.02611999999</v>
          </cell>
          <cell r="L5">
            <v>4465</v>
          </cell>
          <cell r="M5">
            <v>23579</v>
          </cell>
          <cell r="N5">
            <v>30958</v>
          </cell>
          <cell r="O5">
            <v>30959</v>
          </cell>
          <cell r="P5">
            <v>29551</v>
          </cell>
        </row>
        <row r="6">
          <cell r="C6" t="str">
            <v>SCOOTER</v>
          </cell>
          <cell r="L6">
            <v>127</v>
          </cell>
          <cell r="M6">
            <v>206</v>
          </cell>
          <cell r="N6">
            <v>96</v>
          </cell>
          <cell r="O6">
            <v>5</v>
          </cell>
          <cell r="P6">
            <v>0</v>
          </cell>
        </row>
        <row r="7">
          <cell r="C7" t="str">
            <v>TVSMOTOR</v>
          </cell>
          <cell r="L7">
            <v>1930</v>
          </cell>
          <cell r="M7">
            <v>7126</v>
          </cell>
          <cell r="N7">
            <v>13574</v>
          </cell>
          <cell r="O7">
            <v>19421</v>
          </cell>
          <cell r="P7">
            <v>24355</v>
          </cell>
        </row>
        <row r="8">
          <cell r="C8" t="str">
            <v>WARDINMOBI</v>
          </cell>
          <cell r="N8">
            <v>0.03</v>
          </cell>
          <cell r="O8">
            <v>39</v>
          </cell>
          <cell r="P8">
            <v>185</v>
          </cell>
        </row>
        <row r="13">
          <cell r="B13" t="str">
            <v>Security Name</v>
          </cell>
          <cell r="C13" t="str">
            <v>SALES 20YCAGR</v>
          </cell>
          <cell r="D13" t="str">
            <v>SALES 10YCAGR</v>
          </cell>
          <cell r="E13" t="str">
            <v>SALES 5YCAGR</v>
          </cell>
          <cell r="F13" t="str">
            <v>SALES CYCAGR</v>
          </cell>
          <cell r="G13" t="str">
            <v>NPM %</v>
          </cell>
          <cell r="H13" t="str">
            <v>CURRENT RATIO</v>
          </cell>
          <cell r="I13" t="str">
            <v>TRADE CY</v>
          </cell>
          <cell r="J13" t="str">
            <v>DEBT2EQUITY</v>
          </cell>
          <cell r="K13" t="str">
            <v>DEBT RATIO</v>
          </cell>
          <cell r="L13" t="str">
            <v>ICR</v>
          </cell>
          <cell r="M13" t="str">
            <v>ROE</v>
          </cell>
          <cell r="N13" t="str">
            <v>ROPE</v>
          </cell>
          <cell r="O13" t="str">
            <v>ROA</v>
          </cell>
          <cell r="P13" t="str">
            <v>TRAIL PE</v>
          </cell>
          <cell r="Q13" t="str">
            <v>TRAIL YIELD</v>
          </cell>
          <cell r="S13" t="str">
            <v>PBV</v>
          </cell>
          <cell r="V13" t="str">
            <v>PRICE 20Y</v>
          </cell>
          <cell r="W13" t="str">
            <v>PRICE 10Y</v>
          </cell>
          <cell r="X13" t="str">
            <v>PRICE 5Y</v>
          </cell>
          <cell r="Y13" t="str">
            <v>PRICE CY</v>
          </cell>
        </row>
        <row r="14">
          <cell r="B14" t="str">
            <v>BAJAJ-AUTO*</v>
          </cell>
          <cell r="C14" t="e">
            <v>#DIV/0!</v>
          </cell>
          <cell r="D14">
            <v>5.4323293896690883E-2</v>
          </cell>
          <cell r="E14">
            <v>7.4994746652033539E-2</v>
          </cell>
          <cell r="F14">
            <v>0.19480191773908651</v>
          </cell>
          <cell r="G14">
            <v>0</v>
          </cell>
          <cell r="H14" t="e">
            <v>#DIV/0!</v>
          </cell>
          <cell r="I14">
            <v>0</v>
          </cell>
          <cell r="J14" t="e">
            <v>#DIV/0!</v>
          </cell>
          <cell r="K14" t="e">
            <v>#DIV/0!</v>
          </cell>
          <cell r="L14" t="e">
            <v>#REF!</v>
          </cell>
          <cell r="M14" t="e">
            <v>#DIV/0!</v>
          </cell>
          <cell r="N14" t="e">
            <v>#DIV/0!</v>
          </cell>
          <cell r="O14" t="e">
            <v>#DIV/0!</v>
          </cell>
          <cell r="P14">
            <v>37.521734156943495</v>
          </cell>
          <cell r="Q14">
            <v>2.6651220218587561E-2</v>
          </cell>
          <cell r="S14" t="e">
            <v>#DIV/0!</v>
          </cell>
          <cell r="V14" t="e">
            <v>#DIV/0!</v>
          </cell>
          <cell r="W14">
            <v>0.19525278070638152</v>
          </cell>
          <cell r="X14">
            <v>0.28727775848579906</v>
          </cell>
          <cell r="Y14" t="e">
            <v>#DIV/0!</v>
          </cell>
        </row>
        <row r="15">
          <cell r="B15" t="str">
            <v>EICHERMOT</v>
          </cell>
          <cell r="C15">
            <v>0.16001797997583456</v>
          </cell>
          <cell r="D15">
            <v>0.25612527456654055</v>
          </cell>
          <cell r="E15">
            <v>5.258434251436972E-2</v>
          </cell>
          <cell r="F15">
            <v>0.1764908256880735</v>
          </cell>
          <cell r="G15">
            <v>0</v>
          </cell>
          <cell r="H15" t="e">
            <v>#DIV/0!</v>
          </cell>
          <cell r="I15">
            <v>0</v>
          </cell>
          <cell r="J15" t="e">
            <v>#DIV/0!</v>
          </cell>
          <cell r="K15" t="e">
            <v>#DIV/0!</v>
          </cell>
          <cell r="L15" t="e">
            <v>#REF!</v>
          </cell>
          <cell r="M15" t="e">
            <v>#DIV/0!</v>
          </cell>
          <cell r="N15" t="e">
            <v>#DIV/0!</v>
          </cell>
          <cell r="O15" t="e">
            <v>#DIV/0!</v>
          </cell>
          <cell r="P15">
            <v>32.045767490656353</v>
          </cell>
          <cell r="Q15">
            <v>3.1205369017658007E-2</v>
          </cell>
          <cell r="S15" t="e">
            <v>#DIV/0!</v>
          </cell>
          <cell r="V15" t="e">
            <v>#DIV/0!</v>
          </cell>
          <cell r="W15">
            <v>0.36913330324352867</v>
          </cell>
          <cell r="X15">
            <v>0.1390118637246256</v>
          </cell>
          <cell r="Y15" t="e">
            <v>#DIV/0!</v>
          </cell>
        </row>
        <row r="16">
          <cell r="B16" t="str">
            <v>HEROMOTOCO</v>
          </cell>
          <cell r="C16">
            <v>9.9100830262885076E-2</v>
          </cell>
          <cell r="D16">
            <v>2.2832878893606523E-2</v>
          </cell>
          <cell r="E16">
            <v>-9.2596356639970123E-3</v>
          </cell>
          <cell r="F16">
            <v>-4.5479505151975186E-2</v>
          </cell>
          <cell r="G16">
            <v>0</v>
          </cell>
          <cell r="H16" t="e">
            <v>#DIV/0!</v>
          </cell>
          <cell r="I16">
            <v>0</v>
          </cell>
          <cell r="J16" t="e">
            <v>#DIV/0!</v>
          </cell>
          <cell r="K16" t="e">
            <v>#DIV/0!</v>
          </cell>
          <cell r="L16">
            <v>4.5</v>
          </cell>
          <cell r="M16" t="e">
            <v>#DIV/0!</v>
          </cell>
          <cell r="N16" t="e">
            <v>#DIV/0!</v>
          </cell>
          <cell r="O16" t="e">
            <v>#DIV/0!</v>
          </cell>
          <cell r="P16">
            <v>24.600716599587706</v>
          </cell>
          <cell r="Q16">
            <v>4.0649222389593294E-2</v>
          </cell>
          <cell r="S16" t="e">
            <v>#DIV/0!</v>
          </cell>
          <cell r="V16" t="e">
            <v>#DIV/0!</v>
          </cell>
          <cell r="W16">
            <v>9.3195870936540137E-2</v>
          </cell>
          <cell r="X16">
            <v>9.3571883987009219E-2</v>
          </cell>
          <cell r="Y16" t="e">
            <v>#DIV/0!</v>
          </cell>
        </row>
        <row r="17">
          <cell r="B17" t="str">
            <v>SCOOTER</v>
          </cell>
        </row>
        <row r="18">
          <cell r="B18" t="str">
            <v>TVSMOTOR</v>
          </cell>
        </row>
        <row r="19">
          <cell r="B19" t="str">
            <v>WARDINMOBI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67B72-D669-4ABB-B3F7-78D88BF91CF7}" name="Table_1" displayName="Table_1" ref="C58:C64" headerRowCount="0">
  <tableColumns count="1">
    <tableColumn id="1" xr3:uid="{FBBC2BD7-8A86-4861-8889-C913B37A9243}" name="Column1"/>
  </tableColumns>
  <tableStyleInfo name="Copy of 23 Wheelers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3CD9-B5AF-4AB4-A0A6-4E14599ECD24}">
  <dimension ref="A1:AH954"/>
  <sheetViews>
    <sheetView showGridLines="0" tabSelected="1" workbookViewId="0"/>
  </sheetViews>
  <sheetFormatPr defaultColWidth="12.6640625" defaultRowHeight="15.75" customHeight="1" x14ac:dyDescent="0.3"/>
  <cols>
    <col min="1" max="1" width="3.88671875" customWidth="1"/>
    <col min="2" max="2" width="15.77734375" customWidth="1"/>
    <col min="3" max="3" width="11.44140625" customWidth="1"/>
    <col min="4" max="4" width="11" customWidth="1"/>
    <col min="5" max="5" width="12.109375" customWidth="1"/>
    <col min="6" max="6" width="13.77734375" customWidth="1"/>
    <col min="7" max="7" width="11.33203125" customWidth="1"/>
    <col min="8" max="8" width="9.6640625" customWidth="1"/>
    <col min="9" max="9" width="14.33203125" customWidth="1"/>
    <col min="10" max="10" width="15.6640625" customWidth="1"/>
    <col min="11" max="11" width="9.88671875" customWidth="1"/>
    <col min="12" max="12" width="12.33203125" customWidth="1"/>
    <col min="13" max="13" width="10.109375" customWidth="1"/>
    <col min="14" max="14" width="12.77734375" customWidth="1"/>
    <col min="15" max="15" width="15.44140625" customWidth="1"/>
    <col min="16" max="16" width="10.109375" customWidth="1"/>
    <col min="17" max="17" width="11.109375" customWidth="1"/>
    <col min="18" max="18" width="11.6640625" customWidth="1"/>
    <col min="19" max="19" width="9" customWidth="1"/>
    <col min="20" max="20" width="11.33203125" customWidth="1"/>
    <col min="21" max="21" width="10" customWidth="1"/>
    <col min="22" max="22" width="9" customWidth="1"/>
    <col min="23" max="23" width="6.88671875" customWidth="1"/>
    <col min="24" max="24" width="15" customWidth="1"/>
    <col min="25" max="25" width="9.33203125" customWidth="1"/>
    <col min="26" max="26" width="9.77734375" customWidth="1"/>
    <col min="27" max="27" width="10" customWidth="1"/>
    <col min="28" max="34" width="7.6640625" customWidth="1"/>
  </cols>
  <sheetData>
    <row r="1" spans="1:34" ht="15.75" customHeight="1" x14ac:dyDescent="0.3">
      <c r="A1" s="1"/>
      <c r="B1" s="2" t="s">
        <v>0</v>
      </c>
      <c r="C1" s="3"/>
      <c r="D1" s="3"/>
      <c r="E1" s="2" t="s">
        <v>1</v>
      </c>
      <c r="F1" s="3"/>
      <c r="G1" s="3"/>
      <c r="H1" s="3"/>
      <c r="I1" s="2" t="s">
        <v>2</v>
      </c>
      <c r="J1" s="3"/>
      <c r="K1" s="3"/>
      <c r="L1" s="3"/>
      <c r="M1" s="3"/>
      <c r="N1" s="3"/>
      <c r="O1" s="3"/>
      <c r="P1" s="3"/>
      <c r="Q1" s="3"/>
      <c r="R1" s="2" t="s">
        <v>3</v>
      </c>
      <c r="T1" s="4"/>
      <c r="U1" s="4"/>
      <c r="V1" s="4"/>
      <c r="X1" s="5"/>
      <c r="Y1" s="5"/>
      <c r="AA1" s="5"/>
      <c r="AB1" s="1"/>
      <c r="AC1" s="1"/>
      <c r="AD1" s="1"/>
      <c r="AE1" s="1"/>
      <c r="AF1" s="1"/>
      <c r="AG1" s="1"/>
      <c r="AH1" s="1"/>
    </row>
    <row r="2" spans="1:34" ht="15.75" customHeight="1" x14ac:dyDescent="0.3"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</row>
    <row r="3" spans="1:34" ht="15.75" customHeight="1" x14ac:dyDescent="0.3">
      <c r="B3" s="6" t="s">
        <v>25</v>
      </c>
      <c r="C3" s="7">
        <f ca="1">IFERROR(__xludf.DUMMYFUNCTION("GOOGLEFINANCE(""nse:""&amp;B3,""price"")"),9838.8)</f>
        <v>9838.7999999999993</v>
      </c>
      <c r="D3" s="7">
        <f ca="1">IFERROR(__xludf.DUMMYFUNCTION("GOOGLEFINANCE(""nse:""&amp;B3,""MARKETCAP"")/10000000"),274725.2546062)</f>
        <v>274725.25460619997</v>
      </c>
      <c r="E3" s="8">
        <f t="shared" ref="E3:G4" si="0">D27</f>
        <v>48899</v>
      </c>
      <c r="F3" s="8">
        <f t="shared" si="0"/>
        <v>7371</v>
      </c>
      <c r="G3" s="8">
        <f t="shared" si="0"/>
        <v>262.39999999999998</v>
      </c>
      <c r="H3" s="9">
        <v>10</v>
      </c>
      <c r="I3" s="10">
        <v>279</v>
      </c>
      <c r="J3" s="9">
        <v>30979</v>
      </c>
      <c r="K3" s="9">
        <f>3205+1914</f>
        <v>5119</v>
      </c>
      <c r="L3" s="9">
        <v>0</v>
      </c>
      <c r="M3" s="10">
        <v>16137</v>
      </c>
      <c r="N3" s="10">
        <v>10583</v>
      </c>
      <c r="O3" s="10">
        <v>45842</v>
      </c>
      <c r="P3" s="10">
        <v>14862</v>
      </c>
      <c r="Q3" s="10">
        <v>2818</v>
      </c>
      <c r="R3" s="11">
        <v>310</v>
      </c>
      <c r="S3" s="12">
        <v>76</v>
      </c>
      <c r="T3" s="12">
        <v>373</v>
      </c>
      <c r="U3" s="12">
        <v>76</v>
      </c>
      <c r="V3" s="12">
        <f t="shared" ref="V3:V4" si="1">SUM(S3:U3)</f>
        <v>525</v>
      </c>
      <c r="W3" s="5"/>
      <c r="X3" s="13"/>
      <c r="Y3" s="13"/>
    </row>
    <row r="4" spans="1:34" ht="15.75" customHeight="1" x14ac:dyDescent="0.3">
      <c r="B4" s="14" t="s">
        <v>26</v>
      </c>
      <c r="C4" s="14">
        <v>9148</v>
      </c>
      <c r="D4" s="15">
        <f ca="1">C4*D3/C3</f>
        <v>255436.29600535813</v>
      </c>
      <c r="E4" s="14">
        <f t="shared" si="0"/>
        <v>44870</v>
      </c>
      <c r="F4" s="14">
        <f t="shared" si="0"/>
        <v>7708</v>
      </c>
      <c r="G4" s="14">
        <f t="shared" si="0"/>
        <v>272.7</v>
      </c>
      <c r="H4" s="14">
        <v>10</v>
      </c>
      <c r="I4" s="14">
        <v>283</v>
      </c>
      <c r="J4" s="14">
        <v>29331</v>
      </c>
      <c r="K4" s="9">
        <v>0</v>
      </c>
      <c r="L4" s="9">
        <v>0</v>
      </c>
      <c r="M4" s="9">
        <v>10332</v>
      </c>
      <c r="N4" s="14">
        <v>6564</v>
      </c>
      <c r="O4" s="14">
        <v>36467</v>
      </c>
      <c r="P4" s="10">
        <v>7135</v>
      </c>
      <c r="Q4" s="14">
        <v>2090</v>
      </c>
      <c r="R4" s="11">
        <v>301</v>
      </c>
      <c r="S4" s="16">
        <v>3925</v>
      </c>
      <c r="T4" s="16">
        <v>224</v>
      </c>
      <c r="U4" s="16">
        <v>-3975</v>
      </c>
      <c r="V4" s="16">
        <f t="shared" si="1"/>
        <v>174</v>
      </c>
      <c r="W4" s="5"/>
      <c r="X4" s="13"/>
      <c r="Y4" s="13"/>
    </row>
    <row r="5" spans="1:34" ht="15.75" customHeight="1" x14ac:dyDescent="0.3">
      <c r="B5" s="17" t="s">
        <v>27</v>
      </c>
      <c r="C5" s="18">
        <f t="shared" ref="C5:K5" ca="1" si="2">(C3/C4)-1</f>
        <v>7.5513773502404735E-2</v>
      </c>
      <c r="D5" s="18">
        <f t="shared" ca="1" si="2"/>
        <v>7.5513773502404735E-2</v>
      </c>
      <c r="E5" s="18">
        <f t="shared" si="2"/>
        <v>8.9792734566525478E-2</v>
      </c>
      <c r="F5" s="18">
        <f t="shared" si="2"/>
        <v>-4.3720809548520978E-2</v>
      </c>
      <c r="G5" s="18">
        <f t="shared" si="2"/>
        <v>-3.7770443711037771E-2</v>
      </c>
      <c r="H5" s="18">
        <f t="shared" si="2"/>
        <v>0</v>
      </c>
      <c r="I5" s="18">
        <f t="shared" si="2"/>
        <v>-1.4134275618374548E-2</v>
      </c>
      <c r="J5" s="18">
        <f t="shared" si="2"/>
        <v>5.6186287545600289E-2</v>
      </c>
      <c r="K5" s="18" t="e">
        <f t="shared" si="2"/>
        <v>#DIV/0!</v>
      </c>
      <c r="L5" s="17"/>
      <c r="M5" s="18">
        <f t="shared" ref="M5:V5" si="3">(M3/M4)-1</f>
        <v>0.56184668989547037</v>
      </c>
      <c r="N5" s="18">
        <f t="shared" si="3"/>
        <v>0.61227909811090808</v>
      </c>
      <c r="O5" s="18">
        <f t="shared" si="3"/>
        <v>0.25708174513944115</v>
      </c>
      <c r="P5" s="18">
        <f t="shared" si="3"/>
        <v>1.0829712683952346</v>
      </c>
      <c r="Q5" s="18">
        <f t="shared" si="3"/>
        <v>0.34832535885167459</v>
      </c>
      <c r="R5" s="19">
        <f t="shared" si="3"/>
        <v>2.9900332225913706E-2</v>
      </c>
      <c r="S5" s="19">
        <f t="shared" si="3"/>
        <v>-0.98063694267515922</v>
      </c>
      <c r="T5" s="19">
        <f t="shared" si="3"/>
        <v>0.6651785714285714</v>
      </c>
      <c r="U5" s="19">
        <f t="shared" si="3"/>
        <v>-1.0191194968553459</v>
      </c>
      <c r="V5" s="19">
        <f t="shared" si="3"/>
        <v>2.0172413793103448</v>
      </c>
      <c r="W5" s="20"/>
      <c r="X5" s="20"/>
      <c r="Y5" s="20"/>
    </row>
    <row r="6" spans="1:34" ht="15.75" customHeight="1" x14ac:dyDescent="0.3"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S6" s="5"/>
      <c r="T6" s="20"/>
    </row>
    <row r="7" spans="1:34" ht="15.75" customHeight="1" x14ac:dyDescent="0.3">
      <c r="B7" s="23" t="s">
        <v>28</v>
      </c>
      <c r="C7" s="23" t="s">
        <v>29</v>
      </c>
      <c r="D7" s="22"/>
      <c r="E7" s="21"/>
      <c r="F7" s="23" t="s">
        <v>30</v>
      </c>
      <c r="G7" s="21"/>
      <c r="H7" s="21"/>
      <c r="I7" s="23" t="s">
        <v>31</v>
      </c>
      <c r="J7" s="21"/>
      <c r="K7" s="23" t="s">
        <v>32</v>
      </c>
      <c r="L7" s="21"/>
      <c r="M7" s="21"/>
      <c r="N7" s="21"/>
      <c r="O7" s="21"/>
      <c r="P7" s="24" t="s">
        <v>3</v>
      </c>
      <c r="Q7" s="4"/>
      <c r="R7" s="4"/>
      <c r="T7" s="20"/>
      <c r="X7" s="5"/>
      <c r="Y7" s="5"/>
      <c r="Z7" s="5"/>
    </row>
    <row r="8" spans="1:34" ht="15.75" customHeight="1" x14ac:dyDescent="0.3">
      <c r="B8" s="25" t="s">
        <v>33</v>
      </c>
      <c r="C8" s="25" t="s">
        <v>34</v>
      </c>
      <c r="D8" s="26" t="s">
        <v>35</v>
      </c>
      <c r="E8" s="2" t="s">
        <v>36</v>
      </c>
      <c r="F8" s="25" t="s">
        <v>37</v>
      </c>
      <c r="G8" s="25" t="s">
        <v>38</v>
      </c>
      <c r="H8" s="27" t="s">
        <v>39</v>
      </c>
      <c r="I8" s="28" t="s">
        <v>40</v>
      </c>
      <c r="J8" s="25" t="s">
        <v>41</v>
      </c>
      <c r="K8" s="29" t="s">
        <v>42</v>
      </c>
      <c r="L8" s="26" t="s">
        <v>43</v>
      </c>
      <c r="M8" s="30" t="s">
        <v>44</v>
      </c>
      <c r="N8" s="29" t="s">
        <v>45</v>
      </c>
      <c r="O8" s="29" t="s">
        <v>46</v>
      </c>
      <c r="P8" s="29" t="s">
        <v>47</v>
      </c>
      <c r="Q8" s="29" t="s">
        <v>48</v>
      </c>
      <c r="R8" s="29" t="s">
        <v>49</v>
      </c>
      <c r="X8" s="5"/>
      <c r="Y8" s="13"/>
      <c r="Z8" s="13"/>
    </row>
    <row r="9" spans="1:34" ht="15.75" customHeight="1" x14ac:dyDescent="0.3">
      <c r="B9" s="31">
        <f>R21</f>
        <v>0.19049645390070924</v>
      </c>
      <c r="C9" s="31">
        <f>P27</f>
        <v>0.13213392112474681</v>
      </c>
      <c r="D9" s="32">
        <f>M3/N3</f>
        <v>1.5248039308324672</v>
      </c>
      <c r="E9" s="33">
        <f>(Q3/E3)*365</f>
        <v>21.034581484283933</v>
      </c>
      <c r="F9" s="31">
        <f>K3/(I3+J3)</f>
        <v>0.16376607588457354</v>
      </c>
      <c r="G9" s="31">
        <f>P3/O3</f>
        <v>0.32420051481174467</v>
      </c>
      <c r="H9" s="34">
        <f>P28</f>
        <v>39.598360655737707</v>
      </c>
      <c r="I9" s="31">
        <f>F3/J3</f>
        <v>0.23793537557700378</v>
      </c>
      <c r="J9" s="31">
        <f>F3/O3</f>
        <v>0.16079141398717334</v>
      </c>
      <c r="K9" s="32">
        <f ca="1">C3/G3</f>
        <v>37.49542682926829</v>
      </c>
      <c r="L9" s="35">
        <f ca="1">G3/C3</f>
        <v>2.6669919095824692E-2</v>
      </c>
      <c r="M9" s="34">
        <f>(I3+J3)/(I3/H3)</f>
        <v>1120.3584229390681</v>
      </c>
      <c r="N9" s="32">
        <f ca="1">C3/M9</f>
        <v>8.7818324908823335</v>
      </c>
      <c r="O9" s="32">
        <f ca="1">T13</f>
        <v>6.8722300801508727</v>
      </c>
      <c r="P9" s="36">
        <f>S3-N3</f>
        <v>-10507</v>
      </c>
      <c r="Q9" s="36">
        <f>S3-K3</f>
        <v>-5043</v>
      </c>
      <c r="R9" s="37">
        <f>S3-R3</f>
        <v>-234</v>
      </c>
      <c r="X9" s="5"/>
      <c r="Y9" s="13"/>
      <c r="Z9" s="13"/>
    </row>
    <row r="10" spans="1:34" ht="15.75" customHeight="1" x14ac:dyDescent="0.3">
      <c r="C10" s="5"/>
      <c r="D10" s="13"/>
      <c r="E10" s="5"/>
      <c r="H10" s="5"/>
      <c r="I10" s="5"/>
      <c r="Z10" s="38"/>
      <c r="AA10" s="20"/>
    </row>
    <row r="11" spans="1:34" ht="15.75" customHeight="1" x14ac:dyDescent="0.3">
      <c r="B11" s="39" t="s">
        <v>50</v>
      </c>
      <c r="C11" s="39" t="s">
        <v>51</v>
      </c>
      <c r="D11" s="39" t="s">
        <v>52</v>
      </c>
      <c r="E11" s="39" t="s">
        <v>53</v>
      </c>
      <c r="F11" s="39" t="s">
        <v>54</v>
      </c>
      <c r="G11" s="39" t="s">
        <v>55</v>
      </c>
      <c r="H11" s="39" t="s">
        <v>56</v>
      </c>
    </row>
    <row r="12" spans="1:34" ht="15.75" customHeight="1" x14ac:dyDescent="0.3">
      <c r="C12" s="40" t="s">
        <v>57</v>
      </c>
      <c r="D12" s="41">
        <f t="shared" ref="D12:F12" si="4">FV(12%,5,0,-D13,0)</f>
        <v>174831.48496486893</v>
      </c>
      <c r="E12" s="41">
        <f t="shared" si="4"/>
        <v>28824.431197724578</v>
      </c>
      <c r="F12" s="41">
        <f t="shared" si="4"/>
        <v>1021.8957862219828</v>
      </c>
      <c r="G12" s="41">
        <f t="shared" ref="G12:G14" si="5">F12*$L$25</f>
        <v>19416.019938217672</v>
      </c>
      <c r="H12" s="42">
        <f t="shared" ref="H12:H14" si="6">F12*75%</f>
        <v>766.42183966648713</v>
      </c>
      <c r="I12" s="5"/>
      <c r="J12" s="39" t="s">
        <v>58</v>
      </c>
      <c r="K12" s="39" t="s">
        <v>59</v>
      </c>
      <c r="L12" s="39" t="s">
        <v>60</v>
      </c>
      <c r="M12" s="39" t="s">
        <v>61</v>
      </c>
      <c r="N12" s="39" t="s">
        <v>62</v>
      </c>
      <c r="O12" s="39" t="s">
        <v>63</v>
      </c>
      <c r="Q12" s="43" t="s">
        <v>64</v>
      </c>
      <c r="R12" s="43" t="s">
        <v>65</v>
      </c>
      <c r="S12" s="43" t="s">
        <v>66</v>
      </c>
      <c r="T12" s="43" t="s">
        <v>67</v>
      </c>
    </row>
    <row r="13" spans="1:34" ht="15.75" customHeight="1" x14ac:dyDescent="0.3">
      <c r="B13" s="44"/>
      <c r="C13" s="40" t="s">
        <v>68</v>
      </c>
      <c r="D13" s="41">
        <f>FV(D17,5,0,-D14,0)</f>
        <v>99204.079794229139</v>
      </c>
      <c r="E13" s="41">
        <f t="shared" ref="E13:E14" si="7">D13*G17</f>
        <v>16355.756362401955</v>
      </c>
      <c r="F13" s="41">
        <f>(E13*F14)/E14</f>
        <v>579.85111284802554</v>
      </c>
      <c r="G13" s="41">
        <f t="shared" si="5"/>
        <v>11017.171144112484</v>
      </c>
      <c r="H13" s="42">
        <f t="shared" si="6"/>
        <v>434.88833463601918</v>
      </c>
      <c r="I13" s="45"/>
      <c r="J13" s="46" t="s">
        <v>54</v>
      </c>
      <c r="K13" s="46">
        <v>71.900000000000006</v>
      </c>
      <c r="L13" s="46">
        <v>71.2</v>
      </c>
      <c r="M13" s="46">
        <v>69.599999999999994</v>
      </c>
      <c r="N13" s="46">
        <v>49.7</v>
      </c>
      <c r="O13" s="46">
        <f>SUM(K13:N13)</f>
        <v>262.40000000000003</v>
      </c>
      <c r="Q13" s="47">
        <v>272.7</v>
      </c>
      <c r="R13" s="47">
        <v>262.39999999999998</v>
      </c>
      <c r="S13" s="48">
        <f>F14</f>
        <v>286.33499999999998</v>
      </c>
      <c r="T13" s="49">
        <f ca="1">S15/5</f>
        <v>6.8722300801508727</v>
      </c>
      <c r="AF13" s="13"/>
    </row>
    <row r="14" spans="1:34" ht="15.75" customHeight="1" x14ac:dyDescent="0.3">
      <c r="B14" s="44"/>
      <c r="C14" s="50" t="s">
        <v>69</v>
      </c>
      <c r="D14" s="41">
        <f>FV(D18,1,0,-D28,0)</f>
        <v>53844</v>
      </c>
      <c r="E14" s="41">
        <f t="shared" si="7"/>
        <v>8076.5999999999995</v>
      </c>
      <c r="F14" s="41">
        <f>FV(F18,1,0,-F28,0)</f>
        <v>286.33499999999998</v>
      </c>
      <c r="G14" s="41">
        <f t="shared" si="5"/>
        <v>5440.3649999999998</v>
      </c>
      <c r="H14" s="42">
        <f t="shared" si="6"/>
        <v>214.75124999999997</v>
      </c>
      <c r="I14" s="45"/>
      <c r="J14" s="5"/>
      <c r="K14" s="5"/>
      <c r="L14" s="5"/>
      <c r="Q14" s="43" t="s">
        <v>70</v>
      </c>
      <c r="R14" s="43" t="s">
        <v>71</v>
      </c>
      <c r="S14" s="43" t="s">
        <v>72</v>
      </c>
      <c r="T14" s="51"/>
      <c r="AF14" s="13"/>
    </row>
    <row r="15" spans="1:34" ht="15.75" customHeight="1" x14ac:dyDescent="0.3">
      <c r="I15" s="45"/>
      <c r="J15" s="39" t="s">
        <v>73</v>
      </c>
      <c r="K15" s="39" t="s">
        <v>74</v>
      </c>
      <c r="L15" s="39" t="s">
        <v>75</v>
      </c>
      <c r="M15" s="39" t="s">
        <v>76</v>
      </c>
      <c r="N15" s="39" t="s">
        <v>77</v>
      </c>
      <c r="O15" s="39" t="s">
        <v>78</v>
      </c>
      <c r="Q15" s="48">
        <f>C4/Q13</f>
        <v>33.546021268793545</v>
      </c>
      <c r="R15" s="48">
        <f ca="1">C3/R13</f>
        <v>37.49542682926829</v>
      </c>
      <c r="S15" s="52">
        <f ca="1">C3/S13</f>
        <v>34.361150400754362</v>
      </c>
      <c r="T15" s="51"/>
      <c r="AF15" s="13"/>
    </row>
    <row r="16" spans="1:34" ht="15.75" customHeight="1" x14ac:dyDescent="0.3">
      <c r="B16" s="39" t="s">
        <v>28</v>
      </c>
      <c r="C16" s="39" t="s">
        <v>79</v>
      </c>
      <c r="D16" s="39" t="s">
        <v>52</v>
      </c>
      <c r="E16" s="39" t="s">
        <v>53</v>
      </c>
      <c r="F16" s="39" t="s">
        <v>54</v>
      </c>
      <c r="G16" s="39" t="s">
        <v>80</v>
      </c>
      <c r="H16" s="45"/>
      <c r="I16" s="45"/>
      <c r="J16" s="46" t="s">
        <v>81</v>
      </c>
      <c r="K16" s="53">
        <v>0.217</v>
      </c>
      <c r="L16" s="53">
        <v>0.23100000000000001</v>
      </c>
      <c r="M16" s="53">
        <v>0.157</v>
      </c>
      <c r="N16" s="53">
        <v>0.19</v>
      </c>
      <c r="O16" s="53">
        <v>0.2</v>
      </c>
      <c r="P16" s="13"/>
      <c r="AD16" s="54"/>
      <c r="AE16" s="54"/>
      <c r="AF16" s="13"/>
    </row>
    <row r="17" spans="2:28" ht="15.75" customHeight="1" x14ac:dyDescent="0.3">
      <c r="B17" s="44"/>
      <c r="C17" s="44" t="s">
        <v>82</v>
      </c>
      <c r="D17" s="55">
        <v>0.13</v>
      </c>
      <c r="E17" s="55">
        <v>0.13</v>
      </c>
      <c r="F17" s="55">
        <v>0.13</v>
      </c>
      <c r="G17" s="56">
        <f>AVERAGE(G21:G24)</f>
        <v>0.16486979564073731</v>
      </c>
      <c r="J17" s="46" t="s">
        <v>83</v>
      </c>
      <c r="K17" s="53">
        <v>0.308</v>
      </c>
      <c r="L17" s="53">
        <v>0.27200000000000002</v>
      </c>
      <c r="M17" s="53">
        <v>0.18099999999999999</v>
      </c>
      <c r="N17" s="53">
        <v>-9.1999999999999998E-2</v>
      </c>
      <c r="O17" s="53">
        <v>0.05</v>
      </c>
      <c r="P17" s="13"/>
    </row>
    <row r="18" spans="2:28" ht="15.75" customHeight="1" x14ac:dyDescent="0.3">
      <c r="B18" s="44"/>
      <c r="C18" s="44" t="s">
        <v>84</v>
      </c>
      <c r="D18" s="55">
        <v>0.2</v>
      </c>
      <c r="E18" s="55">
        <f>(E14/E28)-1</f>
        <v>4.7820446289569274E-2</v>
      </c>
      <c r="F18" s="55">
        <v>0.05</v>
      </c>
      <c r="G18" s="56">
        <v>0.15</v>
      </c>
      <c r="J18" s="46" t="s">
        <v>80</v>
      </c>
      <c r="K18" s="56">
        <v>0.17499999999999999</v>
      </c>
      <c r="L18" s="56">
        <v>0.17599999999999999</v>
      </c>
      <c r="M18" s="56">
        <v>0.16300000000000001</v>
      </c>
      <c r="N18" s="56">
        <v>0.13200000000000001</v>
      </c>
      <c r="O18" s="56">
        <v>0.15</v>
      </c>
    </row>
    <row r="19" spans="2:28" ht="15.75" customHeight="1" x14ac:dyDescent="0.3">
      <c r="G19" s="5"/>
      <c r="Y19" s="5"/>
      <c r="Z19" s="5"/>
      <c r="AA19" s="5"/>
      <c r="AB19" s="5"/>
    </row>
    <row r="20" spans="2:28" ht="15.75" customHeight="1" x14ac:dyDescent="0.3">
      <c r="B20" s="39" t="s">
        <v>27</v>
      </c>
      <c r="C20" s="39" t="s">
        <v>51</v>
      </c>
      <c r="D20" s="39" t="s">
        <v>52</v>
      </c>
      <c r="E20" s="39" t="s">
        <v>53</v>
      </c>
      <c r="F20" s="39" t="s">
        <v>54</v>
      </c>
      <c r="G20" s="39" t="s">
        <v>85</v>
      </c>
      <c r="H20" s="39" t="s">
        <v>86</v>
      </c>
      <c r="I20" s="39" t="s">
        <v>87</v>
      </c>
      <c r="J20" s="39" t="s">
        <v>88</v>
      </c>
      <c r="K20" s="39" t="s">
        <v>89</v>
      </c>
      <c r="L20" s="39" t="s">
        <v>90</v>
      </c>
      <c r="O20" s="39" t="s">
        <v>77</v>
      </c>
      <c r="P20" s="39" t="s">
        <v>77</v>
      </c>
      <c r="Q20" s="39" t="s">
        <v>91</v>
      </c>
      <c r="R20" s="39" t="s">
        <v>27</v>
      </c>
      <c r="T20" s="39" t="s">
        <v>92</v>
      </c>
      <c r="U20" s="39" t="s">
        <v>92</v>
      </c>
      <c r="V20" s="39" t="s">
        <v>93</v>
      </c>
      <c r="W20" s="39" t="s">
        <v>27</v>
      </c>
      <c r="Y20" s="39" t="s">
        <v>76</v>
      </c>
      <c r="Z20" s="39" t="s">
        <v>76</v>
      </c>
      <c r="AA20" s="39" t="s">
        <v>94</v>
      </c>
      <c r="AB20" s="39" t="s">
        <v>27</v>
      </c>
    </row>
    <row r="21" spans="2:28" ht="15.75" customHeight="1" x14ac:dyDescent="0.3">
      <c r="B21" s="44"/>
      <c r="C21" s="46" t="s">
        <v>95</v>
      </c>
      <c r="D21" s="55">
        <f t="shared" ref="D21:F21" si="8">(D28/D43)^(1/15)-1</f>
        <v>0.1146332926882343</v>
      </c>
      <c r="E21" s="55">
        <f t="shared" si="8"/>
        <v>0.17863688231624364</v>
      </c>
      <c r="F21" s="55">
        <f t="shared" si="8"/>
        <v>0.12729205684583245</v>
      </c>
      <c r="G21" s="57">
        <f>MEDIAN(G28:G43)</f>
        <v>0.15547121373167366</v>
      </c>
      <c r="H21" s="55">
        <f t="shared" ref="H21:I21" si="9">((2*H28)/H43)^(1/15)-1</f>
        <v>0.21956252575631385</v>
      </c>
      <c r="I21" s="55">
        <f t="shared" si="9"/>
        <v>0.24401971042776105</v>
      </c>
      <c r="J21" s="58">
        <f t="shared" ref="J21:K21" si="10">MEDIAN(J28:J43)</f>
        <v>20.659254677979046</v>
      </c>
      <c r="K21" s="58">
        <f t="shared" si="10"/>
        <v>14.218756713403891</v>
      </c>
      <c r="L21" s="59">
        <f t="shared" ref="L21:L24" si="11">AVERAGE(J21:K21)</f>
        <v>17.439005695691471</v>
      </c>
      <c r="O21" s="46" t="s">
        <v>52</v>
      </c>
      <c r="P21" s="46">
        <v>25179</v>
      </c>
      <c r="Q21" s="46">
        <v>21150</v>
      </c>
      <c r="R21" s="56">
        <f t="shared" ref="R21:R26" si="12">(P21/Q21)^(1/1)-1</f>
        <v>0.19049645390070924</v>
      </c>
      <c r="T21" s="46" t="s">
        <v>52</v>
      </c>
      <c r="U21" s="46">
        <v>12815</v>
      </c>
      <c r="V21" s="46">
        <v>10585</v>
      </c>
      <c r="W21" s="56">
        <f t="shared" ref="W21:W26" si="13">(U21/V21)^(1/1)-1</f>
        <v>0.21067548417572035</v>
      </c>
      <c r="Y21" s="46" t="s">
        <v>52</v>
      </c>
      <c r="Z21" s="46">
        <v>11932</v>
      </c>
      <c r="AA21" s="46">
        <v>10312</v>
      </c>
      <c r="AB21" s="56">
        <f t="shared" ref="AB21:AB26" si="14">(Z21/AA21)^(1/1)-1</f>
        <v>0.15709852598913887</v>
      </c>
    </row>
    <row r="22" spans="2:28" ht="15.75" customHeight="1" x14ac:dyDescent="0.3">
      <c r="C22" s="46" t="s">
        <v>96</v>
      </c>
      <c r="D22" s="53">
        <f t="shared" ref="D22:F22" si="15">(D28/D38)^(1/10)-1</f>
        <v>7.9623937344374118E-2</v>
      </c>
      <c r="E22" s="53">
        <f t="shared" si="15"/>
        <v>9.0434229199143124E-2</v>
      </c>
      <c r="F22" s="53">
        <f t="shared" si="15"/>
        <v>9.2969272685678783E-2</v>
      </c>
      <c r="G22" s="60">
        <f>MEDIAN(G28:G38)</f>
        <v>0.15746606334841629</v>
      </c>
      <c r="H22" s="53">
        <f t="shared" ref="H22:I22" si="16">(H28/H38)^(1/10)-1</f>
        <v>0.15523026559427766</v>
      </c>
      <c r="I22" s="53">
        <f t="shared" si="16"/>
        <v>8.8965630654407324E-2</v>
      </c>
      <c r="J22" s="61">
        <f t="shared" ref="J22:K22" si="17">MEDIAN(J28:J38)</f>
        <v>21.038034865293184</v>
      </c>
      <c r="K22" s="61">
        <f t="shared" si="17"/>
        <v>14.790365744870652</v>
      </c>
      <c r="L22" s="59">
        <f t="shared" si="11"/>
        <v>17.91420030508192</v>
      </c>
      <c r="O22" s="46" t="s">
        <v>97</v>
      </c>
      <c r="P22" s="46">
        <v>20470</v>
      </c>
      <c r="Q22" s="46">
        <v>17285</v>
      </c>
      <c r="R22" s="56">
        <f t="shared" si="12"/>
        <v>0.18426381255423774</v>
      </c>
      <c r="T22" s="46" t="s">
        <v>97</v>
      </c>
      <c r="U22" s="46">
        <v>10767</v>
      </c>
      <c r="V22" s="46">
        <v>8806</v>
      </c>
      <c r="W22" s="56">
        <f t="shared" si="13"/>
        <v>0.2226890756302522</v>
      </c>
      <c r="Y22" s="46" t="s">
        <v>97</v>
      </c>
      <c r="Z22" s="46">
        <v>9703</v>
      </c>
      <c r="AA22" s="46">
        <v>8479</v>
      </c>
      <c r="AB22" s="56">
        <f t="shared" si="14"/>
        <v>0.14435664583087626</v>
      </c>
    </row>
    <row r="23" spans="2:28" ht="15.75" customHeight="1" x14ac:dyDescent="0.3">
      <c r="C23" s="46" t="s">
        <v>98</v>
      </c>
      <c r="D23" s="53">
        <f t="shared" ref="D23:F23" si="18">(D28/D33)^(1/5)-1</f>
        <v>7.1948402959306712E-2</v>
      </c>
      <c r="E23" s="53">
        <f t="shared" si="18"/>
        <v>9.3589171703849727E-2</v>
      </c>
      <c r="F23" s="53">
        <f t="shared" si="18"/>
        <v>9.8737881315071441E-2</v>
      </c>
      <c r="G23" s="60">
        <f>MEDIAN(G28:G33)</f>
        <v>0.1705419054828593</v>
      </c>
      <c r="H23" s="53">
        <f t="shared" ref="H23:I23" si="19">(H28/H33)^(1/5)-1</f>
        <v>0.23644632153067269</v>
      </c>
      <c r="I23" s="53">
        <f t="shared" si="19"/>
        <v>9.9013184804360055E-2</v>
      </c>
      <c r="J23" s="61">
        <f t="shared" ref="J23:K23" si="20">MEDIAN(J28:J33)</f>
        <v>19.914652908067545</v>
      </c>
      <c r="K23" s="61">
        <f t="shared" si="20"/>
        <v>14.218756713403891</v>
      </c>
      <c r="L23" s="59">
        <f t="shared" si="11"/>
        <v>17.066704810735718</v>
      </c>
      <c r="O23" s="46" t="s">
        <v>99</v>
      </c>
      <c r="P23" s="46">
        <v>122</v>
      </c>
      <c r="Q23" s="46">
        <v>19</v>
      </c>
      <c r="R23" s="56">
        <f t="shared" si="12"/>
        <v>5.4210526315789478</v>
      </c>
      <c r="T23" s="46" t="s">
        <v>99</v>
      </c>
      <c r="U23" s="46">
        <v>75</v>
      </c>
      <c r="V23" s="46">
        <v>6</v>
      </c>
      <c r="W23" s="56">
        <f t="shared" si="13"/>
        <v>11.5</v>
      </c>
      <c r="Y23" s="46" t="s">
        <v>99</v>
      </c>
      <c r="Z23" s="46">
        <v>47</v>
      </c>
      <c r="AA23" s="46">
        <v>12</v>
      </c>
      <c r="AB23" s="56">
        <f t="shared" si="14"/>
        <v>2.9166666666666665</v>
      </c>
    </row>
    <row r="24" spans="2:28" ht="15.75" customHeight="1" x14ac:dyDescent="0.3">
      <c r="C24" s="46" t="s">
        <v>100</v>
      </c>
      <c r="D24" s="53">
        <f t="shared" ref="D24:F24" si="21">(D28/D29)-1</f>
        <v>0.23083253326018371</v>
      </c>
      <c r="E24" s="53">
        <f t="shared" si="21"/>
        <v>0.27194719471947204</v>
      </c>
      <c r="F24" s="53">
        <f t="shared" si="21"/>
        <v>0.2832941176470587</v>
      </c>
      <c r="G24" s="60">
        <f>G28</f>
        <v>0.17599999999999999</v>
      </c>
      <c r="H24" s="53">
        <f t="shared" ref="H24:I24" si="22">(H28/H29)-1</f>
        <v>1.2483660130718954</v>
      </c>
      <c r="I24" s="53">
        <f t="shared" si="22"/>
        <v>0.12337474718289521</v>
      </c>
      <c r="J24" s="61">
        <f t="shared" ref="J24:K24" si="23">J28</f>
        <v>34.059405940594061</v>
      </c>
      <c r="K24" s="61">
        <f t="shared" si="23"/>
        <v>14.257425742574258</v>
      </c>
      <c r="L24" s="59">
        <f t="shared" si="11"/>
        <v>24.158415841584159</v>
      </c>
      <c r="O24" s="46" t="s">
        <v>53</v>
      </c>
      <c r="P24" s="46">
        <v>3327</v>
      </c>
      <c r="Q24" s="46">
        <v>3664</v>
      </c>
      <c r="R24" s="56">
        <f t="shared" si="12"/>
        <v>-9.1975982532751077E-2</v>
      </c>
      <c r="T24" s="46" t="s">
        <v>53</v>
      </c>
      <c r="U24" s="46">
        <v>1385</v>
      </c>
      <c r="V24" s="46">
        <v>2020</v>
      </c>
      <c r="W24" s="56">
        <f t="shared" si="13"/>
        <v>-0.3143564356435643</v>
      </c>
      <c r="Y24" s="46" t="s">
        <v>53</v>
      </c>
      <c r="Z24" s="46">
        <v>1941</v>
      </c>
      <c r="AA24" s="46">
        <v>1644</v>
      </c>
      <c r="AB24" s="56">
        <f t="shared" si="14"/>
        <v>0.18065693430656937</v>
      </c>
    </row>
    <row r="25" spans="2:28" ht="15.75" customHeight="1" x14ac:dyDescent="0.3">
      <c r="B25" s="5"/>
      <c r="C25" s="5"/>
      <c r="D25" s="5"/>
      <c r="E25" s="5"/>
      <c r="F25" s="45"/>
      <c r="G25" s="5"/>
      <c r="H25" s="5"/>
      <c r="I25" s="5"/>
      <c r="J25" s="5"/>
      <c r="K25" s="5"/>
      <c r="L25" s="5">
        <v>19</v>
      </c>
      <c r="O25" s="46" t="s">
        <v>101</v>
      </c>
      <c r="P25" s="46">
        <v>279</v>
      </c>
      <c r="Q25" s="46">
        <v>283</v>
      </c>
      <c r="R25" s="56">
        <f t="shared" si="12"/>
        <v>-1.4134275618374548E-2</v>
      </c>
      <c r="T25" s="46" t="s">
        <v>101</v>
      </c>
      <c r="U25" s="46">
        <v>279</v>
      </c>
      <c r="V25" s="46">
        <v>283</v>
      </c>
      <c r="W25" s="56">
        <f t="shared" si="13"/>
        <v>-1.4134275618374548E-2</v>
      </c>
      <c r="Y25" s="46" t="s">
        <v>101</v>
      </c>
      <c r="Z25" s="46">
        <v>279</v>
      </c>
      <c r="AA25" s="46">
        <v>283</v>
      </c>
      <c r="AB25" s="56">
        <f t="shared" si="14"/>
        <v>-1.4134275618374548E-2</v>
      </c>
    </row>
    <row r="26" spans="2:28" ht="15.75" customHeight="1" x14ac:dyDescent="0.3">
      <c r="B26" s="62" t="s">
        <v>102</v>
      </c>
      <c r="C26" s="62" t="s">
        <v>51</v>
      </c>
      <c r="D26" s="39" t="s">
        <v>52</v>
      </c>
      <c r="E26" s="39" t="s">
        <v>53</v>
      </c>
      <c r="F26" s="39" t="s">
        <v>54</v>
      </c>
      <c r="G26" s="39" t="s">
        <v>85</v>
      </c>
      <c r="H26" s="39" t="s">
        <v>86</v>
      </c>
      <c r="I26" s="39" t="s">
        <v>87</v>
      </c>
      <c r="J26" s="39" t="s">
        <v>88</v>
      </c>
      <c r="K26" s="39" t="s">
        <v>89</v>
      </c>
      <c r="L26" s="5"/>
      <c r="O26" s="46" t="s">
        <v>54</v>
      </c>
      <c r="P26" s="63">
        <v>119.2</v>
      </c>
      <c r="Q26" s="63">
        <v>129.6</v>
      </c>
      <c r="R26" s="56">
        <f t="shared" si="12"/>
        <v>-8.0246913580246826E-2</v>
      </c>
      <c r="T26" s="46" t="s">
        <v>54</v>
      </c>
      <c r="U26" s="63">
        <v>49.7</v>
      </c>
      <c r="V26" s="63">
        <v>71.400000000000006</v>
      </c>
      <c r="W26" s="56">
        <f t="shared" si="13"/>
        <v>-0.30392156862745101</v>
      </c>
      <c r="Y26" s="46" t="s">
        <v>54</v>
      </c>
      <c r="Z26" s="63">
        <v>69.599999999999994</v>
      </c>
      <c r="AA26" s="63">
        <v>58.1</v>
      </c>
      <c r="AB26" s="56">
        <f t="shared" si="14"/>
        <v>0.19793459552495674</v>
      </c>
    </row>
    <row r="27" spans="2:28" ht="15.75" customHeight="1" x14ac:dyDescent="0.3">
      <c r="B27" s="46"/>
      <c r="C27" s="64" t="s">
        <v>103</v>
      </c>
      <c r="D27" s="46">
        <f>D28+P21-Q21</f>
        <v>48899</v>
      </c>
      <c r="E27" s="46">
        <f>E28+P24-Q24</f>
        <v>7371</v>
      </c>
      <c r="F27" s="46">
        <v>262.39999999999998</v>
      </c>
      <c r="G27" s="60">
        <v>0.13200000000000001</v>
      </c>
      <c r="H27" s="46">
        <v>12774</v>
      </c>
      <c r="I27" s="46">
        <v>4903</v>
      </c>
      <c r="J27" s="65">
        <f t="shared" ref="J27:J43" si="24">H27/F27</f>
        <v>48.681402439024396</v>
      </c>
      <c r="K27" s="65">
        <f t="shared" ref="K27:K43" si="25">I27/F27</f>
        <v>18.685213414634148</v>
      </c>
      <c r="O27" s="46" t="s">
        <v>80</v>
      </c>
      <c r="P27" s="56">
        <f t="shared" ref="P27:Q27" si="26">P24/P21</f>
        <v>0.13213392112474681</v>
      </c>
      <c r="Q27" s="56">
        <f t="shared" si="26"/>
        <v>0.17323877068557919</v>
      </c>
      <c r="R27" s="56">
        <f>P27-Q27</f>
        <v>-4.1104849560832379E-2</v>
      </c>
      <c r="T27" s="46" t="s">
        <v>80</v>
      </c>
      <c r="U27" s="56">
        <f t="shared" ref="U27:V27" si="27">U24/U21</f>
        <v>0.10807647288333984</v>
      </c>
      <c r="V27" s="56">
        <f t="shared" si="27"/>
        <v>0.19083608880491262</v>
      </c>
      <c r="W27" s="56">
        <f>U27-V27</f>
        <v>-8.2759615921572785E-2</v>
      </c>
      <c r="Y27" s="46" t="s">
        <v>80</v>
      </c>
      <c r="Z27" s="56">
        <f t="shared" ref="Z27:AA27" si="28">Z24/Z21</f>
        <v>0.16267180690579952</v>
      </c>
      <c r="AA27" s="56">
        <f t="shared" si="28"/>
        <v>0.15942591155934832</v>
      </c>
      <c r="AB27" s="56">
        <f>Z27-AA27</f>
        <v>3.2458953464511997E-3</v>
      </c>
    </row>
    <row r="28" spans="2:28" ht="15.75" customHeight="1" x14ac:dyDescent="0.3">
      <c r="B28" s="46"/>
      <c r="C28" s="64" t="s">
        <v>104</v>
      </c>
      <c r="D28" s="46">
        <v>44870</v>
      </c>
      <c r="E28" s="46">
        <v>7708</v>
      </c>
      <c r="F28" s="46">
        <v>272.7</v>
      </c>
      <c r="G28" s="60">
        <v>0.17599999999999999</v>
      </c>
      <c r="H28" s="46">
        <v>9288</v>
      </c>
      <c r="I28" s="46">
        <v>3888</v>
      </c>
      <c r="J28" s="65">
        <f t="shared" si="24"/>
        <v>34.059405940594061</v>
      </c>
      <c r="K28" s="65">
        <f t="shared" si="25"/>
        <v>14.257425742574258</v>
      </c>
      <c r="O28" s="46" t="s">
        <v>39</v>
      </c>
      <c r="P28" s="66">
        <f t="shared" ref="P28:Q28" si="29">(P21-P22+P23)/P23</f>
        <v>39.598360655737707</v>
      </c>
      <c r="Q28" s="66">
        <f t="shared" si="29"/>
        <v>204.42105263157896</v>
      </c>
      <c r="R28" s="56">
        <f>(P28/Q28)^(1/1)-1</f>
        <v>-0.80629020276544372</v>
      </c>
      <c r="T28" s="46" t="s">
        <v>39</v>
      </c>
      <c r="U28" s="66">
        <f t="shared" ref="U28:V28" si="30">(U21-U22+U23)/U23</f>
        <v>28.306666666666668</v>
      </c>
      <c r="V28" s="66">
        <f t="shared" si="30"/>
        <v>297.5</v>
      </c>
      <c r="W28" s="56">
        <f>(U28/V28)^(1/1)-1</f>
        <v>-0.90485154061624651</v>
      </c>
      <c r="Y28" s="46" t="s">
        <v>39</v>
      </c>
      <c r="Z28" s="66">
        <f t="shared" ref="Z28:AA28" si="31">(Z21-Z22+Z23)/Z23</f>
        <v>48.425531914893618</v>
      </c>
      <c r="AA28" s="66">
        <f t="shared" si="31"/>
        <v>153.75</v>
      </c>
      <c r="AB28" s="56">
        <f>(Z28/AA28)^(1/1)-1</f>
        <v>-0.68503719079743997</v>
      </c>
    </row>
    <row r="29" spans="2:28" ht="15.75" customHeight="1" x14ac:dyDescent="0.3">
      <c r="B29" s="46"/>
      <c r="C29" s="64" t="s">
        <v>105</v>
      </c>
      <c r="D29" s="46">
        <v>36455</v>
      </c>
      <c r="E29" s="46">
        <v>6060</v>
      </c>
      <c r="F29" s="46">
        <v>212.5</v>
      </c>
      <c r="G29" s="60">
        <v>0.16600000000000001</v>
      </c>
      <c r="H29" s="46">
        <v>4131</v>
      </c>
      <c r="I29" s="46">
        <v>3461</v>
      </c>
      <c r="J29" s="65">
        <f t="shared" si="24"/>
        <v>19.440000000000001</v>
      </c>
      <c r="K29" s="65">
        <f t="shared" si="25"/>
        <v>16.28705882352941</v>
      </c>
    </row>
    <row r="30" spans="2:28" ht="15.75" customHeight="1" x14ac:dyDescent="0.3">
      <c r="B30" s="46"/>
      <c r="C30" s="50" t="s">
        <v>106</v>
      </c>
      <c r="D30" s="67">
        <v>33145</v>
      </c>
      <c r="E30" s="67">
        <v>6166</v>
      </c>
      <c r="F30" s="68">
        <v>213.2</v>
      </c>
      <c r="G30" s="57">
        <f t="shared" ref="G30:G52" si="32">E30/D30</f>
        <v>0.1860310755770101</v>
      </c>
      <c r="H30" s="68">
        <v>4347</v>
      </c>
      <c r="I30" s="68">
        <v>3027</v>
      </c>
      <c r="J30" s="65">
        <f t="shared" si="24"/>
        <v>20.389305816135085</v>
      </c>
      <c r="K30" s="65">
        <f t="shared" si="25"/>
        <v>14.197936210131333</v>
      </c>
      <c r="L30" s="5"/>
      <c r="O30" s="69" t="s">
        <v>107</v>
      </c>
      <c r="P30" s="39" t="s">
        <v>77</v>
      </c>
      <c r="Q30" s="39" t="s">
        <v>91</v>
      </c>
      <c r="R30" s="70" t="s">
        <v>108</v>
      </c>
      <c r="S30" s="70" t="s">
        <v>28</v>
      </c>
    </row>
    <row r="31" spans="2:28" ht="15.75" customHeight="1" x14ac:dyDescent="0.3">
      <c r="B31" s="46"/>
      <c r="C31" s="50" t="s">
        <v>109</v>
      </c>
      <c r="D31" s="67">
        <v>27741</v>
      </c>
      <c r="E31" s="67">
        <v>4857</v>
      </c>
      <c r="F31" s="68">
        <v>167.9</v>
      </c>
      <c r="G31" s="57">
        <f t="shared" si="32"/>
        <v>0.17508381096571862</v>
      </c>
      <c r="H31" s="68">
        <v>4361</v>
      </c>
      <c r="I31" s="68">
        <v>1958</v>
      </c>
      <c r="J31" s="65">
        <f t="shared" si="24"/>
        <v>25.973793924955331</v>
      </c>
      <c r="K31" s="65">
        <f t="shared" si="25"/>
        <v>11.661703394877904</v>
      </c>
      <c r="L31" s="5"/>
      <c r="O31" s="46" t="s">
        <v>110</v>
      </c>
      <c r="P31" s="46">
        <v>16028</v>
      </c>
      <c r="Q31" s="46">
        <v>13918</v>
      </c>
      <c r="R31" s="53">
        <f t="shared" ref="R31:R37" si="33">P31/$P$39</f>
        <v>0.7823879722737479</v>
      </c>
      <c r="S31" s="53">
        <f t="shared" ref="S31:S37" si="34">(P31/Q31)^(1/1)-1</f>
        <v>0.1516022417013938</v>
      </c>
    </row>
    <row r="32" spans="2:28" ht="15.75" customHeight="1" x14ac:dyDescent="0.3">
      <c r="B32" s="44"/>
      <c r="C32" s="50" t="s">
        <v>111</v>
      </c>
      <c r="D32" s="67">
        <v>31443</v>
      </c>
      <c r="E32" s="67">
        <v>5212</v>
      </c>
      <c r="F32" s="68">
        <v>180.2</v>
      </c>
      <c r="G32" s="57">
        <f t="shared" si="32"/>
        <v>0.1657602646057946</v>
      </c>
      <c r="H32" s="68">
        <v>3315</v>
      </c>
      <c r="I32" s="68">
        <v>1794</v>
      </c>
      <c r="J32" s="65">
        <f t="shared" si="24"/>
        <v>18.39622641509434</v>
      </c>
      <c r="K32" s="65">
        <f t="shared" si="25"/>
        <v>9.9556048834628204</v>
      </c>
      <c r="L32" s="5"/>
      <c r="O32" s="46" t="s">
        <v>112</v>
      </c>
      <c r="P32" s="46">
        <v>1607</v>
      </c>
      <c r="Q32" s="46">
        <v>1189</v>
      </c>
      <c r="R32" s="53">
        <f t="shared" si="33"/>
        <v>7.8443815288489704E-2</v>
      </c>
      <c r="S32" s="53">
        <f t="shared" si="34"/>
        <v>0.35155592935239688</v>
      </c>
    </row>
    <row r="33" spans="2:26" ht="15.75" customHeight="1" x14ac:dyDescent="0.3">
      <c r="B33" s="44"/>
      <c r="C33" s="50" t="s">
        <v>113</v>
      </c>
      <c r="D33" s="65">
        <v>31702</v>
      </c>
      <c r="E33" s="65">
        <v>4928</v>
      </c>
      <c r="F33" s="44">
        <v>170.3</v>
      </c>
      <c r="G33" s="57">
        <f t="shared" si="32"/>
        <v>0.15544760582928521</v>
      </c>
      <c r="H33" s="44">
        <v>3214</v>
      </c>
      <c r="I33" s="44">
        <v>2425</v>
      </c>
      <c r="J33" s="65">
        <f t="shared" si="24"/>
        <v>18.872577803875512</v>
      </c>
      <c r="K33" s="65">
        <f t="shared" si="25"/>
        <v>14.239577216676452</v>
      </c>
      <c r="L33" s="5"/>
      <c r="O33" s="46" t="s">
        <v>114</v>
      </c>
      <c r="P33" s="46">
        <v>1505</v>
      </c>
      <c r="Q33" s="46">
        <v>1281</v>
      </c>
      <c r="R33" s="53">
        <f t="shared" si="33"/>
        <v>7.3464805232841934E-2</v>
      </c>
      <c r="S33" s="53">
        <f t="shared" si="34"/>
        <v>0.17486338797814205</v>
      </c>
    </row>
    <row r="34" spans="2:26" ht="15.75" customHeight="1" x14ac:dyDescent="0.3">
      <c r="B34" s="44"/>
      <c r="C34" s="50" t="s">
        <v>115</v>
      </c>
      <c r="D34" s="65">
        <v>26911</v>
      </c>
      <c r="E34" s="65">
        <v>4068</v>
      </c>
      <c r="F34" s="44">
        <v>140.6</v>
      </c>
      <c r="G34" s="57">
        <f t="shared" si="32"/>
        <v>0.15116495113522352</v>
      </c>
      <c r="H34" s="44">
        <v>3473</v>
      </c>
      <c r="I34" s="44">
        <v>2695</v>
      </c>
      <c r="J34" s="65">
        <f t="shared" si="24"/>
        <v>24.701280227596019</v>
      </c>
      <c r="K34" s="65">
        <f t="shared" si="25"/>
        <v>19.167852062588906</v>
      </c>
      <c r="L34" s="5"/>
      <c r="O34" s="46" t="s">
        <v>116</v>
      </c>
      <c r="P34" s="46">
        <v>967</v>
      </c>
      <c r="Q34" s="46">
        <v>802</v>
      </c>
      <c r="R34" s="53">
        <f t="shared" si="33"/>
        <v>4.7202967880503759E-2</v>
      </c>
      <c r="S34" s="53">
        <f t="shared" si="34"/>
        <v>0.2057356608478802</v>
      </c>
    </row>
    <row r="35" spans="2:26" ht="15.75" customHeight="1" x14ac:dyDescent="0.3">
      <c r="B35" s="44" t="s">
        <v>117</v>
      </c>
      <c r="C35" s="64" t="s">
        <v>118</v>
      </c>
      <c r="D35" s="65">
        <v>24310</v>
      </c>
      <c r="E35" s="65">
        <v>3828</v>
      </c>
      <c r="F35" s="44">
        <v>132.30000000000001</v>
      </c>
      <c r="G35" s="57">
        <f t="shared" si="32"/>
        <v>0.15746606334841629</v>
      </c>
      <c r="H35" s="44">
        <v>3122</v>
      </c>
      <c r="I35" s="44">
        <v>2350</v>
      </c>
      <c r="J35" s="65">
        <f t="shared" si="24"/>
        <v>23.597883597883595</v>
      </c>
      <c r="K35" s="65">
        <f t="shared" si="25"/>
        <v>17.762660619803476</v>
      </c>
      <c r="L35" s="5"/>
      <c r="O35" s="46" t="s">
        <v>119</v>
      </c>
      <c r="P35" s="46">
        <v>64</v>
      </c>
      <c r="Q35" s="46">
        <v>-77</v>
      </c>
      <c r="R35" s="53">
        <f t="shared" si="33"/>
        <v>3.124084740798594E-3</v>
      </c>
      <c r="S35" s="53">
        <f t="shared" si="34"/>
        <v>-1.8311688311688312</v>
      </c>
    </row>
    <row r="36" spans="2:26" ht="15.75" customHeight="1" x14ac:dyDescent="0.3">
      <c r="B36" s="44"/>
      <c r="C36" s="50" t="s">
        <v>120</v>
      </c>
      <c r="D36" s="65">
        <v>23601</v>
      </c>
      <c r="E36" s="65">
        <v>3652</v>
      </c>
      <c r="F36" s="44">
        <v>126.2</v>
      </c>
      <c r="G36" s="57">
        <f t="shared" si="32"/>
        <v>0.15473920596584889</v>
      </c>
      <c r="H36" s="44">
        <v>2655</v>
      </c>
      <c r="I36" s="44">
        <v>1914</v>
      </c>
      <c r="J36" s="65">
        <f t="shared" si="24"/>
        <v>21.038034865293184</v>
      </c>
      <c r="K36" s="65">
        <f t="shared" si="25"/>
        <v>15.166402535657685</v>
      </c>
      <c r="L36" s="5"/>
      <c r="O36" s="46" t="s">
        <v>121</v>
      </c>
      <c r="P36" s="46">
        <v>193</v>
      </c>
      <c r="Q36" s="46">
        <v>179</v>
      </c>
      <c r="R36" s="53">
        <f t="shared" si="33"/>
        <v>9.4210680464707607E-3</v>
      </c>
      <c r="S36" s="53">
        <f t="shared" si="34"/>
        <v>7.8212290502793325E-2</v>
      </c>
    </row>
    <row r="37" spans="2:26" ht="15.75" customHeight="1" x14ac:dyDescent="0.3">
      <c r="B37" s="44"/>
      <c r="C37" s="50" t="s">
        <v>122</v>
      </c>
      <c r="D37" s="65">
        <v>22195</v>
      </c>
      <c r="E37" s="65">
        <v>2814</v>
      </c>
      <c r="F37" s="44">
        <v>97.2</v>
      </c>
      <c r="G37" s="57">
        <f t="shared" si="32"/>
        <v>0.12678531200720883</v>
      </c>
      <c r="H37" s="44">
        <v>2690</v>
      </c>
      <c r="I37" s="44">
        <v>1844</v>
      </c>
      <c r="J37" s="65">
        <f t="shared" si="24"/>
        <v>27.674897119341562</v>
      </c>
      <c r="K37" s="65">
        <f t="shared" si="25"/>
        <v>18.97119341563786</v>
      </c>
      <c r="L37" s="5"/>
      <c r="O37" s="46" t="s">
        <v>123</v>
      </c>
      <c r="P37" s="46">
        <v>122</v>
      </c>
      <c r="Q37" s="46">
        <v>19</v>
      </c>
      <c r="R37" s="53">
        <f t="shared" si="33"/>
        <v>5.9552865371473203E-3</v>
      </c>
      <c r="S37" s="53">
        <f t="shared" si="34"/>
        <v>5.4210526315789478</v>
      </c>
    </row>
    <row r="38" spans="2:26" ht="15.75" customHeight="1" x14ac:dyDescent="0.3">
      <c r="B38" s="44"/>
      <c r="C38" s="64" t="s">
        <v>124</v>
      </c>
      <c r="D38" s="65">
        <v>20856</v>
      </c>
      <c r="E38" s="65">
        <v>3243</v>
      </c>
      <c r="F38" s="44">
        <v>112.1</v>
      </c>
      <c r="G38" s="57">
        <f t="shared" si="32"/>
        <v>0.15549482163406214</v>
      </c>
      <c r="H38" s="44">
        <v>2194</v>
      </c>
      <c r="I38" s="44">
        <v>1658</v>
      </c>
      <c r="J38" s="65">
        <f t="shared" si="24"/>
        <v>19.571810883140053</v>
      </c>
      <c r="K38" s="65">
        <f t="shared" si="25"/>
        <v>14.790365744870652</v>
      </c>
      <c r="L38" s="5"/>
    </row>
    <row r="39" spans="2:26" ht="15.75" customHeight="1" x14ac:dyDescent="0.3">
      <c r="B39" s="44"/>
      <c r="C39" s="50" t="s">
        <v>125</v>
      </c>
      <c r="D39" s="44">
        <v>19998</v>
      </c>
      <c r="E39" s="71">
        <v>3044</v>
      </c>
      <c r="F39" s="44">
        <v>105.2</v>
      </c>
      <c r="G39" s="57">
        <f t="shared" si="32"/>
        <v>0.15221522152215222</v>
      </c>
      <c r="H39" s="44">
        <v>2229</v>
      </c>
      <c r="I39" s="44">
        <v>1423</v>
      </c>
      <c r="J39" s="65">
        <f t="shared" si="24"/>
        <v>21.188212927756652</v>
      </c>
      <c r="K39" s="65">
        <f t="shared" si="25"/>
        <v>13.526615969581748</v>
      </c>
      <c r="L39" s="5"/>
      <c r="O39" s="72" t="s">
        <v>24</v>
      </c>
      <c r="P39" s="73">
        <f t="shared" ref="P39:Q39" si="35">SUM(P31:P37)</f>
        <v>20486</v>
      </c>
      <c r="Q39" s="73">
        <f t="shared" si="35"/>
        <v>17311</v>
      </c>
      <c r="R39" s="53">
        <f>P39/$P$39</f>
        <v>1</v>
      </c>
      <c r="S39" s="74">
        <f>(P39/Q39)^(1/1)-1</f>
        <v>0.18340939287158453</v>
      </c>
    </row>
    <row r="40" spans="2:26" ht="15.75" customHeight="1" x14ac:dyDescent="0.3">
      <c r="B40" s="44"/>
      <c r="C40" s="50" t="s">
        <v>126</v>
      </c>
      <c r="D40" s="44">
        <v>19529</v>
      </c>
      <c r="E40" s="71">
        <v>3004</v>
      </c>
      <c r="F40" s="44">
        <v>103.8</v>
      </c>
      <c r="G40" s="57">
        <f t="shared" si="32"/>
        <v>0.15382252035434482</v>
      </c>
      <c r="H40" s="44">
        <v>1839</v>
      </c>
      <c r="I40" s="44">
        <v>1260</v>
      </c>
      <c r="J40" s="65">
        <f t="shared" si="24"/>
        <v>17.716763005780347</v>
      </c>
      <c r="K40" s="65">
        <f t="shared" si="25"/>
        <v>12.138728323699421</v>
      </c>
      <c r="L40" s="5"/>
    </row>
    <row r="41" spans="2:26" ht="15.75" customHeight="1" x14ac:dyDescent="0.3">
      <c r="B41" s="44" t="s">
        <v>127</v>
      </c>
      <c r="C41" s="64" t="s">
        <v>128</v>
      </c>
      <c r="D41" s="44">
        <v>16609</v>
      </c>
      <c r="E41" s="71">
        <v>3340</v>
      </c>
      <c r="F41" s="44">
        <v>115.4</v>
      </c>
      <c r="G41" s="57">
        <f t="shared" si="32"/>
        <v>0.20109579143837678</v>
      </c>
      <c r="H41" s="44">
        <v>1665</v>
      </c>
      <c r="I41" s="44">
        <v>994</v>
      </c>
      <c r="J41" s="65">
        <f t="shared" si="24"/>
        <v>14.428076256499132</v>
      </c>
      <c r="K41" s="65">
        <f t="shared" si="25"/>
        <v>8.6135181975736561</v>
      </c>
      <c r="L41" s="5"/>
      <c r="O41" s="39" t="s">
        <v>129</v>
      </c>
      <c r="P41" s="39" t="s">
        <v>130</v>
      </c>
      <c r="Q41" s="39" t="s">
        <v>77</v>
      </c>
      <c r="R41" s="39" t="s">
        <v>91</v>
      </c>
      <c r="S41" s="39" t="s">
        <v>27</v>
      </c>
      <c r="V41" s="39" t="s">
        <v>129</v>
      </c>
      <c r="W41" s="39" t="s">
        <v>130</v>
      </c>
      <c r="X41" s="39" t="s">
        <v>76</v>
      </c>
      <c r="Y41" s="39" t="s">
        <v>94</v>
      </c>
      <c r="Z41" s="39" t="s">
        <v>27</v>
      </c>
    </row>
    <row r="42" spans="2:26" ht="15.75" customHeight="1" x14ac:dyDescent="0.3">
      <c r="B42" s="44"/>
      <c r="C42" s="50" t="s">
        <v>131</v>
      </c>
      <c r="D42" s="44">
        <v>11543</v>
      </c>
      <c r="E42" s="71">
        <v>1598</v>
      </c>
      <c r="F42" s="44">
        <v>145</v>
      </c>
      <c r="G42" s="57">
        <f t="shared" si="32"/>
        <v>0.13843888070692195</v>
      </c>
      <c r="H42" s="44">
        <v>2055</v>
      </c>
      <c r="I42" s="44">
        <v>591</v>
      </c>
      <c r="J42" s="65">
        <f t="shared" si="24"/>
        <v>14.172413793103448</v>
      </c>
      <c r="K42" s="65">
        <f t="shared" si="25"/>
        <v>4.0758620689655176</v>
      </c>
      <c r="O42" s="5" t="s">
        <v>132</v>
      </c>
      <c r="P42" s="46" t="s">
        <v>133</v>
      </c>
      <c r="Q42" s="46">
        <v>1219298</v>
      </c>
      <c r="R42" s="46">
        <v>1048251</v>
      </c>
      <c r="S42" s="56">
        <f t="shared" ref="S42:S44" si="36">(Q42/R42)-1</f>
        <v>0.16317370553426613</v>
      </c>
      <c r="V42" s="5" t="s">
        <v>132</v>
      </c>
      <c r="W42" s="46" t="s">
        <v>133</v>
      </c>
      <c r="X42" s="46">
        <v>582497</v>
      </c>
      <c r="Y42" s="46">
        <v>542931</v>
      </c>
      <c r="Z42" s="56">
        <f t="shared" ref="Z42:Z44" si="37">(X42/Y42)-1</f>
        <v>7.2874822030792208E-2</v>
      </c>
    </row>
    <row r="43" spans="2:26" ht="15.75" customHeight="1" x14ac:dyDescent="0.3">
      <c r="B43" s="44" t="s">
        <v>134</v>
      </c>
      <c r="C43" s="50" t="s">
        <v>135</v>
      </c>
      <c r="D43" s="44">
        <v>8810</v>
      </c>
      <c r="E43" s="71">
        <v>655</v>
      </c>
      <c r="F43" s="44">
        <v>45.2</v>
      </c>
      <c r="G43" s="57">
        <f t="shared" si="32"/>
        <v>7.4347332576617478E-2</v>
      </c>
      <c r="H43" s="44">
        <f>473*2</f>
        <v>946</v>
      </c>
      <c r="I43" s="44">
        <f>147*2</f>
        <v>294</v>
      </c>
      <c r="J43" s="65">
        <f t="shared" si="24"/>
        <v>20.929203539823007</v>
      </c>
      <c r="K43" s="65">
        <f t="shared" si="25"/>
        <v>6.5044247787610612</v>
      </c>
      <c r="L43" s="5"/>
      <c r="P43" s="46" t="s">
        <v>136</v>
      </c>
      <c r="Q43" s="46">
        <v>248034</v>
      </c>
      <c r="R43" s="46">
        <v>230861</v>
      </c>
      <c r="S43" s="56">
        <f t="shared" si="36"/>
        <v>7.4386752201541118E-2</v>
      </c>
      <c r="W43" s="46" t="s">
        <v>136</v>
      </c>
      <c r="X43" s="46">
        <v>108124</v>
      </c>
      <c r="Y43" s="46">
        <v>98625</v>
      </c>
      <c r="Z43" s="56">
        <f t="shared" si="37"/>
        <v>9.6314321926489255E-2</v>
      </c>
    </row>
    <row r="44" spans="2:26" ht="15.75" customHeight="1" x14ac:dyDescent="0.3">
      <c r="B44" s="44"/>
      <c r="C44" s="64" t="s">
        <v>137</v>
      </c>
      <c r="D44" s="44">
        <v>9164</v>
      </c>
      <c r="E44" s="71">
        <v>726</v>
      </c>
      <c r="F44" s="44">
        <v>53.7</v>
      </c>
      <c r="G44" s="57">
        <f t="shared" si="32"/>
        <v>7.9223046704495856E-2</v>
      </c>
      <c r="H44" s="5"/>
      <c r="I44" s="5"/>
      <c r="J44" s="5"/>
      <c r="K44" s="5"/>
      <c r="L44" s="5"/>
      <c r="P44" s="75" t="s">
        <v>24</v>
      </c>
      <c r="Q44" s="75">
        <f t="shared" ref="Q44:R44" si="38">SUM(Q42:Q43)</f>
        <v>1467332</v>
      </c>
      <c r="R44" s="75">
        <f t="shared" si="38"/>
        <v>1279112</v>
      </c>
      <c r="S44" s="56">
        <f t="shared" si="36"/>
        <v>0.14714895959071606</v>
      </c>
      <c r="W44" s="75" t="s">
        <v>24</v>
      </c>
      <c r="X44" s="75">
        <f t="shared" ref="X44:Y44" si="39">SUM(X42:X43)</f>
        <v>690621</v>
      </c>
      <c r="Y44" s="75">
        <f t="shared" si="39"/>
        <v>641556</v>
      </c>
      <c r="Z44" s="56">
        <f t="shared" si="37"/>
        <v>7.647812505845164E-2</v>
      </c>
    </row>
    <row r="45" spans="2:26" ht="15.75" customHeight="1" x14ac:dyDescent="0.3">
      <c r="B45" s="44"/>
      <c r="C45" s="50" t="s">
        <v>138</v>
      </c>
      <c r="D45" s="44">
        <v>9520</v>
      </c>
      <c r="E45" s="71">
        <v>1238</v>
      </c>
      <c r="F45" s="59">
        <f t="shared" ref="F45:F46" si="40">(E45*F44)/E44</f>
        <v>91.5710743801653</v>
      </c>
      <c r="G45" s="57">
        <f t="shared" si="32"/>
        <v>0.1300420168067227</v>
      </c>
      <c r="H45" s="5"/>
      <c r="I45" s="5"/>
      <c r="J45" s="5"/>
      <c r="K45" s="5"/>
      <c r="L45" s="5"/>
      <c r="O45" s="39" t="s">
        <v>139</v>
      </c>
      <c r="P45" s="39" t="s">
        <v>130</v>
      </c>
      <c r="Q45" s="39" t="s">
        <v>77</v>
      </c>
      <c r="R45" s="39" t="s">
        <v>91</v>
      </c>
      <c r="S45" s="39" t="s">
        <v>27</v>
      </c>
      <c r="V45" s="39" t="s">
        <v>139</v>
      </c>
      <c r="W45" s="39" t="s">
        <v>130</v>
      </c>
      <c r="X45" s="39" t="s">
        <v>76</v>
      </c>
      <c r="Y45" s="39" t="s">
        <v>94</v>
      </c>
      <c r="Z45" s="39" t="s">
        <v>27</v>
      </c>
    </row>
    <row r="46" spans="2:26" ht="15.75" customHeight="1" x14ac:dyDescent="0.3">
      <c r="B46" s="46"/>
      <c r="C46" s="64" t="s">
        <v>140</v>
      </c>
      <c r="D46" s="44">
        <v>7668</v>
      </c>
      <c r="E46" s="71">
        <v>1102</v>
      </c>
      <c r="F46" s="59">
        <f t="shared" si="40"/>
        <v>81.511570247933889</v>
      </c>
      <c r="G46" s="57">
        <f t="shared" si="32"/>
        <v>0.14371413667188315</v>
      </c>
      <c r="H46" s="5"/>
      <c r="I46" s="5"/>
      <c r="J46" s="5"/>
      <c r="K46" s="5"/>
      <c r="L46" s="5"/>
      <c r="O46" s="5" t="s">
        <v>132</v>
      </c>
      <c r="P46" s="46" t="s">
        <v>133</v>
      </c>
      <c r="Q46" s="46">
        <v>764827</v>
      </c>
      <c r="R46" s="46">
        <v>722662</v>
      </c>
      <c r="S46" s="56">
        <f t="shared" ref="S46:S48" si="41">(Q46/R46)^(1/1)-1</f>
        <v>5.8346778992115267E-2</v>
      </c>
      <c r="V46" s="5" t="s">
        <v>132</v>
      </c>
      <c r="W46" s="46" t="s">
        <v>133</v>
      </c>
      <c r="X46" s="46">
        <v>368420</v>
      </c>
      <c r="Y46" s="46">
        <v>346399</v>
      </c>
      <c r="Z46" s="56">
        <f t="shared" ref="Z46:Z48" si="42">(X46/Y46)^(1/1)-1</f>
        <v>6.3571199685911406E-2</v>
      </c>
    </row>
    <row r="47" spans="2:26" ht="15.75" customHeight="1" x14ac:dyDescent="0.3">
      <c r="B47" s="46"/>
      <c r="C47" s="50" t="s">
        <v>141</v>
      </c>
      <c r="D47" s="76">
        <v>5743</v>
      </c>
      <c r="E47" s="76">
        <v>801</v>
      </c>
      <c r="F47" s="77">
        <v>78.72</v>
      </c>
      <c r="G47" s="57">
        <f t="shared" si="32"/>
        <v>0.13947414243426781</v>
      </c>
      <c r="P47" s="46" t="s">
        <v>136</v>
      </c>
      <c r="Q47" s="46">
        <v>91401</v>
      </c>
      <c r="R47" s="46">
        <v>79586</v>
      </c>
      <c r="S47" s="56">
        <f t="shared" si="41"/>
        <v>0.14845575855049886</v>
      </c>
      <c r="W47" s="46" t="s">
        <v>136</v>
      </c>
      <c r="X47" s="46">
        <v>43015</v>
      </c>
      <c r="Y47" s="46">
        <v>39452</v>
      </c>
      <c r="Z47" s="56">
        <f t="shared" si="42"/>
        <v>9.0312278211497565E-2</v>
      </c>
    </row>
    <row r="48" spans="2:26" ht="15.75" customHeight="1" x14ac:dyDescent="0.3">
      <c r="B48" s="46"/>
      <c r="C48" s="50" t="s">
        <v>142</v>
      </c>
      <c r="D48" s="76">
        <v>4763</v>
      </c>
      <c r="E48" s="76">
        <v>744</v>
      </c>
      <c r="F48" s="77">
        <v>74.2</v>
      </c>
      <c r="G48" s="57">
        <f t="shared" si="32"/>
        <v>0.15620407306319548</v>
      </c>
      <c r="P48" s="75" t="s">
        <v>24</v>
      </c>
      <c r="Q48" s="75">
        <f t="shared" ref="Q48:R48" si="43">SUM(Q46:Q47)</f>
        <v>856228</v>
      </c>
      <c r="R48" s="75">
        <f t="shared" si="43"/>
        <v>802248</v>
      </c>
      <c r="S48" s="78">
        <f t="shared" si="41"/>
        <v>6.7285926546404529E-2</v>
      </c>
      <c r="W48" s="75" t="s">
        <v>24</v>
      </c>
      <c r="X48" s="75">
        <f t="shared" ref="X48:Y48" si="44">SUM(X46:X47)</f>
        <v>411435</v>
      </c>
      <c r="Y48" s="75">
        <f t="shared" si="44"/>
        <v>385851</v>
      </c>
      <c r="Z48" s="78">
        <f t="shared" si="42"/>
        <v>6.6305387312719066E-2</v>
      </c>
    </row>
    <row r="49" spans="2:26" ht="15.75" customHeight="1" x14ac:dyDescent="0.3">
      <c r="B49" s="46"/>
      <c r="C49" s="64" t="s">
        <v>143</v>
      </c>
      <c r="D49" s="76">
        <v>4155</v>
      </c>
      <c r="E49" s="76">
        <v>539</v>
      </c>
      <c r="F49" s="77">
        <v>52.87</v>
      </c>
      <c r="G49" s="57">
        <f t="shared" si="32"/>
        <v>0.12972322503008424</v>
      </c>
      <c r="O49" s="39" t="s">
        <v>144</v>
      </c>
      <c r="P49" s="39" t="s">
        <v>24</v>
      </c>
      <c r="Q49" s="39" t="s">
        <v>77</v>
      </c>
      <c r="R49" s="39" t="s">
        <v>91</v>
      </c>
      <c r="S49" s="39" t="s">
        <v>27</v>
      </c>
      <c r="V49" s="39" t="s">
        <v>144</v>
      </c>
      <c r="W49" s="39" t="s">
        <v>24</v>
      </c>
      <c r="X49" s="39" t="s">
        <v>76</v>
      </c>
      <c r="Y49" s="39" t="s">
        <v>94</v>
      </c>
      <c r="Z49" s="39" t="s">
        <v>27</v>
      </c>
    </row>
    <row r="50" spans="2:26" ht="15.75" customHeight="1" x14ac:dyDescent="0.3">
      <c r="B50" s="46"/>
      <c r="C50" s="50" t="s">
        <v>145</v>
      </c>
      <c r="D50" s="76">
        <v>3600</v>
      </c>
      <c r="E50" s="76">
        <v>496</v>
      </c>
      <c r="F50" s="77">
        <v>49.37</v>
      </c>
      <c r="G50" s="57">
        <f t="shared" si="32"/>
        <v>0.13777777777777778</v>
      </c>
      <c r="O50" s="5" t="s">
        <v>132</v>
      </c>
      <c r="P50" s="46" t="s">
        <v>133</v>
      </c>
      <c r="Q50" s="46">
        <f t="shared" ref="Q50:R51" si="45">Q46+Q42</f>
        <v>1984125</v>
      </c>
      <c r="R50" s="46">
        <f t="shared" si="45"/>
        <v>1770913</v>
      </c>
      <c r="S50" s="56">
        <f t="shared" ref="S50:S52" si="46">(Q50/R50)^(1/1)-1</f>
        <v>0.12039665415522949</v>
      </c>
      <c r="V50" s="5" t="s">
        <v>132</v>
      </c>
      <c r="W50" s="46" t="s">
        <v>133</v>
      </c>
      <c r="X50" s="46">
        <f t="shared" ref="X50:Y51" si="47">X46+X42</f>
        <v>950917</v>
      </c>
      <c r="Y50" s="46">
        <f t="shared" si="47"/>
        <v>889330</v>
      </c>
      <c r="Z50" s="56">
        <f t="shared" ref="Z50:Z52" si="48">(X50/Y50)^(1/1)-1</f>
        <v>6.9251009186691137E-2</v>
      </c>
    </row>
    <row r="51" spans="2:26" ht="15.75" customHeight="1" x14ac:dyDescent="0.3">
      <c r="B51" s="46"/>
      <c r="C51" s="50" t="s">
        <v>146</v>
      </c>
      <c r="D51" s="79">
        <v>3026</v>
      </c>
      <c r="E51" s="79">
        <v>263</v>
      </c>
      <c r="F51" s="46"/>
      <c r="G51" s="57">
        <f t="shared" si="32"/>
        <v>8.6913417052214142E-2</v>
      </c>
      <c r="P51" s="46" t="s">
        <v>136</v>
      </c>
      <c r="Q51" s="46">
        <f t="shared" si="45"/>
        <v>339435</v>
      </c>
      <c r="R51" s="46">
        <f t="shared" si="45"/>
        <v>310447</v>
      </c>
      <c r="S51" s="56">
        <f t="shared" si="46"/>
        <v>9.3375036640714892E-2</v>
      </c>
      <c r="W51" s="46" t="s">
        <v>136</v>
      </c>
      <c r="X51" s="46">
        <f t="shared" si="47"/>
        <v>151139</v>
      </c>
      <c r="Y51" s="46">
        <f t="shared" si="47"/>
        <v>138077</v>
      </c>
      <c r="Z51" s="56">
        <f t="shared" si="48"/>
        <v>9.4599390195325705E-2</v>
      </c>
    </row>
    <row r="52" spans="2:26" ht="15.75" customHeight="1" x14ac:dyDescent="0.3">
      <c r="B52" s="46"/>
      <c r="C52" s="64" t="s">
        <v>147</v>
      </c>
      <c r="D52" s="76">
        <v>3097</v>
      </c>
      <c r="E52" s="76">
        <v>614</v>
      </c>
      <c r="F52" s="46"/>
      <c r="G52" s="57">
        <f t="shared" si="32"/>
        <v>0.19825637713916694</v>
      </c>
      <c r="P52" s="75" t="s">
        <v>24</v>
      </c>
      <c r="Q52" s="75">
        <f t="shared" ref="Q52:R52" si="49">SUM(Q50:Q51)</f>
        <v>2323560</v>
      </c>
      <c r="R52" s="75">
        <f t="shared" si="49"/>
        <v>2081360</v>
      </c>
      <c r="S52" s="78">
        <f t="shared" si="46"/>
        <v>0.11636622208555947</v>
      </c>
      <c r="W52" s="75" t="s">
        <v>24</v>
      </c>
      <c r="X52" s="75">
        <f t="shared" ref="X52:Y52" si="50">SUM(X50:X51)</f>
        <v>1102056</v>
      </c>
      <c r="Y52" s="75">
        <f t="shared" si="50"/>
        <v>1027407</v>
      </c>
      <c r="Z52" s="78">
        <f t="shared" si="48"/>
        <v>7.2657671205276886E-2</v>
      </c>
    </row>
    <row r="78" spans="2:14" ht="15.75" customHeight="1" x14ac:dyDescent="0.3">
      <c r="B78" s="80" t="s">
        <v>148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</row>
    <row r="79" spans="2:14" ht="15.75" customHeight="1" x14ac:dyDescent="0.3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</row>
    <row r="87" spans="5:5" ht="15.75" customHeight="1" x14ac:dyDescent="0.3">
      <c r="E87" s="81"/>
    </row>
    <row r="88" spans="5:5" ht="15.75" customHeight="1" x14ac:dyDescent="0.3">
      <c r="E88" s="82"/>
    </row>
    <row r="89" spans="5:5" ht="15.75" customHeight="1" x14ac:dyDescent="0.3">
      <c r="E89" s="82"/>
    </row>
    <row r="90" spans="5:5" ht="15.75" customHeight="1" x14ac:dyDescent="0.3">
      <c r="E90" s="81"/>
    </row>
    <row r="91" spans="5:5" ht="15.75" customHeight="1" x14ac:dyDescent="0.3">
      <c r="E91" s="82"/>
    </row>
    <row r="92" spans="5:5" ht="15.75" customHeight="1" x14ac:dyDescent="0.3">
      <c r="E92" s="82"/>
    </row>
    <row r="93" spans="5:5" ht="15.75" customHeight="1" x14ac:dyDescent="0.3">
      <c r="E93" s="81"/>
    </row>
    <row r="94" spans="5:5" ht="15.75" customHeight="1" x14ac:dyDescent="0.3">
      <c r="E94" s="81"/>
    </row>
    <row r="95" spans="5:5" ht="15.75" customHeight="1" x14ac:dyDescent="0.3">
      <c r="E95" s="82"/>
    </row>
    <row r="96" spans="5:5" ht="15.75" customHeight="1" x14ac:dyDescent="0.3">
      <c r="E96" s="82"/>
    </row>
    <row r="97" spans="5:5" ht="15.75" customHeight="1" x14ac:dyDescent="0.3">
      <c r="E97" s="82"/>
    </row>
    <row r="98" spans="5:5" ht="15.75" customHeight="1" x14ac:dyDescent="0.3">
      <c r="E98" s="82"/>
    </row>
    <row r="99" spans="5:5" ht="15.75" customHeight="1" x14ac:dyDescent="0.3">
      <c r="E99" s="81"/>
    </row>
    <row r="100" spans="5:5" ht="15.75" customHeight="1" x14ac:dyDescent="0.3">
      <c r="E100" s="82"/>
    </row>
    <row r="101" spans="5:5" ht="15.75" customHeight="1" x14ac:dyDescent="0.3">
      <c r="E101" s="82"/>
    </row>
    <row r="102" spans="5:5" ht="15.75" customHeight="1" x14ac:dyDescent="0.3">
      <c r="E102" s="81"/>
    </row>
    <row r="241" ht="13.8" x14ac:dyDescent="0.3"/>
    <row r="242" ht="13.8" x14ac:dyDescent="0.3"/>
    <row r="243" ht="13.8" x14ac:dyDescent="0.3"/>
    <row r="244" ht="13.8" x14ac:dyDescent="0.3"/>
    <row r="245" ht="13.8" x14ac:dyDescent="0.3"/>
    <row r="246" ht="13.8" x14ac:dyDescent="0.3"/>
    <row r="247" ht="13.8" x14ac:dyDescent="0.3"/>
    <row r="248" ht="13.8" x14ac:dyDescent="0.3"/>
    <row r="249" ht="13.8" x14ac:dyDescent="0.3"/>
    <row r="250" ht="13.8" x14ac:dyDescent="0.3"/>
    <row r="251" ht="13.8" x14ac:dyDescent="0.3"/>
    <row r="252" ht="13.8" x14ac:dyDescent="0.3"/>
    <row r="253" ht="13.8" x14ac:dyDescent="0.3"/>
    <row r="254" ht="13.8" x14ac:dyDescent="0.3"/>
    <row r="255" ht="13.8" x14ac:dyDescent="0.3"/>
    <row r="256" ht="13.8" x14ac:dyDescent="0.3"/>
    <row r="257" ht="13.8" x14ac:dyDescent="0.3"/>
    <row r="258" ht="13.8" x14ac:dyDescent="0.3"/>
    <row r="259" ht="13.8" x14ac:dyDescent="0.3"/>
    <row r="260" ht="13.8" x14ac:dyDescent="0.3"/>
    <row r="261" ht="13.8" x14ac:dyDescent="0.3"/>
    <row r="262" ht="13.8" x14ac:dyDescent="0.3"/>
    <row r="263" ht="13.8" x14ac:dyDescent="0.3"/>
    <row r="264" ht="13.8" x14ac:dyDescent="0.3"/>
    <row r="265" ht="13.8" x14ac:dyDescent="0.3"/>
    <row r="266" ht="13.8" x14ac:dyDescent="0.3"/>
    <row r="267" ht="13.8" x14ac:dyDescent="0.3"/>
    <row r="268" ht="13.8" x14ac:dyDescent="0.3"/>
    <row r="269" ht="13.8" x14ac:dyDescent="0.3"/>
    <row r="270" ht="13.8" x14ac:dyDescent="0.3"/>
    <row r="271" ht="13.8" x14ac:dyDescent="0.3"/>
    <row r="272" ht="13.8" x14ac:dyDescent="0.3"/>
    <row r="273" ht="13.8" x14ac:dyDescent="0.3"/>
    <row r="274" ht="13.8" x14ac:dyDescent="0.3"/>
    <row r="275" ht="13.8" x14ac:dyDescent="0.3"/>
    <row r="276" ht="13.8" x14ac:dyDescent="0.3"/>
    <row r="277" ht="13.8" x14ac:dyDescent="0.3"/>
    <row r="278" ht="13.8" x14ac:dyDescent="0.3"/>
    <row r="279" ht="13.8" x14ac:dyDescent="0.3"/>
    <row r="280" ht="13.8" x14ac:dyDescent="0.3"/>
    <row r="281" ht="13.8" x14ac:dyDescent="0.3"/>
    <row r="282" ht="13.8" x14ac:dyDescent="0.3"/>
    <row r="283" ht="13.8" x14ac:dyDescent="0.3"/>
    <row r="284" ht="13.8" x14ac:dyDescent="0.3"/>
    <row r="285" ht="13.8" x14ac:dyDescent="0.3"/>
    <row r="286" ht="13.8" x14ac:dyDescent="0.3"/>
    <row r="287" ht="13.8" x14ac:dyDescent="0.3"/>
    <row r="288" ht="13.8" x14ac:dyDescent="0.3"/>
    <row r="289" ht="13.8" x14ac:dyDescent="0.3"/>
    <row r="290" ht="13.8" x14ac:dyDescent="0.3"/>
    <row r="291" ht="13.8" x14ac:dyDescent="0.3"/>
    <row r="292" ht="13.8" x14ac:dyDescent="0.3"/>
    <row r="293" ht="13.8" x14ac:dyDescent="0.3"/>
    <row r="294" ht="13.8" x14ac:dyDescent="0.3"/>
    <row r="295" ht="13.8" x14ac:dyDescent="0.3"/>
    <row r="296" ht="13.8" x14ac:dyDescent="0.3"/>
    <row r="297" ht="13.8" x14ac:dyDescent="0.3"/>
    <row r="298" ht="13.8" x14ac:dyDescent="0.3"/>
    <row r="299" ht="13.8" x14ac:dyDescent="0.3"/>
    <row r="300" ht="13.8" x14ac:dyDescent="0.3"/>
    <row r="301" ht="13.8" x14ac:dyDescent="0.3"/>
    <row r="302" ht="13.8" x14ac:dyDescent="0.3"/>
    <row r="303" ht="13.8" x14ac:dyDescent="0.3"/>
    <row r="304" ht="13.8" x14ac:dyDescent="0.3"/>
    <row r="305" ht="13.8" x14ac:dyDescent="0.3"/>
    <row r="306" ht="13.8" x14ac:dyDescent="0.3"/>
    <row r="307" ht="13.8" x14ac:dyDescent="0.3"/>
    <row r="308" ht="13.8" x14ac:dyDescent="0.3"/>
    <row r="309" ht="13.8" x14ac:dyDescent="0.3"/>
    <row r="310" ht="13.8" x14ac:dyDescent="0.3"/>
    <row r="311" ht="13.8" x14ac:dyDescent="0.3"/>
    <row r="312" ht="13.8" x14ac:dyDescent="0.3"/>
    <row r="313" ht="13.8" x14ac:dyDescent="0.3"/>
    <row r="314" ht="13.8" x14ac:dyDescent="0.3"/>
    <row r="315" ht="13.8" x14ac:dyDescent="0.3"/>
    <row r="316" ht="13.8" x14ac:dyDescent="0.3"/>
    <row r="317" ht="13.8" x14ac:dyDescent="0.3"/>
    <row r="318" ht="13.8" x14ac:dyDescent="0.3"/>
    <row r="319" ht="13.8" x14ac:dyDescent="0.3"/>
    <row r="320" ht="13.8" x14ac:dyDescent="0.3"/>
    <row r="321" ht="13.8" x14ac:dyDescent="0.3"/>
    <row r="322" ht="13.8" x14ac:dyDescent="0.3"/>
    <row r="323" ht="13.8" x14ac:dyDescent="0.3"/>
    <row r="324" ht="13.8" x14ac:dyDescent="0.3"/>
    <row r="325" ht="13.8" x14ac:dyDescent="0.3"/>
    <row r="326" ht="13.8" x14ac:dyDescent="0.3"/>
    <row r="327" ht="13.8" x14ac:dyDescent="0.3"/>
    <row r="328" ht="13.8" x14ac:dyDescent="0.3"/>
    <row r="329" ht="13.8" x14ac:dyDescent="0.3"/>
    <row r="330" ht="13.8" x14ac:dyDescent="0.3"/>
    <row r="331" ht="13.8" x14ac:dyDescent="0.3"/>
    <row r="332" ht="13.8" x14ac:dyDescent="0.3"/>
    <row r="333" ht="13.8" x14ac:dyDescent="0.3"/>
    <row r="334" ht="13.8" x14ac:dyDescent="0.3"/>
    <row r="335" ht="13.8" x14ac:dyDescent="0.3"/>
    <row r="336" ht="13.8" x14ac:dyDescent="0.3"/>
    <row r="337" ht="13.8" x14ac:dyDescent="0.3"/>
    <row r="338" ht="13.8" x14ac:dyDescent="0.3"/>
    <row r="339" ht="13.8" x14ac:dyDescent="0.3"/>
    <row r="340" ht="13.8" x14ac:dyDescent="0.3"/>
    <row r="341" ht="13.8" x14ac:dyDescent="0.3"/>
    <row r="342" ht="13.8" x14ac:dyDescent="0.3"/>
    <row r="343" ht="13.8" x14ac:dyDescent="0.3"/>
    <row r="344" ht="13.8" x14ac:dyDescent="0.3"/>
    <row r="345" ht="13.8" x14ac:dyDescent="0.3"/>
    <row r="346" ht="13.8" x14ac:dyDescent="0.3"/>
    <row r="347" ht="13.8" x14ac:dyDescent="0.3"/>
    <row r="348" ht="13.8" x14ac:dyDescent="0.3"/>
    <row r="349" ht="13.8" x14ac:dyDescent="0.3"/>
    <row r="350" ht="13.8" x14ac:dyDescent="0.3"/>
    <row r="351" ht="13.8" x14ac:dyDescent="0.3"/>
    <row r="352" ht="13.8" x14ac:dyDescent="0.3"/>
    <row r="353" ht="13.8" x14ac:dyDescent="0.3"/>
    <row r="354" ht="13.8" x14ac:dyDescent="0.3"/>
    <row r="355" ht="13.8" x14ac:dyDescent="0.3"/>
    <row r="356" ht="13.8" x14ac:dyDescent="0.3"/>
    <row r="357" ht="13.8" x14ac:dyDescent="0.3"/>
    <row r="358" ht="13.8" x14ac:dyDescent="0.3"/>
    <row r="359" ht="13.8" x14ac:dyDescent="0.3"/>
    <row r="360" ht="13.8" x14ac:dyDescent="0.3"/>
    <row r="361" ht="13.8" x14ac:dyDescent="0.3"/>
    <row r="362" ht="13.8" x14ac:dyDescent="0.3"/>
    <row r="363" ht="13.8" x14ac:dyDescent="0.3"/>
    <row r="364" ht="13.8" x14ac:dyDescent="0.3"/>
    <row r="365" ht="13.8" x14ac:dyDescent="0.3"/>
    <row r="366" ht="13.8" x14ac:dyDescent="0.3"/>
    <row r="367" ht="13.8" x14ac:dyDescent="0.3"/>
    <row r="368" ht="13.8" x14ac:dyDescent="0.3"/>
    <row r="369" ht="13.8" x14ac:dyDescent="0.3"/>
    <row r="370" ht="13.8" x14ac:dyDescent="0.3"/>
    <row r="371" ht="13.8" x14ac:dyDescent="0.3"/>
    <row r="372" ht="13.8" x14ac:dyDescent="0.3"/>
    <row r="373" ht="13.8" x14ac:dyDescent="0.3"/>
    <row r="374" ht="13.8" x14ac:dyDescent="0.3"/>
    <row r="375" ht="13.8" x14ac:dyDescent="0.3"/>
    <row r="376" ht="13.8" x14ac:dyDescent="0.3"/>
    <row r="377" ht="13.8" x14ac:dyDescent="0.3"/>
    <row r="378" ht="13.8" x14ac:dyDescent="0.3"/>
    <row r="379" ht="13.8" x14ac:dyDescent="0.3"/>
    <row r="380" ht="13.8" x14ac:dyDescent="0.3"/>
    <row r="381" ht="13.8" x14ac:dyDescent="0.3"/>
    <row r="382" ht="13.8" x14ac:dyDescent="0.3"/>
    <row r="383" ht="13.8" x14ac:dyDescent="0.3"/>
    <row r="384" ht="13.8" x14ac:dyDescent="0.3"/>
    <row r="385" ht="13.8" x14ac:dyDescent="0.3"/>
    <row r="386" ht="13.8" x14ac:dyDescent="0.3"/>
    <row r="387" ht="13.8" x14ac:dyDescent="0.3"/>
    <row r="388" ht="13.8" x14ac:dyDescent="0.3"/>
    <row r="389" ht="13.8" x14ac:dyDescent="0.3"/>
    <row r="390" ht="13.8" x14ac:dyDescent="0.3"/>
    <row r="391" ht="13.8" x14ac:dyDescent="0.3"/>
    <row r="392" ht="13.8" x14ac:dyDescent="0.3"/>
    <row r="393" ht="13.8" x14ac:dyDescent="0.3"/>
    <row r="394" ht="13.8" x14ac:dyDescent="0.3"/>
    <row r="395" ht="13.8" x14ac:dyDescent="0.3"/>
    <row r="396" ht="13.8" x14ac:dyDescent="0.3"/>
    <row r="397" ht="13.8" x14ac:dyDescent="0.3"/>
    <row r="398" ht="13.8" x14ac:dyDescent="0.3"/>
    <row r="399" ht="13.8" x14ac:dyDescent="0.3"/>
    <row r="400" ht="13.8" x14ac:dyDescent="0.3"/>
    <row r="401" ht="13.8" x14ac:dyDescent="0.3"/>
    <row r="402" ht="13.8" x14ac:dyDescent="0.3"/>
    <row r="403" ht="13.8" x14ac:dyDescent="0.3"/>
    <row r="404" ht="13.8" x14ac:dyDescent="0.3"/>
    <row r="405" ht="13.8" x14ac:dyDescent="0.3"/>
    <row r="406" ht="13.8" x14ac:dyDescent="0.3"/>
    <row r="407" ht="13.8" x14ac:dyDescent="0.3"/>
    <row r="408" ht="13.8" x14ac:dyDescent="0.3"/>
    <row r="409" ht="13.8" x14ac:dyDescent="0.3"/>
    <row r="410" ht="13.8" x14ac:dyDescent="0.3"/>
    <row r="411" ht="13.8" x14ac:dyDescent="0.3"/>
    <row r="412" ht="13.8" x14ac:dyDescent="0.3"/>
    <row r="413" ht="13.8" x14ac:dyDescent="0.3"/>
    <row r="414" ht="13.8" x14ac:dyDescent="0.3"/>
    <row r="415" ht="13.8" x14ac:dyDescent="0.3"/>
    <row r="416" ht="13.8" x14ac:dyDescent="0.3"/>
    <row r="417" ht="13.8" x14ac:dyDescent="0.3"/>
    <row r="418" ht="13.8" x14ac:dyDescent="0.3"/>
    <row r="419" ht="13.8" x14ac:dyDescent="0.3"/>
    <row r="420" ht="13.8" x14ac:dyDescent="0.3"/>
    <row r="421" ht="13.8" x14ac:dyDescent="0.3"/>
    <row r="422" ht="13.8" x14ac:dyDescent="0.3"/>
    <row r="423" ht="13.8" x14ac:dyDescent="0.3"/>
    <row r="424" ht="13.8" x14ac:dyDescent="0.3"/>
    <row r="425" ht="13.8" x14ac:dyDescent="0.3"/>
    <row r="426" ht="13.8" x14ac:dyDescent="0.3"/>
    <row r="427" ht="13.8" x14ac:dyDescent="0.3"/>
    <row r="428" ht="13.8" x14ac:dyDescent="0.3"/>
    <row r="429" ht="13.8" x14ac:dyDescent="0.3"/>
    <row r="430" ht="13.8" x14ac:dyDescent="0.3"/>
    <row r="431" ht="13.8" x14ac:dyDescent="0.3"/>
    <row r="432" ht="13.8" x14ac:dyDescent="0.3"/>
    <row r="433" ht="13.8" x14ac:dyDescent="0.3"/>
    <row r="434" ht="13.8" x14ac:dyDescent="0.3"/>
    <row r="435" ht="13.8" x14ac:dyDescent="0.3"/>
    <row r="436" ht="13.8" x14ac:dyDescent="0.3"/>
    <row r="437" ht="13.8" x14ac:dyDescent="0.3"/>
    <row r="438" ht="13.8" x14ac:dyDescent="0.3"/>
    <row r="439" ht="13.8" x14ac:dyDescent="0.3"/>
    <row r="440" ht="13.8" x14ac:dyDescent="0.3"/>
    <row r="441" ht="13.8" x14ac:dyDescent="0.3"/>
    <row r="442" ht="13.8" x14ac:dyDescent="0.3"/>
    <row r="443" ht="13.8" x14ac:dyDescent="0.3"/>
    <row r="444" ht="13.8" x14ac:dyDescent="0.3"/>
    <row r="445" ht="13.8" x14ac:dyDescent="0.3"/>
    <row r="446" ht="13.8" x14ac:dyDescent="0.3"/>
    <row r="447" ht="13.8" x14ac:dyDescent="0.3"/>
    <row r="448" ht="13.8" x14ac:dyDescent="0.3"/>
    <row r="449" ht="13.8" x14ac:dyDescent="0.3"/>
    <row r="450" ht="13.8" x14ac:dyDescent="0.3"/>
    <row r="451" ht="13.8" x14ac:dyDescent="0.3"/>
    <row r="452" ht="13.8" x14ac:dyDescent="0.3"/>
    <row r="453" ht="13.8" x14ac:dyDescent="0.3"/>
    <row r="454" ht="13.8" x14ac:dyDescent="0.3"/>
    <row r="455" ht="13.8" x14ac:dyDescent="0.3"/>
    <row r="456" ht="13.8" x14ac:dyDescent="0.3"/>
    <row r="457" ht="13.8" x14ac:dyDescent="0.3"/>
    <row r="458" ht="13.8" x14ac:dyDescent="0.3"/>
    <row r="459" ht="13.8" x14ac:dyDescent="0.3"/>
    <row r="460" ht="13.8" x14ac:dyDescent="0.3"/>
    <row r="461" ht="13.8" x14ac:dyDescent="0.3"/>
    <row r="462" ht="13.8" x14ac:dyDescent="0.3"/>
    <row r="463" ht="13.8" x14ac:dyDescent="0.3"/>
    <row r="464" ht="13.8" x14ac:dyDescent="0.3"/>
    <row r="465" ht="13.8" x14ac:dyDescent="0.3"/>
    <row r="466" ht="13.8" x14ac:dyDescent="0.3"/>
    <row r="467" ht="13.8" x14ac:dyDescent="0.3"/>
    <row r="468" ht="13.8" x14ac:dyDescent="0.3"/>
    <row r="469" ht="13.8" x14ac:dyDescent="0.3"/>
    <row r="470" ht="13.8" x14ac:dyDescent="0.3"/>
    <row r="471" ht="13.8" x14ac:dyDescent="0.3"/>
    <row r="472" ht="13.8" x14ac:dyDescent="0.3"/>
    <row r="473" ht="13.8" x14ac:dyDescent="0.3"/>
    <row r="474" ht="13.8" x14ac:dyDescent="0.3"/>
    <row r="475" ht="13.8" x14ac:dyDescent="0.3"/>
    <row r="476" ht="13.8" x14ac:dyDescent="0.3"/>
    <row r="477" ht="13.8" x14ac:dyDescent="0.3"/>
    <row r="478" ht="13.8" x14ac:dyDescent="0.3"/>
    <row r="479" ht="13.8" x14ac:dyDescent="0.3"/>
    <row r="480" ht="13.8" x14ac:dyDescent="0.3"/>
    <row r="481" ht="13.8" x14ac:dyDescent="0.3"/>
    <row r="482" ht="13.8" x14ac:dyDescent="0.3"/>
    <row r="483" ht="13.8" x14ac:dyDescent="0.3"/>
    <row r="484" ht="13.8" x14ac:dyDescent="0.3"/>
    <row r="485" ht="13.8" x14ac:dyDescent="0.3"/>
    <row r="486" ht="13.8" x14ac:dyDescent="0.3"/>
    <row r="487" ht="13.8" x14ac:dyDescent="0.3"/>
    <row r="488" ht="13.8" x14ac:dyDescent="0.3"/>
    <row r="489" ht="13.8" x14ac:dyDescent="0.3"/>
    <row r="490" ht="13.8" x14ac:dyDescent="0.3"/>
    <row r="491" ht="13.8" x14ac:dyDescent="0.3"/>
    <row r="492" ht="13.8" x14ac:dyDescent="0.3"/>
    <row r="493" ht="13.8" x14ac:dyDescent="0.3"/>
    <row r="494" ht="13.8" x14ac:dyDescent="0.3"/>
    <row r="495" ht="13.8" x14ac:dyDescent="0.3"/>
    <row r="496" ht="13.8" x14ac:dyDescent="0.3"/>
    <row r="497" ht="13.8" x14ac:dyDescent="0.3"/>
    <row r="498" ht="13.8" x14ac:dyDescent="0.3"/>
    <row r="499" ht="13.8" x14ac:dyDescent="0.3"/>
    <row r="500" ht="13.8" x14ac:dyDescent="0.3"/>
    <row r="501" ht="13.8" x14ac:dyDescent="0.3"/>
    <row r="502" ht="13.8" x14ac:dyDescent="0.3"/>
    <row r="503" ht="13.8" x14ac:dyDescent="0.3"/>
    <row r="504" ht="13.8" x14ac:dyDescent="0.3"/>
    <row r="505" ht="13.8" x14ac:dyDescent="0.3"/>
    <row r="506" ht="13.8" x14ac:dyDescent="0.3"/>
    <row r="507" ht="13.8" x14ac:dyDescent="0.3"/>
    <row r="508" ht="13.8" x14ac:dyDescent="0.3"/>
    <row r="509" ht="13.8" x14ac:dyDescent="0.3"/>
    <row r="510" ht="13.8" x14ac:dyDescent="0.3"/>
    <row r="511" ht="13.8" x14ac:dyDescent="0.3"/>
    <row r="512" ht="13.8" x14ac:dyDescent="0.3"/>
    <row r="513" ht="13.8" x14ac:dyDescent="0.3"/>
    <row r="514" ht="13.8" x14ac:dyDescent="0.3"/>
    <row r="515" ht="13.8" x14ac:dyDescent="0.3"/>
    <row r="516" ht="13.8" x14ac:dyDescent="0.3"/>
    <row r="517" ht="13.8" x14ac:dyDescent="0.3"/>
    <row r="518" ht="13.8" x14ac:dyDescent="0.3"/>
    <row r="519" ht="13.8" x14ac:dyDescent="0.3"/>
    <row r="520" ht="13.8" x14ac:dyDescent="0.3"/>
    <row r="521" ht="13.8" x14ac:dyDescent="0.3"/>
    <row r="522" ht="13.8" x14ac:dyDescent="0.3"/>
    <row r="523" ht="13.8" x14ac:dyDescent="0.3"/>
    <row r="524" ht="13.8" x14ac:dyDescent="0.3"/>
    <row r="525" ht="13.8" x14ac:dyDescent="0.3"/>
    <row r="526" ht="13.8" x14ac:dyDescent="0.3"/>
    <row r="527" ht="13.8" x14ac:dyDescent="0.3"/>
    <row r="528" ht="13.8" x14ac:dyDescent="0.3"/>
    <row r="529" ht="13.8" x14ac:dyDescent="0.3"/>
    <row r="530" ht="13.8" x14ac:dyDescent="0.3"/>
    <row r="531" ht="13.8" x14ac:dyDescent="0.3"/>
    <row r="532" ht="13.8" x14ac:dyDescent="0.3"/>
    <row r="533" ht="13.8" x14ac:dyDescent="0.3"/>
    <row r="534" ht="13.8" x14ac:dyDescent="0.3"/>
    <row r="535" ht="13.8" x14ac:dyDescent="0.3"/>
    <row r="536" ht="13.8" x14ac:dyDescent="0.3"/>
    <row r="537" ht="13.8" x14ac:dyDescent="0.3"/>
    <row r="538" ht="13.8" x14ac:dyDescent="0.3"/>
    <row r="539" ht="13.8" x14ac:dyDescent="0.3"/>
    <row r="540" ht="13.8" x14ac:dyDescent="0.3"/>
    <row r="541" ht="13.8" x14ac:dyDescent="0.3"/>
    <row r="542" ht="13.8" x14ac:dyDescent="0.3"/>
    <row r="543" ht="13.8" x14ac:dyDescent="0.3"/>
    <row r="544" ht="13.8" x14ac:dyDescent="0.3"/>
    <row r="545" ht="13.8" x14ac:dyDescent="0.3"/>
    <row r="546" ht="13.8" x14ac:dyDescent="0.3"/>
    <row r="547" ht="13.8" x14ac:dyDescent="0.3"/>
    <row r="548" ht="13.8" x14ac:dyDescent="0.3"/>
    <row r="549" ht="13.8" x14ac:dyDescent="0.3"/>
    <row r="550" ht="13.8" x14ac:dyDescent="0.3"/>
    <row r="551" ht="13.8" x14ac:dyDescent="0.3"/>
    <row r="552" ht="13.8" x14ac:dyDescent="0.3"/>
    <row r="553" ht="13.8" x14ac:dyDescent="0.3"/>
    <row r="554" ht="13.8" x14ac:dyDescent="0.3"/>
    <row r="555" ht="13.8" x14ac:dyDescent="0.3"/>
    <row r="556" ht="13.8" x14ac:dyDescent="0.3"/>
    <row r="557" ht="13.8" x14ac:dyDescent="0.3"/>
    <row r="558" ht="13.8" x14ac:dyDescent="0.3"/>
    <row r="559" ht="13.8" x14ac:dyDescent="0.3"/>
    <row r="560" ht="13.8" x14ac:dyDescent="0.3"/>
    <row r="561" ht="13.8" x14ac:dyDescent="0.3"/>
    <row r="562" ht="13.8" x14ac:dyDescent="0.3"/>
    <row r="563" ht="13.8" x14ac:dyDescent="0.3"/>
    <row r="564" ht="13.8" x14ac:dyDescent="0.3"/>
    <row r="565" ht="13.8" x14ac:dyDescent="0.3"/>
    <row r="566" ht="13.8" x14ac:dyDescent="0.3"/>
    <row r="567" ht="13.8" x14ac:dyDescent="0.3"/>
    <row r="568" ht="13.8" x14ac:dyDescent="0.3"/>
    <row r="569" ht="13.8" x14ac:dyDescent="0.3"/>
    <row r="570" ht="13.8" x14ac:dyDescent="0.3"/>
    <row r="571" ht="13.8" x14ac:dyDescent="0.3"/>
    <row r="572" ht="13.8" x14ac:dyDescent="0.3"/>
    <row r="573" ht="13.8" x14ac:dyDescent="0.3"/>
    <row r="574" ht="13.8" x14ac:dyDescent="0.3"/>
    <row r="575" ht="13.8" x14ac:dyDescent="0.3"/>
    <row r="576" ht="13.8" x14ac:dyDescent="0.3"/>
    <row r="577" ht="13.8" x14ac:dyDescent="0.3"/>
    <row r="578" ht="13.8" x14ac:dyDescent="0.3"/>
    <row r="579" ht="13.8" x14ac:dyDescent="0.3"/>
    <row r="580" ht="13.8" x14ac:dyDescent="0.3"/>
    <row r="581" ht="13.8" x14ac:dyDescent="0.3"/>
    <row r="582" ht="13.8" x14ac:dyDescent="0.3"/>
    <row r="583" ht="13.8" x14ac:dyDescent="0.3"/>
    <row r="584" ht="13.8" x14ac:dyDescent="0.3"/>
    <row r="585" ht="13.8" x14ac:dyDescent="0.3"/>
    <row r="586" ht="13.8" x14ac:dyDescent="0.3"/>
    <row r="587" ht="13.8" x14ac:dyDescent="0.3"/>
    <row r="588" ht="13.8" x14ac:dyDescent="0.3"/>
    <row r="589" ht="13.8" x14ac:dyDescent="0.3"/>
    <row r="590" ht="13.8" x14ac:dyDescent="0.3"/>
    <row r="591" ht="13.8" x14ac:dyDescent="0.3"/>
    <row r="592" ht="13.8" x14ac:dyDescent="0.3"/>
    <row r="593" ht="13.8" x14ac:dyDescent="0.3"/>
    <row r="594" ht="13.8" x14ac:dyDescent="0.3"/>
    <row r="595" ht="13.8" x14ac:dyDescent="0.3"/>
    <row r="596" ht="13.8" x14ac:dyDescent="0.3"/>
    <row r="597" ht="13.8" x14ac:dyDescent="0.3"/>
    <row r="598" ht="13.8" x14ac:dyDescent="0.3"/>
    <row r="599" ht="13.8" x14ac:dyDescent="0.3"/>
    <row r="600" ht="13.8" x14ac:dyDescent="0.3"/>
    <row r="601" ht="13.8" x14ac:dyDescent="0.3"/>
    <row r="602" ht="13.8" x14ac:dyDescent="0.3"/>
    <row r="603" ht="13.8" x14ac:dyDescent="0.3"/>
    <row r="604" ht="13.8" x14ac:dyDescent="0.3"/>
    <row r="605" ht="13.8" x14ac:dyDescent="0.3"/>
    <row r="606" ht="13.8" x14ac:dyDescent="0.3"/>
    <row r="607" ht="13.8" x14ac:dyDescent="0.3"/>
    <row r="608" ht="13.8" x14ac:dyDescent="0.3"/>
    <row r="609" ht="13.8" x14ac:dyDescent="0.3"/>
    <row r="610" ht="13.8" x14ac:dyDescent="0.3"/>
    <row r="611" ht="13.8" x14ac:dyDescent="0.3"/>
    <row r="612" ht="13.8" x14ac:dyDescent="0.3"/>
    <row r="613" ht="13.8" x14ac:dyDescent="0.3"/>
    <row r="614" ht="13.8" x14ac:dyDescent="0.3"/>
    <row r="615" ht="13.8" x14ac:dyDescent="0.3"/>
    <row r="616" ht="13.8" x14ac:dyDescent="0.3"/>
    <row r="617" ht="13.8" x14ac:dyDescent="0.3"/>
    <row r="618" ht="13.8" x14ac:dyDescent="0.3"/>
    <row r="619" ht="13.8" x14ac:dyDescent="0.3"/>
    <row r="620" ht="13.8" x14ac:dyDescent="0.3"/>
    <row r="621" ht="13.8" x14ac:dyDescent="0.3"/>
    <row r="622" ht="13.8" x14ac:dyDescent="0.3"/>
    <row r="623" ht="13.8" x14ac:dyDescent="0.3"/>
    <row r="624" ht="13.8" x14ac:dyDescent="0.3"/>
    <row r="625" ht="13.8" x14ac:dyDescent="0.3"/>
    <row r="626" ht="13.8" x14ac:dyDescent="0.3"/>
    <row r="627" ht="13.8" x14ac:dyDescent="0.3"/>
    <row r="628" ht="13.8" x14ac:dyDescent="0.3"/>
    <row r="629" ht="13.8" x14ac:dyDescent="0.3"/>
    <row r="630" ht="13.8" x14ac:dyDescent="0.3"/>
    <row r="631" ht="13.8" x14ac:dyDescent="0.3"/>
    <row r="632" ht="13.8" x14ac:dyDescent="0.3"/>
    <row r="633" ht="13.8" x14ac:dyDescent="0.3"/>
    <row r="634" ht="13.8" x14ac:dyDescent="0.3"/>
    <row r="635" ht="13.8" x14ac:dyDescent="0.3"/>
    <row r="636" ht="13.8" x14ac:dyDescent="0.3"/>
    <row r="637" ht="13.8" x14ac:dyDescent="0.3"/>
    <row r="638" ht="13.8" x14ac:dyDescent="0.3"/>
    <row r="639" ht="13.8" x14ac:dyDescent="0.3"/>
    <row r="640" ht="13.8" x14ac:dyDescent="0.3"/>
    <row r="641" ht="13.8" x14ac:dyDescent="0.3"/>
    <row r="642" ht="13.8" x14ac:dyDescent="0.3"/>
    <row r="643" ht="13.8" x14ac:dyDescent="0.3"/>
    <row r="644" ht="13.8" x14ac:dyDescent="0.3"/>
    <row r="645" ht="13.8" x14ac:dyDescent="0.3"/>
    <row r="646" ht="13.8" x14ac:dyDescent="0.3"/>
    <row r="647" ht="13.8" x14ac:dyDescent="0.3"/>
    <row r="648" ht="13.8" x14ac:dyDescent="0.3"/>
    <row r="649" ht="13.8" x14ac:dyDescent="0.3"/>
    <row r="650" ht="13.8" x14ac:dyDescent="0.3"/>
    <row r="651" ht="13.8" x14ac:dyDescent="0.3"/>
    <row r="652" ht="13.8" x14ac:dyDescent="0.3"/>
    <row r="653" ht="13.8" x14ac:dyDescent="0.3"/>
    <row r="654" ht="13.8" x14ac:dyDescent="0.3"/>
    <row r="655" ht="13.8" x14ac:dyDescent="0.3"/>
    <row r="656" ht="13.8" x14ac:dyDescent="0.3"/>
    <row r="657" ht="13.8" x14ac:dyDescent="0.3"/>
    <row r="658" ht="13.8" x14ac:dyDescent="0.3"/>
    <row r="659" ht="13.8" x14ac:dyDescent="0.3"/>
    <row r="660" ht="13.8" x14ac:dyDescent="0.3"/>
    <row r="661" ht="13.8" x14ac:dyDescent="0.3"/>
    <row r="662" ht="13.8" x14ac:dyDescent="0.3"/>
    <row r="663" ht="13.8" x14ac:dyDescent="0.3"/>
    <row r="664" ht="13.8" x14ac:dyDescent="0.3"/>
    <row r="665" ht="13.8" x14ac:dyDescent="0.3"/>
    <row r="666" ht="13.8" x14ac:dyDescent="0.3"/>
    <row r="667" ht="13.8" x14ac:dyDescent="0.3"/>
    <row r="668" ht="13.8" x14ac:dyDescent="0.3"/>
    <row r="669" ht="13.8" x14ac:dyDescent="0.3"/>
    <row r="670" ht="13.8" x14ac:dyDescent="0.3"/>
    <row r="671" ht="13.8" x14ac:dyDescent="0.3"/>
    <row r="672" ht="13.8" x14ac:dyDescent="0.3"/>
    <row r="673" ht="13.8" x14ac:dyDescent="0.3"/>
    <row r="674" ht="13.8" x14ac:dyDescent="0.3"/>
    <row r="675" ht="13.8" x14ac:dyDescent="0.3"/>
    <row r="676" ht="13.8" x14ac:dyDescent="0.3"/>
    <row r="677" ht="13.8" x14ac:dyDescent="0.3"/>
    <row r="678" ht="13.8" x14ac:dyDescent="0.3"/>
    <row r="679" ht="13.8" x14ac:dyDescent="0.3"/>
    <row r="680" ht="13.8" x14ac:dyDescent="0.3"/>
    <row r="681" ht="13.8" x14ac:dyDescent="0.3"/>
    <row r="682" ht="13.8" x14ac:dyDescent="0.3"/>
    <row r="683" ht="13.8" x14ac:dyDescent="0.3"/>
    <row r="684" ht="13.8" x14ac:dyDescent="0.3"/>
    <row r="685" ht="13.8" x14ac:dyDescent="0.3"/>
    <row r="686" ht="13.8" x14ac:dyDescent="0.3"/>
    <row r="687" ht="13.8" x14ac:dyDescent="0.3"/>
    <row r="688" ht="13.8" x14ac:dyDescent="0.3"/>
    <row r="689" ht="13.8" x14ac:dyDescent="0.3"/>
    <row r="690" ht="13.8" x14ac:dyDescent="0.3"/>
    <row r="691" ht="13.8" x14ac:dyDescent="0.3"/>
    <row r="692" ht="13.8" x14ac:dyDescent="0.3"/>
    <row r="693" ht="13.8" x14ac:dyDescent="0.3"/>
    <row r="694" ht="13.8" x14ac:dyDescent="0.3"/>
    <row r="695" ht="13.8" x14ac:dyDescent="0.3"/>
    <row r="696" ht="13.8" x14ac:dyDescent="0.3"/>
    <row r="697" ht="13.8" x14ac:dyDescent="0.3"/>
    <row r="698" ht="13.8" x14ac:dyDescent="0.3"/>
    <row r="699" ht="13.8" x14ac:dyDescent="0.3"/>
    <row r="700" ht="13.8" x14ac:dyDescent="0.3"/>
    <row r="701" ht="13.8" x14ac:dyDescent="0.3"/>
    <row r="702" ht="13.8" x14ac:dyDescent="0.3"/>
    <row r="703" ht="13.8" x14ac:dyDescent="0.3"/>
    <row r="704" ht="13.8" x14ac:dyDescent="0.3"/>
    <row r="705" ht="13.8" x14ac:dyDescent="0.3"/>
    <row r="706" ht="13.8" x14ac:dyDescent="0.3"/>
    <row r="707" ht="13.8" x14ac:dyDescent="0.3"/>
    <row r="708" ht="13.8" x14ac:dyDescent="0.3"/>
    <row r="709" ht="13.8" x14ac:dyDescent="0.3"/>
    <row r="710" ht="13.8" x14ac:dyDescent="0.3"/>
    <row r="711" ht="13.8" x14ac:dyDescent="0.3"/>
    <row r="712" ht="13.8" x14ac:dyDescent="0.3"/>
    <row r="713" ht="13.8" x14ac:dyDescent="0.3"/>
    <row r="714" ht="13.8" x14ac:dyDescent="0.3"/>
    <row r="715" ht="13.8" x14ac:dyDescent="0.3"/>
    <row r="716" ht="13.8" x14ac:dyDescent="0.3"/>
    <row r="717" ht="13.8" x14ac:dyDescent="0.3"/>
    <row r="718" ht="13.8" x14ac:dyDescent="0.3"/>
    <row r="719" ht="13.8" x14ac:dyDescent="0.3"/>
    <row r="720" ht="13.8" x14ac:dyDescent="0.3"/>
    <row r="721" ht="13.8" x14ac:dyDescent="0.3"/>
    <row r="722" ht="13.8" x14ac:dyDescent="0.3"/>
    <row r="723" ht="13.8" x14ac:dyDescent="0.3"/>
    <row r="724" ht="13.8" x14ac:dyDescent="0.3"/>
    <row r="725" ht="13.8" x14ac:dyDescent="0.3"/>
    <row r="726" ht="13.8" x14ac:dyDescent="0.3"/>
    <row r="727" ht="13.8" x14ac:dyDescent="0.3"/>
    <row r="728" ht="13.8" x14ac:dyDescent="0.3"/>
    <row r="729" ht="13.8" x14ac:dyDescent="0.3"/>
    <row r="730" ht="13.8" x14ac:dyDescent="0.3"/>
    <row r="731" ht="13.8" x14ac:dyDescent="0.3"/>
    <row r="732" ht="13.8" x14ac:dyDescent="0.3"/>
    <row r="733" ht="13.8" x14ac:dyDescent="0.3"/>
    <row r="734" ht="13.8" x14ac:dyDescent="0.3"/>
    <row r="735" ht="13.8" x14ac:dyDescent="0.3"/>
    <row r="736" ht="13.8" x14ac:dyDescent="0.3"/>
    <row r="737" ht="13.8" x14ac:dyDescent="0.3"/>
    <row r="738" ht="13.8" x14ac:dyDescent="0.3"/>
    <row r="739" ht="13.8" x14ac:dyDescent="0.3"/>
    <row r="740" ht="13.8" x14ac:dyDescent="0.3"/>
    <row r="741" ht="13.8" x14ac:dyDescent="0.3"/>
    <row r="742" ht="13.8" x14ac:dyDescent="0.3"/>
    <row r="743" ht="13.8" x14ac:dyDescent="0.3"/>
    <row r="744" ht="13.8" x14ac:dyDescent="0.3"/>
    <row r="745" ht="13.8" x14ac:dyDescent="0.3"/>
    <row r="746" ht="13.8" x14ac:dyDescent="0.3"/>
    <row r="747" ht="13.8" x14ac:dyDescent="0.3"/>
    <row r="748" ht="13.8" x14ac:dyDescent="0.3"/>
    <row r="749" ht="13.8" x14ac:dyDescent="0.3"/>
    <row r="750" ht="13.8" x14ac:dyDescent="0.3"/>
    <row r="751" ht="13.8" x14ac:dyDescent="0.3"/>
    <row r="752" ht="13.8" x14ac:dyDescent="0.3"/>
    <row r="753" ht="13.8" x14ac:dyDescent="0.3"/>
    <row r="754" ht="13.8" x14ac:dyDescent="0.3"/>
    <row r="755" ht="13.8" x14ac:dyDescent="0.3"/>
    <row r="756" ht="13.8" x14ac:dyDescent="0.3"/>
    <row r="757" ht="13.8" x14ac:dyDescent="0.3"/>
    <row r="758" ht="13.8" x14ac:dyDescent="0.3"/>
    <row r="759" ht="13.8" x14ac:dyDescent="0.3"/>
    <row r="760" ht="13.8" x14ac:dyDescent="0.3"/>
    <row r="761" ht="13.8" x14ac:dyDescent="0.3"/>
    <row r="762" ht="13.8" x14ac:dyDescent="0.3"/>
    <row r="763" ht="13.8" x14ac:dyDescent="0.3"/>
    <row r="764" ht="13.8" x14ac:dyDescent="0.3"/>
    <row r="765" ht="13.8" x14ac:dyDescent="0.3"/>
    <row r="766" ht="13.8" x14ac:dyDescent="0.3"/>
    <row r="767" ht="13.8" x14ac:dyDescent="0.3"/>
    <row r="768" ht="13.8" x14ac:dyDescent="0.3"/>
    <row r="769" ht="13.8" x14ac:dyDescent="0.3"/>
    <row r="770" ht="13.8" x14ac:dyDescent="0.3"/>
    <row r="771" ht="13.8" x14ac:dyDescent="0.3"/>
    <row r="772" ht="13.8" x14ac:dyDescent="0.3"/>
    <row r="773" ht="13.8" x14ac:dyDescent="0.3"/>
    <row r="774" ht="13.8" x14ac:dyDescent="0.3"/>
    <row r="775" ht="13.8" x14ac:dyDescent="0.3"/>
    <row r="776" ht="13.8" x14ac:dyDescent="0.3"/>
    <row r="777" ht="13.8" x14ac:dyDescent="0.3"/>
    <row r="778" ht="13.8" x14ac:dyDescent="0.3"/>
    <row r="779" ht="13.8" x14ac:dyDescent="0.3"/>
    <row r="780" ht="13.8" x14ac:dyDescent="0.3"/>
    <row r="781" ht="13.8" x14ac:dyDescent="0.3"/>
    <row r="782" ht="13.8" x14ac:dyDescent="0.3"/>
    <row r="783" ht="13.8" x14ac:dyDescent="0.3"/>
    <row r="784" ht="13.8" x14ac:dyDescent="0.3"/>
    <row r="785" ht="13.8" x14ac:dyDescent="0.3"/>
    <row r="786" ht="13.8" x14ac:dyDescent="0.3"/>
    <row r="787" ht="13.8" x14ac:dyDescent="0.3"/>
    <row r="788" ht="13.8" x14ac:dyDescent="0.3"/>
    <row r="789" ht="13.8" x14ac:dyDescent="0.3"/>
    <row r="790" ht="13.8" x14ac:dyDescent="0.3"/>
    <row r="791" ht="13.8" x14ac:dyDescent="0.3"/>
    <row r="792" ht="13.8" x14ac:dyDescent="0.3"/>
    <row r="793" ht="13.8" x14ac:dyDescent="0.3"/>
    <row r="794" ht="13.8" x14ac:dyDescent="0.3"/>
    <row r="795" ht="13.8" x14ac:dyDescent="0.3"/>
    <row r="796" ht="13.8" x14ac:dyDescent="0.3"/>
    <row r="797" ht="13.8" x14ac:dyDescent="0.3"/>
    <row r="798" ht="13.8" x14ac:dyDescent="0.3"/>
    <row r="799" ht="13.8" x14ac:dyDescent="0.3"/>
    <row r="800" ht="13.8" x14ac:dyDescent="0.3"/>
    <row r="801" ht="13.8" x14ac:dyDescent="0.3"/>
    <row r="802" ht="13.8" x14ac:dyDescent="0.3"/>
    <row r="803" ht="13.8" x14ac:dyDescent="0.3"/>
    <row r="804" ht="13.8" x14ac:dyDescent="0.3"/>
    <row r="805" ht="13.8" x14ac:dyDescent="0.3"/>
    <row r="806" ht="13.8" x14ac:dyDescent="0.3"/>
    <row r="807" ht="13.8" x14ac:dyDescent="0.3"/>
    <row r="808" ht="13.8" x14ac:dyDescent="0.3"/>
    <row r="809" ht="13.8" x14ac:dyDescent="0.3"/>
    <row r="810" ht="13.8" x14ac:dyDescent="0.3"/>
    <row r="811" ht="13.8" x14ac:dyDescent="0.3"/>
    <row r="812" ht="13.8" x14ac:dyDescent="0.3"/>
    <row r="813" ht="13.8" x14ac:dyDescent="0.3"/>
    <row r="814" ht="13.8" x14ac:dyDescent="0.3"/>
    <row r="815" ht="13.8" x14ac:dyDescent="0.3"/>
    <row r="816" ht="13.8" x14ac:dyDescent="0.3"/>
    <row r="817" ht="13.8" x14ac:dyDescent="0.3"/>
    <row r="818" ht="13.8" x14ac:dyDescent="0.3"/>
    <row r="819" ht="13.8" x14ac:dyDescent="0.3"/>
    <row r="820" ht="13.8" x14ac:dyDescent="0.3"/>
    <row r="821" ht="13.8" x14ac:dyDescent="0.3"/>
    <row r="822" ht="13.8" x14ac:dyDescent="0.3"/>
    <row r="823" ht="13.8" x14ac:dyDescent="0.3"/>
    <row r="824" ht="13.8" x14ac:dyDescent="0.3"/>
    <row r="825" ht="13.8" x14ac:dyDescent="0.3"/>
    <row r="826" ht="13.8" x14ac:dyDescent="0.3"/>
    <row r="827" ht="13.8" x14ac:dyDescent="0.3"/>
    <row r="828" ht="13.8" x14ac:dyDescent="0.3"/>
    <row r="829" ht="13.8" x14ac:dyDescent="0.3"/>
    <row r="830" ht="13.8" x14ac:dyDescent="0.3"/>
    <row r="831" ht="13.8" x14ac:dyDescent="0.3"/>
    <row r="832" ht="13.8" x14ac:dyDescent="0.3"/>
    <row r="833" ht="13.8" x14ac:dyDescent="0.3"/>
    <row r="834" ht="13.8" x14ac:dyDescent="0.3"/>
    <row r="835" ht="13.8" x14ac:dyDescent="0.3"/>
    <row r="836" ht="13.8" x14ac:dyDescent="0.3"/>
    <row r="837" ht="13.8" x14ac:dyDescent="0.3"/>
    <row r="838" ht="13.8" x14ac:dyDescent="0.3"/>
    <row r="839" ht="13.8" x14ac:dyDescent="0.3"/>
    <row r="840" ht="13.8" x14ac:dyDescent="0.3"/>
    <row r="841" ht="13.8" x14ac:dyDescent="0.3"/>
    <row r="842" ht="13.8" x14ac:dyDescent="0.3"/>
    <row r="843" ht="13.8" x14ac:dyDescent="0.3"/>
    <row r="844" ht="13.8" x14ac:dyDescent="0.3"/>
    <row r="845" ht="13.8" x14ac:dyDescent="0.3"/>
    <row r="846" ht="13.8" x14ac:dyDescent="0.3"/>
    <row r="847" ht="13.8" x14ac:dyDescent="0.3"/>
    <row r="848" ht="13.8" x14ac:dyDescent="0.3"/>
    <row r="849" ht="13.8" x14ac:dyDescent="0.3"/>
    <row r="850" ht="13.8" x14ac:dyDescent="0.3"/>
    <row r="851" ht="13.8" x14ac:dyDescent="0.3"/>
    <row r="852" ht="13.8" x14ac:dyDescent="0.3"/>
    <row r="853" ht="13.8" x14ac:dyDescent="0.3"/>
    <row r="854" ht="13.8" x14ac:dyDescent="0.3"/>
    <row r="855" ht="13.8" x14ac:dyDescent="0.3"/>
    <row r="856" ht="13.8" x14ac:dyDescent="0.3"/>
    <row r="857" ht="13.8" x14ac:dyDescent="0.3"/>
    <row r="858" ht="13.8" x14ac:dyDescent="0.3"/>
    <row r="859" ht="13.8" x14ac:dyDescent="0.3"/>
    <row r="860" ht="13.8" x14ac:dyDescent="0.3"/>
    <row r="861" ht="13.8" x14ac:dyDescent="0.3"/>
    <row r="862" ht="13.8" x14ac:dyDescent="0.3"/>
    <row r="863" ht="13.8" x14ac:dyDescent="0.3"/>
    <row r="864" ht="13.8" x14ac:dyDescent="0.3"/>
    <row r="865" ht="13.8" x14ac:dyDescent="0.3"/>
    <row r="866" ht="13.8" x14ac:dyDescent="0.3"/>
    <row r="867" ht="13.8" x14ac:dyDescent="0.3"/>
    <row r="868" ht="13.8" x14ac:dyDescent="0.3"/>
    <row r="869" ht="13.8" x14ac:dyDescent="0.3"/>
    <row r="870" ht="13.8" x14ac:dyDescent="0.3"/>
    <row r="871" ht="13.8" x14ac:dyDescent="0.3"/>
    <row r="872" ht="13.8" x14ac:dyDescent="0.3"/>
    <row r="873" ht="13.8" x14ac:dyDescent="0.3"/>
    <row r="874" ht="13.8" x14ac:dyDescent="0.3"/>
    <row r="875" ht="13.8" x14ac:dyDescent="0.3"/>
    <row r="876" ht="13.8" x14ac:dyDescent="0.3"/>
    <row r="877" ht="13.8" x14ac:dyDescent="0.3"/>
    <row r="878" ht="13.8" x14ac:dyDescent="0.3"/>
    <row r="879" ht="13.8" x14ac:dyDescent="0.3"/>
    <row r="880" ht="13.8" x14ac:dyDescent="0.3"/>
    <row r="881" ht="13.8" x14ac:dyDescent="0.3"/>
    <row r="882" ht="13.8" x14ac:dyDescent="0.3"/>
    <row r="883" ht="13.8" x14ac:dyDescent="0.3"/>
    <row r="884" ht="13.8" x14ac:dyDescent="0.3"/>
    <row r="885" ht="13.8" x14ac:dyDescent="0.3"/>
    <row r="886" ht="13.8" x14ac:dyDescent="0.3"/>
    <row r="887" ht="13.8" x14ac:dyDescent="0.3"/>
    <row r="888" ht="13.8" x14ac:dyDescent="0.3"/>
    <row r="889" ht="13.8" x14ac:dyDescent="0.3"/>
    <row r="890" ht="13.8" x14ac:dyDescent="0.3"/>
    <row r="891" ht="13.8" x14ac:dyDescent="0.3"/>
    <row r="892" ht="13.8" x14ac:dyDescent="0.3"/>
    <row r="893" ht="13.8" x14ac:dyDescent="0.3"/>
    <row r="894" ht="13.8" x14ac:dyDescent="0.3"/>
    <row r="895" ht="13.8" x14ac:dyDescent="0.3"/>
    <row r="896" ht="13.8" x14ac:dyDescent="0.3"/>
    <row r="897" ht="13.8" x14ac:dyDescent="0.3"/>
    <row r="898" ht="13.8" x14ac:dyDescent="0.3"/>
    <row r="899" ht="13.8" x14ac:dyDescent="0.3"/>
    <row r="900" ht="13.8" x14ac:dyDescent="0.3"/>
    <row r="901" ht="13.8" x14ac:dyDescent="0.3"/>
    <row r="902" ht="13.8" x14ac:dyDescent="0.3"/>
    <row r="903" ht="13.8" x14ac:dyDescent="0.3"/>
    <row r="904" ht="13.8" x14ac:dyDescent="0.3"/>
    <row r="905" ht="13.8" x14ac:dyDescent="0.3"/>
    <row r="906" ht="13.8" x14ac:dyDescent="0.3"/>
    <row r="907" ht="13.8" x14ac:dyDescent="0.3"/>
    <row r="908" ht="13.8" x14ac:dyDescent="0.3"/>
    <row r="909" ht="13.8" x14ac:dyDescent="0.3"/>
    <row r="910" ht="13.8" x14ac:dyDescent="0.3"/>
    <row r="911" ht="13.8" x14ac:dyDescent="0.3"/>
    <row r="912" ht="13.8" x14ac:dyDescent="0.3"/>
    <row r="913" ht="13.8" x14ac:dyDescent="0.3"/>
    <row r="914" ht="13.8" x14ac:dyDescent="0.3"/>
    <row r="915" ht="13.8" x14ac:dyDescent="0.3"/>
    <row r="916" ht="13.8" x14ac:dyDescent="0.3"/>
    <row r="917" ht="13.8" x14ac:dyDescent="0.3"/>
    <row r="918" ht="13.8" x14ac:dyDescent="0.3"/>
    <row r="919" ht="13.8" x14ac:dyDescent="0.3"/>
    <row r="920" ht="13.8" x14ac:dyDescent="0.3"/>
    <row r="921" ht="13.8" x14ac:dyDescent="0.3"/>
    <row r="922" ht="13.8" x14ac:dyDescent="0.3"/>
    <row r="923" ht="13.8" x14ac:dyDescent="0.3"/>
    <row r="924" ht="13.8" x14ac:dyDescent="0.3"/>
    <row r="925" ht="13.8" x14ac:dyDescent="0.3"/>
    <row r="926" ht="13.8" x14ac:dyDescent="0.3"/>
    <row r="927" ht="13.8" x14ac:dyDescent="0.3"/>
    <row r="928" ht="13.8" x14ac:dyDescent="0.3"/>
    <row r="929" ht="13.8" x14ac:dyDescent="0.3"/>
    <row r="930" ht="13.8" x14ac:dyDescent="0.3"/>
    <row r="931" ht="13.8" x14ac:dyDescent="0.3"/>
    <row r="932" ht="13.8" x14ac:dyDescent="0.3"/>
    <row r="933" ht="13.8" x14ac:dyDescent="0.3"/>
    <row r="934" ht="13.8" x14ac:dyDescent="0.3"/>
    <row r="935" ht="13.8" x14ac:dyDescent="0.3"/>
    <row r="936" ht="13.8" x14ac:dyDescent="0.3"/>
    <row r="937" ht="13.8" x14ac:dyDescent="0.3"/>
    <row r="938" ht="13.8" x14ac:dyDescent="0.3"/>
    <row r="939" ht="13.8" x14ac:dyDescent="0.3"/>
    <row r="940" ht="13.8" x14ac:dyDescent="0.3"/>
    <row r="941" ht="13.8" x14ac:dyDescent="0.3"/>
    <row r="942" ht="13.8" x14ac:dyDescent="0.3"/>
    <row r="943" ht="13.8" x14ac:dyDescent="0.3"/>
    <row r="944" ht="13.8" x14ac:dyDescent="0.3"/>
    <row r="945" ht="13.8" x14ac:dyDescent="0.3"/>
    <row r="946" ht="13.8" x14ac:dyDescent="0.3"/>
    <row r="947" ht="13.8" x14ac:dyDescent="0.3"/>
    <row r="948" ht="13.8" x14ac:dyDescent="0.3"/>
    <row r="949" ht="13.8" x14ac:dyDescent="0.3"/>
    <row r="950" ht="13.8" x14ac:dyDescent="0.3"/>
    <row r="951" ht="13.8" x14ac:dyDescent="0.3"/>
    <row r="952" ht="13.8" x14ac:dyDescent="0.3"/>
    <row r="953" ht="13.8" x14ac:dyDescent="0.3"/>
    <row r="954" ht="13.8" x14ac:dyDescent="0.3"/>
  </sheetData>
  <mergeCells count="2">
    <mergeCell ref="T13:T15"/>
    <mergeCell ref="B78:N79"/>
  </mergeCells>
  <conditionalFormatting sqref="C3:C4">
    <cfRule type="colorScale" priority="8">
      <colorScale>
        <cfvo type="min"/>
        <cfvo type="max"/>
        <color rgb="FFFFFFFF"/>
        <color rgb="FF57BB8A"/>
      </colorScale>
    </cfRule>
  </conditionalFormatting>
  <conditionalFormatting sqref="D3:D4">
    <cfRule type="colorScale" priority="9">
      <colorScale>
        <cfvo type="min"/>
        <cfvo type="max"/>
        <color rgb="FFFFFFFF"/>
        <color rgb="FF57BB8A"/>
      </colorScale>
    </cfRule>
  </conditionalFormatting>
  <conditionalFormatting sqref="D27:D54">
    <cfRule type="colorScale" priority="3">
      <colorScale>
        <cfvo type="min"/>
        <cfvo type="max"/>
        <color rgb="FFFFFFFF"/>
        <color rgb="FF57BB8A"/>
      </colorScale>
    </cfRule>
  </conditionalFormatting>
  <conditionalFormatting sqref="D21:E26 F21:F25">
    <cfRule type="colorScale" priority="6">
      <colorScale>
        <cfvo type="min"/>
        <cfvo type="max"/>
        <color rgb="FFFFFFFF"/>
        <color rgb="FF57BB8A"/>
      </colorScale>
    </cfRule>
  </conditionalFormatting>
  <conditionalFormatting sqref="D17:F18">
    <cfRule type="colorScale" priority="3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7:E54">
    <cfRule type="colorScale" priority="4">
      <colorScale>
        <cfvo type="min"/>
        <cfvo type="max"/>
        <color rgb="FFFFFFFF"/>
        <color rgb="FF57BB8A"/>
      </colorScale>
    </cfRule>
  </conditionalFormatting>
  <conditionalFormatting sqref="E3:G4">
    <cfRule type="colorScale" priority="10">
      <colorScale>
        <cfvo type="min"/>
        <cfvo type="max"/>
        <color rgb="FFFFFFFF"/>
        <color rgb="FF57BB8A"/>
      </colorScale>
    </cfRule>
  </conditionalFormatting>
  <conditionalFormatting sqref="F27:F50">
    <cfRule type="colorScale" priority="20">
      <colorScale>
        <cfvo type="min"/>
        <cfvo type="max"/>
        <color rgb="FFFFFFFF"/>
        <color rgb="FF57BB8A"/>
      </colorScale>
    </cfRule>
  </conditionalFormatting>
  <conditionalFormatting sqref="F3:G4">
    <cfRule type="colorScale" priority="11">
      <colorScale>
        <cfvo type="min"/>
        <cfvo type="max"/>
        <color rgb="FFFFFFFF"/>
        <color rgb="FF57BB8A"/>
      </colorScale>
    </cfRule>
  </conditionalFormatting>
  <conditionalFormatting sqref="G3:G4">
    <cfRule type="colorScale" priority="12">
      <colorScale>
        <cfvo type="min"/>
        <cfvo type="max"/>
        <color rgb="FFFFFFFF"/>
        <color rgb="FF57BB8A"/>
      </colorScale>
    </cfRule>
  </conditionalFormatting>
  <conditionalFormatting sqref="G17:G18">
    <cfRule type="colorScale" priority="3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1:G24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7:G52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1:I24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7:I43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:I4">
    <cfRule type="colorScale" priority="13">
      <colorScale>
        <cfvo type="min"/>
        <cfvo type="max"/>
        <color rgb="FF57BB8A"/>
        <color rgb="FFFFFFFF"/>
      </colorScale>
    </cfRule>
  </conditionalFormatting>
  <conditionalFormatting sqref="J3:J4">
    <cfRule type="colorScale" priority="14">
      <colorScale>
        <cfvo type="min"/>
        <cfvo type="max"/>
        <color rgb="FFFFFFFF"/>
        <color rgb="FF57BB8A"/>
      </colorScale>
    </cfRule>
  </conditionalFormatting>
  <conditionalFormatting sqref="J27:K43">
    <cfRule type="colorScale" priority="2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21:L24">
    <cfRule type="colorScale" priority="3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17:N17 I1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8:N18">
    <cfRule type="colorScale" priority="5">
      <colorScale>
        <cfvo type="min"/>
        <cfvo type="max"/>
        <color rgb="FFFFFFFF"/>
        <color rgb="FF57BB8A"/>
      </colorScale>
    </cfRule>
  </conditionalFormatting>
  <conditionalFormatting sqref="J16:O16 I18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3:N13">
    <cfRule type="colorScale" priority="3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3:M4">
    <cfRule type="colorScale" priority="15">
      <colorScale>
        <cfvo type="min"/>
        <cfvo type="max"/>
        <color rgb="FFFFFFFF"/>
        <color rgb="FF57BB8A"/>
      </colorScale>
    </cfRule>
  </conditionalFormatting>
  <conditionalFormatting sqref="N3:N4">
    <cfRule type="colorScale" priority="16">
      <colorScale>
        <cfvo type="min"/>
        <cfvo type="max"/>
        <color rgb="FFFFFFFF"/>
        <color rgb="FFE67C73"/>
      </colorScale>
    </cfRule>
  </conditionalFormatting>
  <conditionalFormatting sqref="O3:O4">
    <cfRule type="colorScale" priority="17">
      <colorScale>
        <cfvo type="min"/>
        <cfvo type="max"/>
        <color rgb="FFFFFFFF"/>
        <color rgb="FF57BB8A"/>
      </colorScale>
    </cfRule>
  </conditionalFormatting>
  <conditionalFormatting sqref="P3:P4">
    <cfRule type="colorScale" priority="18">
      <colorScale>
        <cfvo type="min"/>
        <cfvo type="max"/>
        <color rgb="FFFFFFFF"/>
        <color rgb="FFE67C73"/>
      </colorScale>
    </cfRule>
  </conditionalFormatting>
  <conditionalFormatting sqref="Q3:Q4">
    <cfRule type="colorScale" priority="19">
      <colorScale>
        <cfvo type="min"/>
        <cfvo type="max"/>
        <color rgb="FFFFFFFF"/>
        <color rgb="FF57BB8A"/>
      </colorScale>
    </cfRule>
  </conditionalFormatting>
  <conditionalFormatting sqref="Q13:S13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15:S15">
    <cfRule type="colorScale" priority="2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R21:R28 W21:W28 AB21:AB28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30:R37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27:S39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1:S52 Z41:Z52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21:W27 AB21:AB27">
    <cfRule type="colorScale" priority="3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78" r:id="rId1" xr:uid="{E1113B3E-9E50-4CB2-9126-885DCB081AC3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940D-199A-4DE0-B327-9387F19F9F2A}">
  <sheetPr>
    <outlinePr summaryBelow="0" summaryRight="0"/>
  </sheetPr>
  <dimension ref="A1:AO162"/>
  <sheetViews>
    <sheetView showGridLines="0" workbookViewId="0">
      <selection activeCell="G13" sqref="G13"/>
    </sheetView>
  </sheetViews>
  <sheetFormatPr defaultColWidth="12.6640625" defaultRowHeight="15.75" customHeight="1" x14ac:dyDescent="0.3"/>
  <cols>
    <col min="20" max="20" width="15.21875" customWidth="1"/>
    <col min="21" max="21" width="16" customWidth="1"/>
    <col min="22" max="22" width="15.6640625" customWidth="1"/>
    <col min="23" max="23" width="15.33203125" customWidth="1"/>
    <col min="24" max="24" width="14" customWidth="1"/>
    <col min="26" max="26" width="14.77734375" customWidth="1"/>
    <col min="27" max="27" width="14.88671875" customWidth="1"/>
    <col min="28" max="28" width="14.77734375" customWidth="1"/>
  </cols>
  <sheetData>
    <row r="1" spans="1:41" ht="13.8" x14ac:dyDescent="0.3">
      <c r="A1" s="84" t="s">
        <v>158</v>
      </c>
      <c r="B1" s="84" t="s">
        <v>149</v>
      </c>
      <c r="C1" s="84" t="s">
        <v>159</v>
      </c>
      <c r="D1" s="84" t="s">
        <v>160</v>
      </c>
      <c r="E1" s="84" t="s">
        <v>161</v>
      </c>
      <c r="F1" s="84" t="s">
        <v>162</v>
      </c>
      <c r="G1" s="84" t="s">
        <v>163</v>
      </c>
      <c r="H1" s="84" t="s">
        <v>164</v>
      </c>
      <c r="I1" s="84" t="s">
        <v>101</v>
      </c>
      <c r="J1" s="84" t="s">
        <v>165</v>
      </c>
      <c r="K1" s="84" t="s">
        <v>150</v>
      </c>
      <c r="L1" s="84" t="s">
        <v>166</v>
      </c>
      <c r="M1" s="84" t="s">
        <v>10</v>
      </c>
      <c r="N1" s="84" t="s">
        <v>167</v>
      </c>
      <c r="O1" s="84" t="s">
        <v>168</v>
      </c>
      <c r="P1" s="84" t="s">
        <v>169</v>
      </c>
      <c r="Q1" s="84" t="s">
        <v>170</v>
      </c>
      <c r="R1" s="84" t="s">
        <v>171</v>
      </c>
      <c r="S1" s="84" t="s">
        <v>172</v>
      </c>
      <c r="T1" s="84" t="s">
        <v>173</v>
      </c>
      <c r="U1" s="84" t="s">
        <v>174</v>
      </c>
      <c r="V1" s="84" t="s">
        <v>175</v>
      </c>
      <c r="W1" s="84" t="s">
        <v>176</v>
      </c>
      <c r="X1" s="84" t="s">
        <v>99</v>
      </c>
      <c r="Y1" s="84" t="s">
        <v>177</v>
      </c>
      <c r="Z1" s="85" t="s">
        <v>178</v>
      </c>
      <c r="AA1" s="85" t="s">
        <v>179</v>
      </c>
      <c r="AB1" s="85" t="s">
        <v>180</v>
      </c>
      <c r="AC1" s="85" t="s">
        <v>80</v>
      </c>
      <c r="AD1" s="85" t="s">
        <v>39</v>
      </c>
      <c r="AE1" s="85" t="s">
        <v>181</v>
      </c>
      <c r="AF1" s="85" t="s">
        <v>182</v>
      </c>
      <c r="AG1" s="85" t="s">
        <v>37</v>
      </c>
      <c r="AH1" s="85" t="s">
        <v>38</v>
      </c>
      <c r="AI1" s="85" t="s">
        <v>40</v>
      </c>
      <c r="AJ1" s="85" t="s">
        <v>157</v>
      </c>
      <c r="AK1" s="85" t="s">
        <v>41</v>
      </c>
      <c r="AL1" s="85" t="s">
        <v>42</v>
      </c>
      <c r="AM1" s="85" t="s">
        <v>43</v>
      </c>
      <c r="AN1" s="85" t="s">
        <v>44</v>
      </c>
      <c r="AO1" s="85" t="s">
        <v>45</v>
      </c>
    </row>
    <row r="2" spans="1:41" ht="15.75" customHeight="1" x14ac:dyDescent="0.3">
      <c r="A2" s="86">
        <v>532977</v>
      </c>
      <c r="B2" s="87" t="s">
        <v>25</v>
      </c>
      <c r="C2" s="46">
        <f ca="1">IFERROR(__xludf.DUMMYFUNCTION("GOOGLEFINANCE(""bom:""&amp;A2,""price"")"),9840.45)</f>
        <v>9840.4500000000007</v>
      </c>
      <c r="D2" s="61">
        <f ca="1">IFERROR(__xludf.DUMMYFUNCTION("GOOGLEFINANCE(""bom:""&amp;A2,""marketcap"")/10000000"),274725.2546062)</f>
        <v>274725.25460619997</v>
      </c>
      <c r="E2" s="88">
        <v>10332</v>
      </c>
      <c r="F2" s="89">
        <v>6564</v>
      </c>
      <c r="G2" s="89">
        <v>36467</v>
      </c>
      <c r="H2" s="89">
        <v>7135</v>
      </c>
      <c r="I2" s="89">
        <v>282</v>
      </c>
      <c r="J2" s="89">
        <v>29331</v>
      </c>
      <c r="K2" s="89"/>
      <c r="L2" s="89">
        <v>2089</v>
      </c>
      <c r="M2" s="89">
        <v>10</v>
      </c>
      <c r="N2" s="90"/>
      <c r="O2" s="61">
        <v>262</v>
      </c>
      <c r="P2" s="60">
        <v>0.42080000000000001</v>
      </c>
      <c r="Q2" s="46">
        <v>25563</v>
      </c>
      <c r="R2" s="46">
        <v>36455</v>
      </c>
      <c r="S2" s="46">
        <v>6060</v>
      </c>
      <c r="T2" s="46">
        <v>32532</v>
      </c>
      <c r="U2" s="46">
        <v>26730</v>
      </c>
      <c r="V2" s="46">
        <v>5696</v>
      </c>
      <c r="W2" s="46">
        <v>4355</v>
      </c>
      <c r="X2" s="88">
        <v>39</v>
      </c>
      <c r="Y2" s="89">
        <v>30330</v>
      </c>
      <c r="Z2" s="56">
        <f t="shared" ref="Z2:Z6" si="0">(T2/U2)-1</f>
        <v>0.21705948372615036</v>
      </c>
      <c r="AA2" s="56">
        <f t="shared" ref="AA2:AA6" si="1">(V2/W2)-1</f>
        <v>0.30792192881745128</v>
      </c>
      <c r="AB2" s="56">
        <f t="shared" ref="AB2:AB6" si="2">(R2/Q2)^(1/5)-1</f>
        <v>7.3566760477506543E-2</v>
      </c>
      <c r="AC2" s="56">
        <f t="shared" ref="AC2:AC6" si="3">V2/U2</f>
        <v>0.21309390198279088</v>
      </c>
      <c r="AD2" s="61">
        <f t="shared" ref="AD2:AD6" si="4">(R2-Y2+X2)/X2</f>
        <v>158.05128205128204</v>
      </c>
      <c r="AE2" s="63">
        <f t="shared" ref="AE2:AE6" si="5">E2/F2</f>
        <v>1.5740402193784278</v>
      </c>
      <c r="AF2" s="61">
        <f t="shared" ref="AF2:AF6" si="6">(L2/R2)*365</f>
        <v>20.915786586202167</v>
      </c>
      <c r="AG2" s="91">
        <f t="shared" ref="AG2:AG6" si="7">K2/J2</f>
        <v>0</v>
      </c>
      <c r="AH2" s="91">
        <f t="shared" ref="AH2:AH6" si="8">H2/G2</f>
        <v>0.195656346834124</v>
      </c>
      <c r="AI2" s="56">
        <f t="shared" ref="AI2:AI6" si="9">S2/J2</f>
        <v>0.20660734376598139</v>
      </c>
      <c r="AJ2" s="61">
        <f t="shared" ref="AJ2:AJ6" si="10">S2/I2</f>
        <v>21.48936170212766</v>
      </c>
      <c r="AK2" s="53">
        <f t="shared" ref="AK2:AK6" si="11">S2/G2</f>
        <v>0.16617764005813476</v>
      </c>
      <c r="AL2" s="61">
        <f t="shared" ref="AL2:AL6" ca="1" si="12">C2/O2</f>
        <v>37.558969465648858</v>
      </c>
      <c r="AM2" s="56">
        <f t="shared" ref="AM2:AM6" ca="1" si="13">O2/C2</f>
        <v>2.6624798662662784E-2</v>
      </c>
      <c r="AN2" s="61">
        <f t="shared" ref="AN2:AN6" si="14">(I2+J2)/(I2/M2)</f>
        <v>1050.1063829787233</v>
      </c>
      <c r="AO2" s="61">
        <f t="shared" ref="AO2:AO6" ca="1" si="15">C2/AN2</f>
        <v>9.3709077094519309</v>
      </c>
    </row>
    <row r="3" spans="1:41" ht="15.75" customHeight="1" x14ac:dyDescent="0.3">
      <c r="A3" s="86">
        <v>505200</v>
      </c>
      <c r="B3" s="87" t="s">
        <v>151</v>
      </c>
      <c r="C3" s="46">
        <f ca="1">IFERROR(__xludf.DUMMYFUNCTION("GOOGLEFINANCE(""bom:""&amp;A3,""price"")"),4888.7)</f>
        <v>4888.7</v>
      </c>
      <c r="D3" s="61">
        <f ca="1">IFERROR(__xludf.DUMMYFUNCTION("GOOGLEFINANCE(""bom:""&amp;A3,""marketcap"")/10000000"),133948.5809512)</f>
        <v>133948.58095120001</v>
      </c>
      <c r="E3" s="88">
        <v>4451</v>
      </c>
      <c r="F3" s="89">
        <v>3856</v>
      </c>
      <c r="G3" s="89">
        <v>21062</v>
      </c>
      <c r="H3" s="89">
        <v>5131</v>
      </c>
      <c r="I3" s="89">
        <v>27</v>
      </c>
      <c r="J3" s="89">
        <v>15931</v>
      </c>
      <c r="K3" s="89">
        <v>269</v>
      </c>
      <c r="L3" s="89">
        <v>288</v>
      </c>
      <c r="M3" s="89">
        <v>1</v>
      </c>
      <c r="N3" s="90"/>
      <c r="O3" s="61">
        <v>131</v>
      </c>
      <c r="P3" s="60">
        <v>0.2011</v>
      </c>
      <c r="Q3" s="46">
        <v>9219</v>
      </c>
      <c r="R3" s="46">
        <v>14442</v>
      </c>
      <c r="S3" s="46">
        <v>2914</v>
      </c>
      <c r="T3" s="46">
        <v>15626</v>
      </c>
      <c r="U3" s="46">
        <v>14442</v>
      </c>
      <c r="V3" s="46">
        <v>3581</v>
      </c>
      <c r="W3" s="46">
        <v>2914</v>
      </c>
      <c r="X3" s="88">
        <v>28</v>
      </c>
      <c r="Y3" s="89">
        <v>11553</v>
      </c>
      <c r="Z3" s="56">
        <f t="shared" si="0"/>
        <v>8.1983104833125653E-2</v>
      </c>
      <c r="AA3" s="56">
        <f t="shared" si="1"/>
        <v>0.2288949897048731</v>
      </c>
      <c r="AB3" s="56">
        <f t="shared" si="2"/>
        <v>9.392791569847514E-2</v>
      </c>
      <c r="AC3" s="56">
        <f t="shared" si="3"/>
        <v>0.24795734662789087</v>
      </c>
      <c r="AD3" s="61">
        <f t="shared" si="4"/>
        <v>104.17857142857143</v>
      </c>
      <c r="AE3" s="63">
        <f t="shared" si="5"/>
        <v>1.1543049792531119</v>
      </c>
      <c r="AF3" s="61">
        <f t="shared" si="6"/>
        <v>7.2787702534275036</v>
      </c>
      <c r="AG3" s="91">
        <f t="shared" si="7"/>
        <v>1.6885317933588599E-2</v>
      </c>
      <c r="AH3" s="91">
        <f t="shared" si="8"/>
        <v>0.24361409172918053</v>
      </c>
      <c r="AI3" s="56">
        <f t="shared" si="9"/>
        <v>0.18291381583077021</v>
      </c>
      <c r="AJ3" s="61">
        <f t="shared" si="10"/>
        <v>107.92592592592592</v>
      </c>
      <c r="AK3" s="53">
        <f t="shared" si="11"/>
        <v>0.13835343272243852</v>
      </c>
      <c r="AL3" s="61">
        <f t="shared" ca="1" si="12"/>
        <v>37.318320610687024</v>
      </c>
      <c r="AM3" s="56">
        <f t="shared" ca="1" si="13"/>
        <v>2.6796489864381125E-2</v>
      </c>
      <c r="AN3" s="61">
        <f t="shared" si="14"/>
        <v>591.03703703703707</v>
      </c>
      <c r="AO3" s="61">
        <f t="shared" ca="1" si="15"/>
        <v>8.2713936583531762</v>
      </c>
    </row>
    <row r="4" spans="1:41" ht="15.75" customHeight="1" x14ac:dyDescent="0.3">
      <c r="A4" s="86">
        <v>532343</v>
      </c>
      <c r="B4" s="87" t="s">
        <v>154</v>
      </c>
      <c r="C4" s="46">
        <f ca="1">IFERROR(__xludf.DUMMYFUNCTION("GOOGLEFINANCE(""bom:""&amp;A4,""price"")"),2481)</f>
        <v>2481</v>
      </c>
      <c r="D4" s="61">
        <f ca="1">IFERROR(__xludf.DUMMYFUNCTION("GOOGLEFINANCE(""bom:""&amp;A4,""marketcap"")/10000000"),117765.3812039)</f>
        <v>117765.3812039</v>
      </c>
      <c r="E4" s="88">
        <v>20975</v>
      </c>
      <c r="F4" s="89">
        <v>20250</v>
      </c>
      <c r="G4" s="89">
        <v>40469</v>
      </c>
      <c r="H4" s="89">
        <v>33488</v>
      </c>
      <c r="I4" s="89">
        <v>48</v>
      </c>
      <c r="J4" s="89">
        <v>6981</v>
      </c>
      <c r="K4" s="89">
        <v>24310</v>
      </c>
      <c r="L4" s="89">
        <v>1616</v>
      </c>
      <c r="M4" s="89">
        <v>1</v>
      </c>
      <c r="N4" s="90"/>
      <c r="O4" s="61">
        <v>34</v>
      </c>
      <c r="P4" s="60">
        <v>0.1852</v>
      </c>
      <c r="Q4" s="46">
        <v>16656</v>
      </c>
      <c r="R4" s="46">
        <v>31974</v>
      </c>
      <c r="S4" s="46">
        <v>1309</v>
      </c>
      <c r="T4" s="46">
        <v>29102</v>
      </c>
      <c r="U4" s="46">
        <v>23942</v>
      </c>
      <c r="V4" s="46">
        <v>1299</v>
      </c>
      <c r="W4" s="46">
        <v>992</v>
      </c>
      <c r="X4" s="88">
        <v>1368</v>
      </c>
      <c r="Y4" s="89">
        <v>30133</v>
      </c>
      <c r="Z4" s="56">
        <f t="shared" si="0"/>
        <v>0.21552084203491773</v>
      </c>
      <c r="AA4" s="56">
        <f t="shared" si="1"/>
        <v>0.30947580645161299</v>
      </c>
      <c r="AB4" s="56">
        <f t="shared" si="2"/>
        <v>0.1393187683129764</v>
      </c>
      <c r="AC4" s="56">
        <f t="shared" si="3"/>
        <v>5.4256118954139169E-2</v>
      </c>
      <c r="AD4" s="61">
        <f t="shared" si="4"/>
        <v>2.3457602339181287</v>
      </c>
      <c r="AE4" s="63">
        <f t="shared" si="5"/>
        <v>1.0358024691358025</v>
      </c>
      <c r="AF4" s="61">
        <f t="shared" si="6"/>
        <v>18.447488584474886</v>
      </c>
      <c r="AG4" s="91">
        <f t="shared" si="7"/>
        <v>3.4823091247672253</v>
      </c>
      <c r="AH4" s="91">
        <f t="shared" si="8"/>
        <v>0.82749759074847418</v>
      </c>
      <c r="AI4" s="56">
        <f t="shared" si="9"/>
        <v>0.18750895287208136</v>
      </c>
      <c r="AJ4" s="61">
        <f t="shared" si="10"/>
        <v>27.270833333333332</v>
      </c>
      <c r="AK4" s="53">
        <f t="shared" si="11"/>
        <v>3.2345746126664854E-2</v>
      </c>
      <c r="AL4" s="61">
        <f t="shared" ca="1" si="12"/>
        <v>72.970588235294116</v>
      </c>
      <c r="AM4" s="56">
        <f t="shared" ca="1" si="13"/>
        <v>1.3704151551793631E-2</v>
      </c>
      <c r="AN4" s="61">
        <f t="shared" si="14"/>
        <v>146.4375</v>
      </c>
      <c r="AO4" s="61">
        <f t="shared" ca="1" si="15"/>
        <v>16.942381562099872</v>
      </c>
    </row>
    <row r="5" spans="1:41" ht="15.75" customHeight="1" x14ac:dyDescent="0.3">
      <c r="A5" s="86">
        <v>500182</v>
      </c>
      <c r="B5" s="87" t="s">
        <v>152</v>
      </c>
      <c r="C5" s="46">
        <f ca="1">IFERROR(__xludf.DUMMYFUNCTION("GOOGLEFINANCE(""bom:""&amp;A5,""price"")"),5012.15)</f>
        <v>5012.1499999999996</v>
      </c>
      <c r="D5" s="61">
        <f ca="1">IFERROR(__xludf.DUMMYFUNCTION("GOOGLEFINANCE(""bom:""&amp;A5,""marketcap"")/10000000"),100230.02612)</f>
        <v>100230.02611999999</v>
      </c>
      <c r="E5" s="88">
        <v>11025</v>
      </c>
      <c r="F5" s="89">
        <v>7354</v>
      </c>
      <c r="G5" s="89">
        <v>26311</v>
      </c>
      <c r="H5" s="89">
        <v>8512</v>
      </c>
      <c r="I5" s="89">
        <v>39</v>
      </c>
      <c r="J5" s="89">
        <v>17798</v>
      </c>
      <c r="K5" s="89">
        <v>399</v>
      </c>
      <c r="L5" s="89">
        <v>4229</v>
      </c>
      <c r="M5" s="89">
        <v>2</v>
      </c>
      <c r="N5" s="90"/>
      <c r="O5" s="61">
        <v>162</v>
      </c>
      <c r="P5" s="60">
        <v>0.18729999999999999</v>
      </c>
      <c r="Q5" s="46">
        <v>33101</v>
      </c>
      <c r="R5" s="46">
        <v>34158</v>
      </c>
      <c r="S5" s="46">
        <v>2800</v>
      </c>
      <c r="T5" s="46">
        <v>9553</v>
      </c>
      <c r="U5" s="46">
        <v>8851</v>
      </c>
      <c r="V5" s="46">
        <v>1007</v>
      </c>
      <c r="W5" s="46">
        <v>701</v>
      </c>
      <c r="X5" s="88">
        <v>105</v>
      </c>
      <c r="Y5" s="89">
        <v>30867</v>
      </c>
      <c r="Z5" s="56">
        <f t="shared" si="0"/>
        <v>7.9313071969268956E-2</v>
      </c>
      <c r="AA5" s="56">
        <f t="shared" si="1"/>
        <v>0.43651925820256765</v>
      </c>
      <c r="AB5" s="56">
        <f t="shared" si="2"/>
        <v>6.3064677129949231E-3</v>
      </c>
      <c r="AC5" s="56">
        <f t="shared" si="3"/>
        <v>0.11377245508982035</v>
      </c>
      <c r="AD5" s="61">
        <f t="shared" si="4"/>
        <v>32.342857142857142</v>
      </c>
      <c r="AE5" s="63">
        <f t="shared" si="5"/>
        <v>1.4991841174870819</v>
      </c>
      <c r="AF5" s="61">
        <f t="shared" si="6"/>
        <v>45.189560278704839</v>
      </c>
      <c r="AG5" s="91">
        <f t="shared" si="7"/>
        <v>2.2418249241487807E-2</v>
      </c>
      <c r="AH5" s="91">
        <f t="shared" si="8"/>
        <v>0.32351487970810688</v>
      </c>
      <c r="AI5" s="56">
        <f t="shared" si="9"/>
        <v>0.15732104730868637</v>
      </c>
      <c r="AJ5" s="61">
        <f t="shared" si="10"/>
        <v>71.794871794871796</v>
      </c>
      <c r="AK5" s="53">
        <f t="shared" si="11"/>
        <v>0.10641936832503515</v>
      </c>
      <c r="AL5" s="61">
        <f t="shared" ca="1" si="12"/>
        <v>30.939197530864195</v>
      </c>
      <c r="AM5" s="56">
        <f t="shared" ca="1" si="13"/>
        <v>3.2321458854982395E-2</v>
      </c>
      <c r="AN5" s="61">
        <f t="shared" si="14"/>
        <v>914.71794871794873</v>
      </c>
      <c r="AO5" s="61">
        <f t="shared" ca="1" si="15"/>
        <v>5.4794486180411504</v>
      </c>
    </row>
    <row r="6" spans="1:41" ht="15.75" customHeight="1" x14ac:dyDescent="0.3">
      <c r="A6" s="86">
        <v>538970</v>
      </c>
      <c r="B6" s="87" t="s">
        <v>155</v>
      </c>
      <c r="C6" s="46">
        <f ca="1">IFERROR(__xludf.DUMMYFUNCTION("GOOGLEFINANCE(""bom:""&amp;A6,""price"")"),44.59)</f>
        <v>44.59</v>
      </c>
      <c r="D6" s="61">
        <f ca="1">IFERROR(__xludf.DUMMYFUNCTION("GOOGLEFINANCE(""bom:""&amp;A6,""marketcap"")/10000000"),1105.603)</f>
        <v>1105.6030000000001</v>
      </c>
      <c r="E6" s="88">
        <v>185</v>
      </c>
      <c r="F6" s="89">
        <v>181</v>
      </c>
      <c r="G6" s="89">
        <v>279</v>
      </c>
      <c r="H6" s="89">
        <v>187</v>
      </c>
      <c r="I6" s="89">
        <v>26</v>
      </c>
      <c r="J6" s="89">
        <v>91</v>
      </c>
      <c r="K6" s="89">
        <v>46</v>
      </c>
      <c r="L6" s="89">
        <v>16</v>
      </c>
      <c r="M6" s="89">
        <v>1</v>
      </c>
      <c r="N6" s="90"/>
      <c r="O6" s="61">
        <v>-1</v>
      </c>
      <c r="P6" s="60">
        <v>3.8E-3</v>
      </c>
      <c r="Q6" s="46">
        <v>0</v>
      </c>
      <c r="R6" s="46">
        <v>239</v>
      </c>
      <c r="S6" s="46">
        <v>9</v>
      </c>
      <c r="T6" s="46">
        <v>240</v>
      </c>
      <c r="U6" s="46">
        <v>239</v>
      </c>
      <c r="V6" s="46">
        <v>11</v>
      </c>
      <c r="W6" s="46">
        <v>9</v>
      </c>
      <c r="X6" s="88">
        <v>1</v>
      </c>
      <c r="Y6" s="89">
        <v>226</v>
      </c>
      <c r="Z6" s="56">
        <f t="shared" si="0"/>
        <v>4.1841004184099972E-3</v>
      </c>
      <c r="AA6" s="56">
        <f t="shared" si="1"/>
        <v>0.22222222222222232</v>
      </c>
      <c r="AB6" s="56" t="e">
        <f t="shared" si="2"/>
        <v>#DIV/0!</v>
      </c>
      <c r="AC6" s="56">
        <f t="shared" si="3"/>
        <v>4.6025104602510462E-2</v>
      </c>
      <c r="AD6" s="61">
        <f t="shared" si="4"/>
        <v>14</v>
      </c>
      <c r="AE6" s="63">
        <f t="shared" si="5"/>
        <v>1.0220994475138121</v>
      </c>
      <c r="AF6" s="61">
        <f t="shared" si="6"/>
        <v>24.435146443514643</v>
      </c>
      <c r="AG6" s="91">
        <f t="shared" si="7"/>
        <v>0.50549450549450547</v>
      </c>
      <c r="AH6" s="91">
        <f t="shared" si="8"/>
        <v>0.67025089605734767</v>
      </c>
      <c r="AI6" s="56">
        <f t="shared" si="9"/>
        <v>9.8901098901098897E-2</v>
      </c>
      <c r="AJ6" s="61">
        <f t="shared" si="10"/>
        <v>0.34615384615384615</v>
      </c>
      <c r="AK6" s="53">
        <f t="shared" si="11"/>
        <v>3.2258064516129031E-2</v>
      </c>
      <c r="AL6" s="61">
        <f t="shared" ca="1" si="12"/>
        <v>-44.59</v>
      </c>
      <c r="AM6" s="56">
        <f t="shared" ca="1" si="13"/>
        <v>-2.2426553038797935E-2</v>
      </c>
      <c r="AN6" s="61">
        <f t="shared" si="14"/>
        <v>4.5</v>
      </c>
      <c r="AO6" s="61">
        <f t="shared" ca="1" si="15"/>
        <v>9.9088888888888889</v>
      </c>
    </row>
    <row r="7" spans="1:41" ht="15.75" customHeight="1" x14ac:dyDescent="0.3">
      <c r="A7" s="86">
        <v>505141</v>
      </c>
      <c r="B7" s="87" t="s">
        <v>153</v>
      </c>
      <c r="C7" s="46" t="str">
        <f ca="1">IFERROR(__xludf.DUMMYFUNCTION("GOOGLEFINANCE(""bom:""&amp;A7,""price"")"),"#N/A")</f>
        <v>#N/A</v>
      </c>
      <c r="D7" s="61" t="str">
        <f ca="1">IFERROR(__xludf.DUMMYFUNCTION("GOOGLEFINANCE(""bom:""&amp;A7,""marketcap"")/10000000"),"#N/A")</f>
        <v>#N/A</v>
      </c>
      <c r="E7" s="88"/>
      <c r="F7" s="89"/>
      <c r="G7" s="89"/>
      <c r="H7" s="89"/>
      <c r="I7" s="89"/>
      <c r="J7" s="89"/>
      <c r="K7" s="89"/>
      <c r="L7" s="89"/>
      <c r="M7" s="89"/>
      <c r="N7" s="90"/>
      <c r="O7" s="61">
        <v>-2</v>
      </c>
      <c r="P7" s="60">
        <v>1.2999999999999999E-3</v>
      </c>
      <c r="Q7" s="46"/>
      <c r="R7" s="46"/>
      <c r="S7" s="46"/>
      <c r="T7" s="46"/>
      <c r="U7" s="46"/>
      <c r="V7" s="46"/>
      <c r="W7" s="46"/>
      <c r="X7" s="88"/>
      <c r="Y7" s="89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</row>
    <row r="8" spans="1:41" ht="15.75" customHeight="1" x14ac:dyDescent="0.3">
      <c r="A8" s="86">
        <v>531035</v>
      </c>
      <c r="B8" s="87" t="s">
        <v>183</v>
      </c>
      <c r="C8" s="46">
        <f ca="1">IFERROR(__xludf.DUMMYFUNCTION("GOOGLEFINANCE(""bom:""&amp;A8,""price"")"),2359.4)</f>
        <v>2359.4</v>
      </c>
      <c r="D8" s="61">
        <f ca="1">IFERROR(__xludf.DUMMYFUNCTION("GOOGLEFINANCE(""bom:""&amp;A8,""marketcap"")/10000000"),4362.3369486)</f>
        <v>4362.3369486000001</v>
      </c>
      <c r="E8" s="88"/>
      <c r="F8" s="89"/>
      <c r="G8" s="89"/>
      <c r="H8" s="89"/>
      <c r="I8" s="89"/>
      <c r="J8" s="89"/>
      <c r="K8" s="89"/>
      <c r="L8" s="89"/>
      <c r="M8" s="89"/>
      <c r="N8" s="90"/>
      <c r="O8" s="61">
        <v>1</v>
      </c>
      <c r="P8" s="60">
        <v>5.9999999999999995E-4</v>
      </c>
      <c r="Q8" s="46"/>
      <c r="R8" s="46"/>
      <c r="S8" s="46"/>
      <c r="T8" s="46"/>
      <c r="U8" s="46"/>
      <c r="V8" s="46"/>
      <c r="W8" s="46"/>
      <c r="X8" s="88"/>
      <c r="Y8" s="89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41" ht="13.8" x14ac:dyDescent="0.3">
      <c r="A9" s="46"/>
      <c r="B9" s="92"/>
      <c r="C9" s="46"/>
      <c r="D9" s="46"/>
      <c r="E9" s="46"/>
      <c r="F9" s="93"/>
      <c r="G9" s="93"/>
      <c r="H9" s="93"/>
      <c r="I9" s="93"/>
      <c r="J9" s="93"/>
      <c r="K9" s="93"/>
      <c r="L9" s="93"/>
      <c r="M9" s="93"/>
      <c r="N9" s="93"/>
      <c r="O9" s="46"/>
      <c r="P9" s="46"/>
      <c r="Q9" s="46"/>
      <c r="R9" s="46"/>
      <c r="S9" s="46"/>
      <c r="T9" s="46"/>
      <c r="U9" s="46"/>
      <c r="V9" s="46"/>
      <c r="W9" s="46"/>
      <c r="X9" s="46"/>
      <c r="Y9" s="93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1:41" ht="13.8" x14ac:dyDescent="0.3">
      <c r="A10" s="94"/>
      <c r="B10" s="94" t="s">
        <v>156</v>
      </c>
      <c r="C10" s="94">
        <f t="shared" ref="C10:D10" ca="1" si="16">SUM(C2:C8)</f>
        <v>24626.290000000005</v>
      </c>
      <c r="D10" s="94">
        <f t="shared" ca="1" si="16"/>
        <v>632137.18282989995</v>
      </c>
      <c r="E10" s="94">
        <v>46968</v>
      </c>
      <c r="F10" s="94">
        <v>38206</v>
      </c>
      <c r="G10" s="94">
        <v>124588</v>
      </c>
      <c r="H10" s="94">
        <v>54453</v>
      </c>
      <c r="I10" s="94">
        <v>422</v>
      </c>
      <c r="J10" s="94">
        <v>70132</v>
      </c>
      <c r="K10" s="94">
        <v>25024</v>
      </c>
      <c r="L10" s="94">
        <v>8238</v>
      </c>
      <c r="M10" s="94">
        <v>1</v>
      </c>
      <c r="N10" s="94"/>
      <c r="O10" s="94">
        <v>588</v>
      </c>
      <c r="P10" s="95">
        <v>1</v>
      </c>
      <c r="Q10" s="94">
        <v>84539</v>
      </c>
      <c r="R10" s="94">
        <v>117268</v>
      </c>
      <c r="S10" s="94">
        <v>13092</v>
      </c>
      <c r="T10" s="94">
        <v>87053</v>
      </c>
      <c r="U10" s="94">
        <v>74204</v>
      </c>
      <c r="V10" s="94">
        <v>11594</v>
      </c>
      <c r="W10" s="94">
        <v>8971</v>
      </c>
      <c r="X10" s="94">
        <v>1541</v>
      </c>
      <c r="Y10" s="94">
        <v>103109</v>
      </c>
      <c r="Z10" s="96">
        <f>(T10/U10)-1</f>
        <v>0.17315778125168446</v>
      </c>
      <c r="AA10" s="96">
        <f>(V10/W10)-1</f>
        <v>0.29238657897670262</v>
      </c>
      <c r="AB10" s="96">
        <f>(R10/Q10)^(1/5)-1</f>
        <v>6.7639129234475126E-2</v>
      </c>
      <c r="AC10" s="96">
        <f>V10/U10</f>
        <v>0.1562449463640774</v>
      </c>
      <c r="AD10" s="97">
        <f>(R10-Y10+X10)/X10</f>
        <v>10.188189487345879</v>
      </c>
      <c r="AE10" s="98">
        <f>E10/F10</f>
        <v>1.2293357064335444</v>
      </c>
      <c r="AF10" s="97">
        <f>(L10/R10)*365</f>
        <v>25.641010335300336</v>
      </c>
      <c r="AG10" s="99">
        <f>K10/J10</f>
        <v>0.356812867164775</v>
      </c>
      <c r="AH10" s="99">
        <f>H10/G10</f>
        <v>0.43706456480559924</v>
      </c>
      <c r="AI10" s="96">
        <f>S10/J10</f>
        <v>0.18667655278617465</v>
      </c>
      <c r="AJ10" s="97">
        <f>S10/I10</f>
        <v>31.023696682464454</v>
      </c>
      <c r="AK10" s="100">
        <f>S10/G10</f>
        <v>0.10508235143031432</v>
      </c>
      <c r="AL10" s="97">
        <f ca="1">C10/O10</f>
        <v>41.8814455782313</v>
      </c>
      <c r="AM10" s="96">
        <f ca="1">O10/C10</f>
        <v>2.3876921777498759E-2</v>
      </c>
      <c r="AN10" s="97">
        <f>SUM(AN2:AN8)</f>
        <v>2706.7988687337092</v>
      </c>
      <c r="AO10" s="97">
        <f ca="1">C10/AN10</f>
        <v>9.0979386331429346</v>
      </c>
    </row>
    <row r="13" spans="1:41" ht="13.8" x14ac:dyDescent="0.3">
      <c r="B13" s="101" t="s">
        <v>160</v>
      </c>
      <c r="D13" s="101" t="s">
        <v>101</v>
      </c>
      <c r="F13" s="101" t="s">
        <v>165</v>
      </c>
      <c r="H13" s="101" t="s">
        <v>150</v>
      </c>
      <c r="J13" s="101" t="s">
        <v>171</v>
      </c>
      <c r="L13" s="101" t="s">
        <v>172</v>
      </c>
    </row>
    <row r="14" spans="1:41" ht="13.8" x14ac:dyDescent="0.3">
      <c r="B14" s="102">
        <v>523764.05641359993</v>
      </c>
      <c r="D14" s="103">
        <f ca="1">SUM(D8:D12)</f>
        <v>636499.51977849996</v>
      </c>
      <c r="F14" s="103">
        <f>SUM(F8:F12)</f>
        <v>38206</v>
      </c>
      <c r="H14" s="103">
        <f>SUM(H8:H12)</f>
        <v>54453</v>
      </c>
      <c r="J14" s="103">
        <f>SUM(J8:J12)</f>
        <v>70132</v>
      </c>
      <c r="L14" s="103">
        <f>SUM(L8:L12)</f>
        <v>8238</v>
      </c>
    </row>
    <row r="17" spans="1:9" ht="13.8" x14ac:dyDescent="0.3">
      <c r="G17" s="104" t="s">
        <v>184</v>
      </c>
      <c r="H17" s="51"/>
      <c r="I17" s="51"/>
    </row>
    <row r="19" spans="1:9" ht="13.8" x14ac:dyDescent="0.3">
      <c r="G19" s="104" t="s">
        <v>185</v>
      </c>
      <c r="H19" s="51"/>
      <c r="I19" s="51"/>
    </row>
    <row r="32" spans="1:9" ht="14.4" x14ac:dyDescent="0.3">
      <c r="A32" s="105" t="s">
        <v>186</v>
      </c>
      <c r="B32" s="83"/>
      <c r="C32" s="83"/>
    </row>
    <row r="33" spans="1:20" ht="14.4" x14ac:dyDescent="0.3">
      <c r="A33" s="83"/>
      <c r="B33" s="101" t="s">
        <v>149</v>
      </c>
      <c r="C33" s="106" t="s">
        <v>160</v>
      </c>
      <c r="F33" s="101" t="s">
        <v>149</v>
      </c>
      <c r="G33" s="106" t="s">
        <v>171</v>
      </c>
      <c r="J33" s="101" t="s">
        <v>149</v>
      </c>
      <c r="K33" s="101" t="s">
        <v>172</v>
      </c>
      <c r="N33" s="101" t="s">
        <v>149</v>
      </c>
      <c r="O33" s="101" t="s">
        <v>180</v>
      </c>
      <c r="R33" s="101" t="s">
        <v>149</v>
      </c>
      <c r="S33" s="101" t="s">
        <v>178</v>
      </c>
      <c r="T33" s="101" t="s">
        <v>187</v>
      </c>
    </row>
    <row r="34" spans="1:20" ht="14.4" x14ac:dyDescent="0.3">
      <c r="B34" s="107" t="s">
        <v>25</v>
      </c>
      <c r="C34" s="108">
        <v>220388.89143600001</v>
      </c>
      <c r="F34" s="5" t="s">
        <v>25</v>
      </c>
      <c r="G34" s="5">
        <v>36455</v>
      </c>
      <c r="J34" s="5" t="s">
        <v>25</v>
      </c>
      <c r="K34" s="5">
        <v>6060</v>
      </c>
      <c r="N34" s="5" t="s">
        <v>25</v>
      </c>
      <c r="O34" s="13">
        <v>7.3566760477506543E-2</v>
      </c>
      <c r="R34" s="5" t="s">
        <v>25</v>
      </c>
      <c r="S34" s="13">
        <v>0.21705948372615036</v>
      </c>
      <c r="T34" s="13">
        <v>0.30792192881745128</v>
      </c>
    </row>
    <row r="35" spans="1:20" ht="14.4" x14ac:dyDescent="0.3">
      <c r="B35" s="107" t="s">
        <v>151</v>
      </c>
      <c r="C35" s="108">
        <v>105333.65965</v>
      </c>
      <c r="F35" s="5" t="s">
        <v>151</v>
      </c>
      <c r="G35" s="5">
        <v>14442</v>
      </c>
      <c r="J35" s="5" t="s">
        <v>151</v>
      </c>
      <c r="K35" s="5">
        <v>2914</v>
      </c>
      <c r="N35" s="5" t="s">
        <v>151</v>
      </c>
      <c r="O35" s="13">
        <v>9.392791569847514E-2</v>
      </c>
      <c r="R35" s="5" t="s">
        <v>151</v>
      </c>
      <c r="S35" s="13">
        <v>8.1983104833125653E-2</v>
      </c>
      <c r="T35" s="13">
        <v>0.2288949897048731</v>
      </c>
    </row>
    <row r="36" spans="1:20" ht="14.4" x14ac:dyDescent="0.3">
      <c r="B36" s="107" t="s">
        <v>154</v>
      </c>
      <c r="C36" s="108">
        <v>96986.653709699996</v>
      </c>
      <c r="F36" s="5" t="s">
        <v>154</v>
      </c>
      <c r="G36" s="5">
        <v>31974</v>
      </c>
      <c r="J36" s="5" t="s">
        <v>154</v>
      </c>
      <c r="K36" s="5">
        <v>1309</v>
      </c>
      <c r="N36" s="5" t="s">
        <v>154</v>
      </c>
      <c r="O36" s="13">
        <v>0.1393187683129764</v>
      </c>
      <c r="R36" s="5" t="s">
        <v>154</v>
      </c>
      <c r="S36" s="13">
        <v>0.21552084203491773</v>
      </c>
      <c r="T36" s="13">
        <v>0.30947580645161299</v>
      </c>
    </row>
    <row r="37" spans="1:20" ht="14.4" x14ac:dyDescent="0.3">
      <c r="B37" s="107" t="s">
        <v>152</v>
      </c>
      <c r="C37" s="108">
        <v>98104.373355000003</v>
      </c>
      <c r="F37" s="5" t="s">
        <v>152</v>
      </c>
      <c r="G37" s="5">
        <v>34158</v>
      </c>
      <c r="J37" s="5" t="s">
        <v>152</v>
      </c>
      <c r="K37" s="5">
        <v>2800</v>
      </c>
      <c r="N37" s="5" t="s">
        <v>152</v>
      </c>
      <c r="O37" s="13">
        <v>6.3064677129949231E-3</v>
      </c>
      <c r="R37" s="5" t="s">
        <v>152</v>
      </c>
      <c r="S37" s="13">
        <v>7.9313071969268956E-2</v>
      </c>
      <c r="T37" s="13">
        <v>0.43651925820256765</v>
      </c>
    </row>
    <row r="38" spans="1:20" ht="14.4" x14ac:dyDescent="0.3">
      <c r="B38" s="107" t="s">
        <v>155</v>
      </c>
      <c r="C38" s="108">
        <v>1967.752</v>
      </c>
      <c r="F38" s="5" t="s">
        <v>155</v>
      </c>
      <c r="G38" s="5">
        <v>239</v>
      </c>
      <c r="J38" s="5" t="s">
        <v>155</v>
      </c>
      <c r="K38" s="5">
        <v>9</v>
      </c>
      <c r="N38" s="5" t="s">
        <v>155</v>
      </c>
      <c r="O38" s="13"/>
      <c r="R38" s="5" t="s">
        <v>155</v>
      </c>
      <c r="S38" s="13">
        <v>4.1841004184099972E-3</v>
      </c>
      <c r="T38" s="13">
        <v>0.22222222222222232</v>
      </c>
    </row>
    <row r="39" spans="1:20" ht="14.4" x14ac:dyDescent="0.3">
      <c r="B39" s="107" t="s">
        <v>153</v>
      </c>
      <c r="C39" s="108">
        <v>677.84354970000004</v>
      </c>
      <c r="F39" s="5" t="s">
        <v>153</v>
      </c>
      <c r="J39" s="5" t="s">
        <v>153</v>
      </c>
      <c r="N39" s="5" t="s">
        <v>153</v>
      </c>
      <c r="R39" s="5" t="s">
        <v>153</v>
      </c>
    </row>
    <row r="40" spans="1:20" ht="14.4" x14ac:dyDescent="0.3">
      <c r="B40" s="107" t="s">
        <v>183</v>
      </c>
      <c r="C40" s="108">
        <v>304.88271320000001</v>
      </c>
      <c r="F40" s="5" t="s">
        <v>183</v>
      </c>
      <c r="J40" s="5" t="s">
        <v>183</v>
      </c>
      <c r="N40" s="5" t="s">
        <v>183</v>
      </c>
      <c r="R40" s="5" t="s">
        <v>183</v>
      </c>
    </row>
    <row r="41" spans="1:20" ht="13.8" x14ac:dyDescent="0.3">
      <c r="B41" s="109"/>
      <c r="C41" s="110"/>
    </row>
    <row r="42" spans="1:20" ht="13.8" x14ac:dyDescent="0.3">
      <c r="B42" s="111" t="s">
        <v>156</v>
      </c>
      <c r="C42" s="112">
        <v>523764.05641359993</v>
      </c>
      <c r="F42" s="111" t="s">
        <v>156</v>
      </c>
      <c r="G42" s="112">
        <v>117268</v>
      </c>
      <c r="J42" s="111" t="s">
        <v>156</v>
      </c>
      <c r="K42" s="112">
        <v>13092</v>
      </c>
      <c r="N42" s="111" t="s">
        <v>156</v>
      </c>
      <c r="O42" s="113">
        <v>6.7639129234475126E-2</v>
      </c>
      <c r="R42" s="111" t="s">
        <v>156</v>
      </c>
      <c r="S42" s="113">
        <v>0.17315778125168446</v>
      </c>
      <c r="T42" s="113">
        <v>0.29238657897670262</v>
      </c>
    </row>
    <row r="57" spans="1:11" ht="14.4" x14ac:dyDescent="0.3">
      <c r="A57" s="114" t="s">
        <v>29</v>
      </c>
      <c r="B57" s="114" t="s">
        <v>149</v>
      </c>
      <c r="C57" s="114" t="s">
        <v>80</v>
      </c>
      <c r="F57" s="114" t="s">
        <v>149</v>
      </c>
      <c r="G57" s="114" t="s">
        <v>181</v>
      </c>
      <c r="J57" s="114" t="s">
        <v>149</v>
      </c>
      <c r="K57" s="114" t="s">
        <v>182</v>
      </c>
    </row>
    <row r="58" spans="1:11" ht="13.8" x14ac:dyDescent="0.3">
      <c r="B58" s="5" t="s">
        <v>25</v>
      </c>
      <c r="C58" s="13">
        <v>0.21309390198279088</v>
      </c>
      <c r="F58" s="5" t="s">
        <v>25</v>
      </c>
      <c r="G58" s="54">
        <v>1.5740402193784278</v>
      </c>
      <c r="J58" s="5" t="s">
        <v>25</v>
      </c>
      <c r="K58" s="45">
        <v>20.915786586202167</v>
      </c>
    </row>
    <row r="59" spans="1:11" ht="13.8" x14ac:dyDescent="0.3">
      <c r="B59" s="5" t="s">
        <v>151</v>
      </c>
      <c r="C59" s="13">
        <v>0.24795734662789087</v>
      </c>
      <c r="F59" s="5" t="s">
        <v>151</v>
      </c>
      <c r="G59" s="54">
        <v>1.1541353870888276</v>
      </c>
      <c r="J59" s="5" t="s">
        <v>151</v>
      </c>
      <c r="K59" s="45">
        <v>7.2752319623320876</v>
      </c>
    </row>
    <row r="60" spans="1:11" ht="13.8" x14ac:dyDescent="0.3">
      <c r="B60" s="5" t="s">
        <v>154</v>
      </c>
      <c r="C60" s="13">
        <v>5.4256118954139169E-2</v>
      </c>
      <c r="F60" s="5" t="s">
        <v>154</v>
      </c>
      <c r="G60" s="54">
        <v>1.0357680587166618</v>
      </c>
      <c r="J60" s="5" t="s">
        <v>154</v>
      </c>
      <c r="K60" s="45">
        <v>18.44337899543379</v>
      </c>
    </row>
    <row r="61" spans="1:11" ht="13.8" x14ac:dyDescent="0.3">
      <c r="B61" s="5" t="s">
        <v>152</v>
      </c>
      <c r="C61" s="13">
        <v>0.11377245508982035</v>
      </c>
      <c r="F61" s="5" t="s">
        <v>152</v>
      </c>
      <c r="G61" s="54">
        <v>1.4991841174870819</v>
      </c>
      <c r="J61" s="5" t="s">
        <v>152</v>
      </c>
      <c r="K61" s="45">
        <v>45.189560278704839</v>
      </c>
    </row>
    <row r="62" spans="1:11" ht="13.8" x14ac:dyDescent="0.3">
      <c r="B62" s="5" t="s">
        <v>155</v>
      </c>
      <c r="C62" s="13">
        <v>4.6025104602510462E-2</v>
      </c>
      <c r="F62" s="5" t="s">
        <v>155</v>
      </c>
      <c r="G62" s="54">
        <v>1.0220994475138121</v>
      </c>
      <c r="J62" s="5" t="s">
        <v>155</v>
      </c>
      <c r="K62" s="45">
        <v>24.435146443514643</v>
      </c>
    </row>
    <row r="63" spans="1:11" ht="13.8" x14ac:dyDescent="0.3">
      <c r="B63" s="5" t="s">
        <v>153</v>
      </c>
      <c r="C63" s="5"/>
      <c r="F63" s="5" t="s">
        <v>153</v>
      </c>
      <c r="J63" s="5" t="s">
        <v>153</v>
      </c>
    </row>
    <row r="64" spans="1:11" ht="13.8" x14ac:dyDescent="0.3">
      <c r="B64" s="5" t="s">
        <v>183</v>
      </c>
      <c r="C64" s="5"/>
      <c r="F64" s="5" t="s">
        <v>183</v>
      </c>
      <c r="J64" s="5" t="s">
        <v>183</v>
      </c>
    </row>
    <row r="66" spans="2:11" ht="13.8" x14ac:dyDescent="0.3">
      <c r="B66" s="111" t="s">
        <v>156</v>
      </c>
      <c r="C66" s="115">
        <v>0.1562449463640774</v>
      </c>
      <c r="F66" s="116" t="s">
        <v>156</v>
      </c>
      <c r="G66" s="116">
        <v>1.2293294581820258</v>
      </c>
      <c r="H66" s="54"/>
      <c r="I66" s="54"/>
      <c r="J66" s="116" t="s">
        <v>156</v>
      </c>
      <c r="K66" s="116">
        <v>25.639454071016814</v>
      </c>
    </row>
    <row r="82" spans="1:11" ht="14.4" x14ac:dyDescent="0.3">
      <c r="A82" s="114" t="s">
        <v>30</v>
      </c>
      <c r="B82" s="114" t="s">
        <v>149</v>
      </c>
      <c r="C82" s="114" t="s">
        <v>39</v>
      </c>
      <c r="F82" s="114" t="s">
        <v>149</v>
      </c>
      <c r="G82" s="114" t="s">
        <v>37</v>
      </c>
      <c r="J82" s="114" t="s">
        <v>149</v>
      </c>
      <c r="K82" s="114" t="s">
        <v>38</v>
      </c>
    </row>
    <row r="83" spans="1:11" ht="13.8" x14ac:dyDescent="0.3">
      <c r="B83" s="5" t="s">
        <v>25</v>
      </c>
      <c r="C83" s="45">
        <v>158.05128205128204</v>
      </c>
      <c r="F83" s="5" t="s">
        <v>25</v>
      </c>
      <c r="G83" s="117">
        <v>0</v>
      </c>
      <c r="J83" s="5" t="s">
        <v>25</v>
      </c>
      <c r="K83" s="117">
        <v>0.195656346834124</v>
      </c>
    </row>
    <row r="84" spans="1:11" ht="13.8" x14ac:dyDescent="0.3">
      <c r="B84" s="5" t="s">
        <v>151</v>
      </c>
      <c r="C84" s="45">
        <v>104.17857142857143</v>
      </c>
      <c r="F84" s="5" t="s">
        <v>151</v>
      </c>
      <c r="G84" s="117">
        <v>1.6873465641993279E-2</v>
      </c>
      <c r="J84" s="5" t="s">
        <v>151</v>
      </c>
      <c r="K84" s="117">
        <v>0.24360951448548038</v>
      </c>
    </row>
    <row r="85" spans="1:11" ht="13.8" x14ac:dyDescent="0.3">
      <c r="B85" s="5" t="s">
        <v>154</v>
      </c>
      <c r="C85" s="45">
        <v>2.3457602339181287</v>
      </c>
      <c r="F85" s="5" t="s">
        <v>154</v>
      </c>
      <c r="G85" s="117">
        <v>3.4825196363110238</v>
      </c>
      <c r="J85" s="5" t="s">
        <v>154</v>
      </c>
      <c r="K85" s="117">
        <v>0.82750550667596445</v>
      </c>
    </row>
    <row r="86" spans="1:11" ht="13.8" x14ac:dyDescent="0.3">
      <c r="B86" s="5" t="s">
        <v>152</v>
      </c>
      <c r="C86" s="45">
        <v>32.342857142857142</v>
      </c>
      <c r="F86" s="5" t="s">
        <v>152</v>
      </c>
      <c r="G86" s="117">
        <v>2.2418249241487807E-2</v>
      </c>
      <c r="J86" s="5" t="s">
        <v>152</v>
      </c>
      <c r="K86" s="117">
        <v>0.32351487970810688</v>
      </c>
    </row>
    <row r="87" spans="1:11" ht="13.8" x14ac:dyDescent="0.3">
      <c r="B87" s="5" t="s">
        <v>155</v>
      </c>
      <c r="C87" s="45">
        <v>17.949152542372879</v>
      </c>
      <c r="F87" s="5" t="s">
        <v>155</v>
      </c>
      <c r="G87" s="117">
        <v>0.50549450549450547</v>
      </c>
      <c r="J87" s="5" t="s">
        <v>155</v>
      </c>
      <c r="K87" s="117">
        <v>0.67025089605734767</v>
      </c>
    </row>
    <row r="88" spans="1:11" ht="13.8" x14ac:dyDescent="0.3">
      <c r="B88" s="5" t="s">
        <v>153</v>
      </c>
      <c r="F88" s="5" t="s">
        <v>153</v>
      </c>
      <c r="J88" s="5" t="s">
        <v>153</v>
      </c>
    </row>
    <row r="89" spans="1:11" ht="13.8" x14ac:dyDescent="0.3">
      <c r="B89" s="5" t="s">
        <v>183</v>
      </c>
      <c r="F89" s="5" t="s">
        <v>183</v>
      </c>
      <c r="J89" s="5" t="s">
        <v>183</v>
      </c>
    </row>
    <row r="91" spans="1:11" ht="13.8" x14ac:dyDescent="0.3">
      <c r="B91" s="111" t="s">
        <v>156</v>
      </c>
      <c r="C91" s="116">
        <v>10.189578956454804</v>
      </c>
      <c r="F91" s="111" t="s">
        <v>156</v>
      </c>
      <c r="G91" s="118">
        <v>0.35681765229435741</v>
      </c>
      <c r="J91" s="111" t="s">
        <v>156</v>
      </c>
      <c r="K91" s="118">
        <v>0.43706689192139458</v>
      </c>
    </row>
    <row r="107" spans="1:8" ht="14.4" x14ac:dyDescent="0.3">
      <c r="A107" s="114" t="s">
        <v>31</v>
      </c>
      <c r="B107" s="114" t="s">
        <v>149</v>
      </c>
      <c r="C107" s="114" t="s">
        <v>40</v>
      </c>
      <c r="D107" s="114" t="s">
        <v>41</v>
      </c>
      <c r="G107" s="114" t="s">
        <v>149</v>
      </c>
      <c r="H107" s="114" t="s">
        <v>157</v>
      </c>
    </row>
    <row r="108" spans="1:8" ht="13.8" x14ac:dyDescent="0.3">
      <c r="B108" s="5" t="s">
        <v>25</v>
      </c>
      <c r="C108" s="13">
        <v>0.20660734376598139</v>
      </c>
      <c r="D108" s="20">
        <v>0.16617764005813476</v>
      </c>
      <c r="G108" s="5" t="s">
        <v>25</v>
      </c>
      <c r="H108" s="45">
        <v>21.48936170212766</v>
      </c>
    </row>
    <row r="109" spans="1:8" ht="13.8" x14ac:dyDescent="0.3">
      <c r="B109" s="5" t="s">
        <v>151</v>
      </c>
      <c r="C109" s="13">
        <v>0.18291461954826241</v>
      </c>
      <c r="D109" s="20">
        <v>0.13835487788781387</v>
      </c>
      <c r="G109" s="5" t="s">
        <v>151</v>
      </c>
      <c r="H109" s="45">
        <v>106.42804967129292</v>
      </c>
    </row>
    <row r="110" spans="1:8" ht="13.8" x14ac:dyDescent="0.3">
      <c r="B110" s="5" t="s">
        <v>154</v>
      </c>
      <c r="C110" s="13">
        <v>0.18751727981044855</v>
      </c>
      <c r="D110" s="20">
        <v>3.2345698170404752E-2</v>
      </c>
      <c r="G110" s="5" t="s">
        <v>154</v>
      </c>
      <c r="H110" s="45">
        <v>27.5520942959377</v>
      </c>
    </row>
    <row r="111" spans="1:8" ht="13.8" x14ac:dyDescent="0.3">
      <c r="B111" s="5" t="s">
        <v>152</v>
      </c>
      <c r="C111" s="13">
        <v>0.15732104730868637</v>
      </c>
      <c r="D111" s="20">
        <v>0.10641936832503515</v>
      </c>
      <c r="G111" s="5" t="s">
        <v>152</v>
      </c>
      <c r="H111" s="45">
        <v>71.794871794871796</v>
      </c>
    </row>
    <row r="112" spans="1:8" ht="13.8" x14ac:dyDescent="0.3">
      <c r="B112" s="5" t="s">
        <v>155</v>
      </c>
      <c r="C112" s="13">
        <v>9.8901098901098897E-2</v>
      </c>
      <c r="D112" s="20">
        <v>3.2258064516129031E-2</v>
      </c>
      <c r="G112" s="5" t="s">
        <v>155</v>
      </c>
      <c r="H112" s="45">
        <v>0.34615384615384615</v>
      </c>
    </row>
    <row r="113" spans="2:8" ht="13.8" x14ac:dyDescent="0.3">
      <c r="B113" s="5" t="s">
        <v>153</v>
      </c>
      <c r="G113" s="5" t="s">
        <v>153</v>
      </c>
    </row>
    <row r="114" spans="2:8" ht="13.8" x14ac:dyDescent="0.3">
      <c r="B114" s="5" t="s">
        <v>183</v>
      </c>
      <c r="G114" s="5" t="s">
        <v>183</v>
      </c>
    </row>
    <row r="116" spans="2:8" ht="13.8" x14ac:dyDescent="0.3">
      <c r="B116" s="113" t="s">
        <v>156</v>
      </c>
      <c r="C116" s="113">
        <v>0.18667756427129448</v>
      </c>
      <c r="D116" s="113">
        <v>0.10508248638069334</v>
      </c>
      <c r="G116" s="113" t="s">
        <v>156</v>
      </c>
      <c r="H116" s="119">
        <v>31.03178553651426</v>
      </c>
    </row>
    <row r="131" spans="1:8" ht="14.4" x14ac:dyDescent="0.3">
      <c r="A131" s="114" t="s">
        <v>32</v>
      </c>
      <c r="B131" s="114" t="s">
        <v>149</v>
      </c>
      <c r="C131" s="114" t="s">
        <v>42</v>
      </c>
      <c r="D131" s="114" t="s">
        <v>45</v>
      </c>
      <c r="G131" s="114" t="s">
        <v>149</v>
      </c>
      <c r="H131" s="114" t="s">
        <v>43</v>
      </c>
    </row>
    <row r="132" spans="1:8" ht="13.8" x14ac:dyDescent="0.3">
      <c r="B132" s="5" t="s">
        <v>25</v>
      </c>
      <c r="C132" s="45">
        <v>29.742987082473437</v>
      </c>
      <c r="D132" s="45">
        <v>7.4112014993415061</v>
      </c>
      <c r="G132" s="5" t="s">
        <v>25</v>
      </c>
      <c r="H132" s="13">
        <v>3.3621370887434068E-2</v>
      </c>
    </row>
    <row r="133" spans="1:8" ht="13.8" x14ac:dyDescent="0.3">
      <c r="B133" s="5" t="s">
        <v>151</v>
      </c>
      <c r="C133" s="45">
        <v>29.427521812337364</v>
      </c>
      <c r="D133" s="45">
        <v>6.5969454158993024</v>
      </c>
      <c r="G133" s="5" t="s">
        <v>151</v>
      </c>
      <c r="H133" s="13">
        <v>3.3981794538361511E-2</v>
      </c>
    </row>
    <row r="134" spans="1:8" ht="13.8" x14ac:dyDescent="0.3">
      <c r="B134" s="5" t="s">
        <v>154</v>
      </c>
      <c r="C134" s="45">
        <v>59.250653499854778</v>
      </c>
      <c r="D134" s="45">
        <v>13.790216556159473</v>
      </c>
      <c r="G134" s="5" t="s">
        <v>154</v>
      </c>
      <c r="H134" s="13">
        <v>1.6877450980392155E-2</v>
      </c>
    </row>
    <row r="135" spans="1:8" ht="13.8" x14ac:dyDescent="0.3">
      <c r="B135" s="5" t="s">
        <v>152</v>
      </c>
      <c r="C135" s="45">
        <v>30.245240002464726</v>
      </c>
      <c r="D135" s="45">
        <v>5.3661350002803161</v>
      </c>
      <c r="G135" s="5" t="s">
        <v>152</v>
      </c>
      <c r="H135" s="13">
        <v>3.3063053886115919E-2</v>
      </c>
    </row>
    <row r="136" spans="1:8" ht="13.8" x14ac:dyDescent="0.3">
      <c r="B136" s="5" t="s">
        <v>155</v>
      </c>
      <c r="C136" s="45">
        <v>-63.225225225225223</v>
      </c>
      <c r="D136" s="45">
        <v>15.595555555555556</v>
      </c>
      <c r="G136" s="5" t="s">
        <v>155</v>
      </c>
      <c r="H136" s="13">
        <v>-1.5816471929324595E-2</v>
      </c>
    </row>
    <row r="137" spans="1:8" ht="13.8" x14ac:dyDescent="0.3">
      <c r="B137" s="5" t="s">
        <v>153</v>
      </c>
      <c r="G137" s="5" t="s">
        <v>153</v>
      </c>
    </row>
    <row r="138" spans="1:8" ht="13.8" x14ac:dyDescent="0.3">
      <c r="B138" s="5" t="s">
        <v>183</v>
      </c>
      <c r="G138" s="5" t="s">
        <v>183</v>
      </c>
    </row>
    <row r="140" spans="1:8" ht="13.8" x14ac:dyDescent="0.3">
      <c r="B140" s="120" t="s">
        <v>156</v>
      </c>
      <c r="C140" s="120">
        <v>32.210875670155723</v>
      </c>
      <c r="D140" s="120">
        <v>7.0091827649928886</v>
      </c>
      <c r="G140" s="120" t="s">
        <v>156</v>
      </c>
      <c r="H140" s="113">
        <v>3.1045414916382668E-2</v>
      </c>
    </row>
    <row r="156" spans="1:14" ht="14.4" x14ac:dyDescent="0.3">
      <c r="A156" s="121" t="s">
        <v>188</v>
      </c>
      <c r="B156" s="114" t="s">
        <v>149</v>
      </c>
      <c r="C156" s="122" t="s">
        <v>159</v>
      </c>
      <c r="D156" s="121" t="s">
        <v>189</v>
      </c>
      <c r="E156" s="121" t="s">
        <v>190</v>
      </c>
      <c r="F156" s="5"/>
      <c r="G156" s="5"/>
      <c r="H156" s="83"/>
      <c r="I156" s="121" t="s">
        <v>149</v>
      </c>
      <c r="J156" s="121" t="s">
        <v>159</v>
      </c>
      <c r="K156" s="121" t="s">
        <v>191</v>
      </c>
      <c r="L156" s="121" t="s">
        <v>192</v>
      </c>
    </row>
    <row r="157" spans="1:14" ht="13.8" x14ac:dyDescent="0.3">
      <c r="B157" s="5" t="s">
        <v>25</v>
      </c>
      <c r="C157" s="45">
        <v>7782.55</v>
      </c>
      <c r="D157" s="5">
        <v>1911</v>
      </c>
      <c r="E157" s="13">
        <f t="shared" ref="E157:E160" si="17">(C157/D157)^(1/10)-1</f>
        <v>0.15076361869745014</v>
      </c>
      <c r="I157" s="5" t="s">
        <v>25</v>
      </c>
      <c r="J157" s="45">
        <v>7782.55</v>
      </c>
      <c r="K157" s="20">
        <v>0.53504547886570353</v>
      </c>
      <c r="L157" s="13">
        <f>140/D157</f>
        <v>7.3260073260073263E-2</v>
      </c>
      <c r="N157" s="45"/>
    </row>
    <row r="158" spans="1:14" ht="13.8" x14ac:dyDescent="0.3">
      <c r="B158" s="5" t="s">
        <v>151</v>
      </c>
      <c r="C158" s="45">
        <v>3845</v>
      </c>
      <c r="D158" s="5">
        <v>500</v>
      </c>
      <c r="E158" s="13">
        <f t="shared" si="17"/>
        <v>0.22628843919207231</v>
      </c>
      <c r="I158" s="5" t="s">
        <v>151</v>
      </c>
      <c r="J158" s="45">
        <v>3845</v>
      </c>
      <c r="K158" s="20">
        <v>0.28317771314863005</v>
      </c>
      <c r="L158" s="13">
        <f>37/D158</f>
        <v>7.3999999999999996E-2</v>
      </c>
      <c r="N158" s="45"/>
    </row>
    <row r="159" spans="1:14" ht="13.8" x14ac:dyDescent="0.3">
      <c r="B159" s="5" t="s">
        <v>154</v>
      </c>
      <c r="C159" s="45">
        <v>2040</v>
      </c>
      <c r="D159" s="5">
        <v>76</v>
      </c>
      <c r="E159" s="13">
        <f t="shared" si="17"/>
        <v>0.38957392955657877</v>
      </c>
      <c r="I159" s="5" t="s">
        <v>154</v>
      </c>
      <c r="J159" s="45">
        <v>2040</v>
      </c>
      <c r="K159" s="20">
        <v>0.14522218995062447</v>
      </c>
      <c r="L159" s="13">
        <f>5/D159</f>
        <v>6.5789473684210523E-2</v>
      </c>
      <c r="N159" s="45"/>
    </row>
    <row r="160" spans="1:14" ht="13.8" x14ac:dyDescent="0.3">
      <c r="B160" s="5" t="s">
        <v>152</v>
      </c>
      <c r="C160" s="45">
        <v>4908.5</v>
      </c>
      <c r="D160" s="5">
        <v>2083</v>
      </c>
      <c r="E160" s="13">
        <f t="shared" si="17"/>
        <v>8.9496783783993727E-2</v>
      </c>
      <c r="I160" s="5" t="s">
        <v>152</v>
      </c>
      <c r="J160" s="45">
        <v>4908.5</v>
      </c>
      <c r="K160" s="20">
        <v>0.61728395061728392</v>
      </c>
      <c r="L160" s="13">
        <f>100/D160</f>
        <v>4.8007681228996638E-2</v>
      </c>
      <c r="N160" s="45"/>
    </row>
    <row r="161" spans="3:3" ht="13.8" x14ac:dyDescent="0.3">
      <c r="C161" s="45"/>
    </row>
    <row r="162" spans="3:3" ht="13.8" x14ac:dyDescent="0.3">
      <c r="C162" s="45"/>
    </row>
  </sheetData>
  <autoFilter ref="A1:AO10" xr:uid="{00000000-0009-0000-0000-000000000000}"/>
  <mergeCells count="2">
    <mergeCell ref="G17:I17"/>
    <mergeCell ref="G19:I19"/>
  </mergeCells>
  <conditionalFormatting sqref="C34:C40">
    <cfRule type="colorScale" priority="1">
      <colorScale>
        <cfvo type="min"/>
        <cfvo type="max"/>
        <color rgb="FFFFFFFF"/>
        <color rgb="FF57BB8A"/>
      </colorScale>
    </cfRule>
  </conditionalFormatting>
  <conditionalFormatting sqref="C58:C64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3:C8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8:C114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32:C138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D108:D112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32:D138">
    <cfRule type="colorScale" priority="1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E157:E160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4:G40">
    <cfRule type="colorScale" priority="2">
      <colorScale>
        <cfvo type="min"/>
        <cfvo type="max"/>
        <color rgb="FFFFFFFF"/>
        <color rgb="FF57BB8A"/>
      </colorScale>
    </cfRule>
  </conditionalFormatting>
  <conditionalFormatting sqref="G58:G64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3:G89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108:H114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32:H138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4:K4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58:K64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83:K89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57:K160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57:L160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34:O4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34:T4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BAJAJ-AUTO</vt:lpstr>
      <vt:lpstr>2_3 Wheelers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2024-10-31T08:36:27Z</dcterms:created>
  <dcterms:modified xsi:type="dcterms:W3CDTF">2024-10-31T08:37:45Z</dcterms:modified>
</cp:coreProperties>
</file>