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B68B5696-5147-4642-9B40-CF88CDAA849E}" xr6:coauthVersionLast="47" xr6:coauthVersionMax="47" xr10:uidLastSave="{00000000-0000-0000-0000-000000000000}"/>
  <bookViews>
    <workbookView xWindow="-108" yWindow="-108" windowWidth="23256" windowHeight="12456" xr2:uid="{C419D13E-46B9-413E-94E6-EE84CFC70459}"/>
  </bookViews>
  <sheets>
    <sheet name="BAJAJ-AU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F73" i="1"/>
  <c r="F74" i="1" s="1"/>
  <c r="F41" i="1" s="1"/>
  <c r="G72" i="1"/>
  <c r="G71" i="1"/>
  <c r="G70" i="1"/>
  <c r="G69" i="1"/>
  <c r="G68" i="1"/>
  <c r="G67" i="1"/>
  <c r="F67" i="1"/>
  <c r="F68" i="1" s="1"/>
  <c r="G66" i="1"/>
  <c r="N65" i="1"/>
  <c r="P65" i="1" s="1"/>
  <c r="K65" i="1"/>
  <c r="M65" i="1" s="1"/>
  <c r="M41" i="1" s="1"/>
  <c r="J65" i="1"/>
  <c r="L65" i="1" s="1"/>
  <c r="G65" i="1"/>
  <c r="N64" i="1"/>
  <c r="P64" i="1" s="1"/>
  <c r="M64" i="1"/>
  <c r="L64" i="1"/>
  <c r="G64" i="1"/>
  <c r="P63" i="1"/>
  <c r="N63" i="1"/>
  <c r="O63" i="1" s="1"/>
  <c r="M63" i="1"/>
  <c r="L63" i="1"/>
  <c r="G63" i="1"/>
  <c r="N62" i="1"/>
  <c r="P62" i="1" s="1"/>
  <c r="M62" i="1"/>
  <c r="L62" i="1"/>
  <c r="G62" i="1"/>
  <c r="N61" i="1"/>
  <c r="O61" i="1" s="1"/>
  <c r="M61" i="1"/>
  <c r="L61" i="1"/>
  <c r="G61" i="1"/>
  <c r="N60" i="1"/>
  <c r="P60" i="1" s="1"/>
  <c r="M60" i="1"/>
  <c r="L60" i="1"/>
  <c r="G60" i="1"/>
  <c r="P59" i="1"/>
  <c r="N59" i="1"/>
  <c r="O59" i="1" s="1"/>
  <c r="M59" i="1"/>
  <c r="L59" i="1"/>
  <c r="G59" i="1"/>
  <c r="N58" i="1"/>
  <c r="P58" i="1" s="1"/>
  <c r="M58" i="1"/>
  <c r="L58" i="1"/>
  <c r="G58" i="1"/>
  <c r="N57" i="1"/>
  <c r="O57" i="1" s="1"/>
  <c r="M57" i="1"/>
  <c r="L57" i="1"/>
  <c r="G57" i="1"/>
  <c r="N56" i="1"/>
  <c r="P56" i="1" s="1"/>
  <c r="M56" i="1"/>
  <c r="L56" i="1"/>
  <c r="G56" i="1"/>
  <c r="P55" i="1"/>
  <c r="N55" i="1"/>
  <c r="O55" i="1" s="1"/>
  <c r="M55" i="1"/>
  <c r="L55" i="1"/>
  <c r="G55" i="1"/>
  <c r="N54" i="1"/>
  <c r="P54" i="1" s="1"/>
  <c r="M54" i="1"/>
  <c r="L54" i="1"/>
  <c r="G54" i="1"/>
  <c r="G44" i="1" s="1"/>
  <c r="G20" i="1" s="1"/>
  <c r="N53" i="1"/>
  <c r="O53" i="1" s="1"/>
  <c r="M53" i="1"/>
  <c r="L53" i="1"/>
  <c r="G53" i="1"/>
  <c r="N52" i="1"/>
  <c r="P52" i="1" s="1"/>
  <c r="M52" i="1"/>
  <c r="L52" i="1"/>
  <c r="G52" i="1"/>
  <c r="P51" i="1"/>
  <c r="N51" i="1"/>
  <c r="O51" i="1" s="1"/>
  <c r="M51" i="1"/>
  <c r="L51" i="1"/>
  <c r="O50" i="1"/>
  <c r="N50" i="1"/>
  <c r="P50" i="1" s="1"/>
  <c r="M50" i="1"/>
  <c r="M44" i="1" s="1"/>
  <c r="L50" i="1"/>
  <c r="N49" i="1"/>
  <c r="N41" i="1" s="1"/>
  <c r="M49" i="1"/>
  <c r="L49" i="1"/>
  <c r="L43" i="1" s="1"/>
  <c r="O48" i="1"/>
  <c r="N48" i="1"/>
  <c r="P48" i="1" s="1"/>
  <c r="E48" i="1"/>
  <c r="D48" i="1"/>
  <c r="E3" i="1" s="1"/>
  <c r="M45" i="1"/>
  <c r="K45" i="1"/>
  <c r="J45" i="1"/>
  <c r="I45" i="1"/>
  <c r="H45" i="1"/>
  <c r="G45" i="1"/>
  <c r="F45" i="1"/>
  <c r="E45" i="1"/>
  <c r="D45" i="1"/>
  <c r="N44" i="1"/>
  <c r="L44" i="1"/>
  <c r="K44" i="1"/>
  <c r="J44" i="1"/>
  <c r="I44" i="1"/>
  <c r="H44" i="1"/>
  <c r="F44" i="1"/>
  <c r="E44" i="1"/>
  <c r="D44" i="1"/>
  <c r="K43" i="1"/>
  <c r="J43" i="1"/>
  <c r="I43" i="1"/>
  <c r="H43" i="1"/>
  <c r="G43" i="1"/>
  <c r="F43" i="1"/>
  <c r="E43" i="1"/>
  <c r="D43" i="1"/>
  <c r="N42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E41" i="1"/>
  <c r="D41" i="1"/>
  <c r="N36" i="1"/>
  <c r="F48" i="1" s="1"/>
  <c r="Z34" i="1"/>
  <c r="Z33" i="1"/>
  <c r="Y33" i="1"/>
  <c r="AA33" i="1" s="1"/>
  <c r="D33" i="1"/>
  <c r="C33" i="1"/>
  <c r="H9" i="1" s="1"/>
  <c r="Z32" i="1"/>
  <c r="Y32" i="1"/>
  <c r="AA32" i="1" s="1"/>
  <c r="S32" i="1"/>
  <c r="R32" i="1"/>
  <c r="U32" i="1" s="1"/>
  <c r="E32" i="1"/>
  <c r="D32" i="1"/>
  <c r="C32" i="1"/>
  <c r="N31" i="1"/>
  <c r="M31" i="1"/>
  <c r="O31" i="1" s="1"/>
  <c r="I31" i="1"/>
  <c r="H31" i="1"/>
  <c r="J31" i="1" s="1"/>
  <c r="C31" i="1"/>
  <c r="E31" i="1" s="1"/>
  <c r="Z30" i="1"/>
  <c r="Y30" i="1"/>
  <c r="AA30" i="1" s="1"/>
  <c r="U30" i="1"/>
  <c r="T30" i="1"/>
  <c r="N30" i="1"/>
  <c r="M30" i="1"/>
  <c r="O30" i="1" s="1"/>
  <c r="I30" i="1"/>
  <c r="H30" i="1"/>
  <c r="J30" i="1" s="1"/>
  <c r="E30" i="1"/>
  <c r="AA29" i="1"/>
  <c r="U29" i="1"/>
  <c r="O29" i="1"/>
  <c r="J29" i="1"/>
  <c r="E29" i="1"/>
  <c r="AA28" i="1"/>
  <c r="U28" i="1"/>
  <c r="T28" i="1"/>
  <c r="O28" i="1"/>
  <c r="J28" i="1"/>
  <c r="E28" i="1"/>
  <c r="U27" i="1"/>
  <c r="T27" i="1"/>
  <c r="O27" i="1"/>
  <c r="J27" i="1"/>
  <c r="E27" i="1"/>
  <c r="D27" i="1"/>
  <c r="D31" i="1" s="1"/>
  <c r="C27" i="1"/>
  <c r="Z26" i="1"/>
  <c r="Y26" i="1"/>
  <c r="AA26" i="1" s="1"/>
  <c r="U26" i="1"/>
  <c r="T26" i="1"/>
  <c r="O26" i="1"/>
  <c r="J26" i="1"/>
  <c r="E26" i="1"/>
  <c r="AA25" i="1"/>
  <c r="U25" i="1"/>
  <c r="T25" i="1"/>
  <c r="O25" i="1"/>
  <c r="J25" i="1"/>
  <c r="E25" i="1"/>
  <c r="AA24" i="1"/>
  <c r="U24" i="1"/>
  <c r="O24" i="1"/>
  <c r="J24" i="1"/>
  <c r="E24" i="1"/>
  <c r="J17" i="1"/>
  <c r="H17" i="1"/>
  <c r="I17" i="1" s="1"/>
  <c r="G17" i="1"/>
  <c r="K17" i="1" s="1"/>
  <c r="F17" i="1"/>
  <c r="S14" i="1" s="1"/>
  <c r="D17" i="1"/>
  <c r="D16" i="1" s="1"/>
  <c r="Q16" i="1"/>
  <c r="R14" i="1"/>
  <c r="R16" i="1" s="1"/>
  <c r="D12" i="1"/>
  <c r="R9" i="1"/>
  <c r="Q9" i="1"/>
  <c r="P9" i="1"/>
  <c r="M9" i="1"/>
  <c r="N9" i="1" s="1"/>
  <c r="G9" i="1"/>
  <c r="F9" i="1"/>
  <c r="D9" i="1"/>
  <c r="C9" i="1"/>
  <c r="B9" i="1"/>
  <c r="U5" i="1"/>
  <c r="T5" i="1"/>
  <c r="S5" i="1"/>
  <c r="R5" i="1"/>
  <c r="Q5" i="1"/>
  <c r="P5" i="1"/>
  <c r="O5" i="1"/>
  <c r="N5" i="1"/>
  <c r="M5" i="1"/>
  <c r="K5" i="1"/>
  <c r="J5" i="1"/>
  <c r="I5" i="1"/>
  <c r="H5" i="1"/>
  <c r="V4" i="1"/>
  <c r="D4" i="1"/>
  <c r="D5" i="1" s="1"/>
  <c r="V3" i="1"/>
  <c r="V5" i="1" s="1"/>
  <c r="F3" i="1"/>
  <c r="I9" i="1" s="1"/>
  <c r="D3" i="1"/>
  <c r="C3" i="1"/>
  <c r="S16" i="1" s="1"/>
  <c r="T14" i="1" s="1"/>
  <c r="O9" i="1" s="1"/>
  <c r="M48" i="1" l="1"/>
  <c r="L48" i="1"/>
  <c r="G3" i="1"/>
  <c r="L17" i="1"/>
  <c r="N17" i="1" s="1"/>
  <c r="F12" i="1" s="1"/>
  <c r="G12" i="1" s="1"/>
  <c r="E5" i="1"/>
  <c r="E9" i="1"/>
  <c r="D15" i="1"/>
  <c r="E16" i="1"/>
  <c r="F5" i="1"/>
  <c r="J9" i="1"/>
  <c r="T24" i="1"/>
  <c r="M43" i="1"/>
  <c r="P53" i="1"/>
  <c r="P57" i="1"/>
  <c r="P61" i="1"/>
  <c r="E17" i="1"/>
  <c r="E21" i="1" s="1"/>
  <c r="M17" i="1"/>
  <c r="T29" i="1"/>
  <c r="Y34" i="1"/>
  <c r="AA34" i="1" s="1"/>
  <c r="N43" i="1"/>
  <c r="L45" i="1"/>
  <c r="O49" i="1"/>
  <c r="O52" i="1"/>
  <c r="O56" i="1"/>
  <c r="O60" i="1"/>
  <c r="O64" i="1"/>
  <c r="O65" i="1"/>
  <c r="L42" i="1"/>
  <c r="P49" i="1"/>
  <c r="M42" i="1"/>
  <c r="N45" i="1"/>
  <c r="C5" i="1"/>
  <c r="G16" i="1"/>
  <c r="E33" i="1"/>
  <c r="L41" i="1"/>
  <c r="O54" i="1"/>
  <c r="O58" i="1"/>
  <c r="O62" i="1"/>
  <c r="T32" i="1"/>
  <c r="O44" i="1" l="1"/>
  <c r="O42" i="1"/>
  <c r="O45" i="1"/>
  <c r="O43" i="1"/>
  <c r="O41" i="1"/>
  <c r="P42" i="1"/>
  <c r="P45" i="1"/>
  <c r="P43" i="1"/>
  <c r="P41" i="1"/>
  <c r="P44" i="1"/>
  <c r="L9" i="1"/>
  <c r="K9" i="1"/>
  <c r="G5" i="1"/>
  <c r="M16" i="1"/>
  <c r="G15" i="1"/>
  <c r="K16" i="1"/>
  <c r="L16" i="1" s="1"/>
  <c r="F16" i="1"/>
  <c r="E15" i="1"/>
  <c r="K15" i="1" l="1"/>
  <c r="M15" i="1"/>
  <c r="H16" i="1"/>
  <c r="F15" i="1"/>
  <c r="J16" i="1"/>
  <c r="J15" i="1" l="1"/>
  <c r="H15" i="1"/>
  <c r="I15" i="1" s="1"/>
  <c r="I16" i="1"/>
  <c r="N16" i="1" s="1"/>
  <c r="L15" i="1"/>
  <c r="N15" i="1" l="1"/>
</calcChain>
</file>

<file path=xl/sharedStrings.xml><?xml version="1.0" encoding="utf-8"?>
<sst xmlns="http://schemas.openxmlformats.org/spreadsheetml/2006/main" count="247" uniqueCount="160">
  <si>
    <t>MARKET</t>
  </si>
  <si>
    <t>INCOME</t>
  </si>
  <si>
    <t>BALANCESHEET</t>
  </si>
  <si>
    <t>CASHFLOW</t>
  </si>
  <si>
    <t>Company</t>
  </si>
  <si>
    <t>Price</t>
  </si>
  <si>
    <t>Marketcap</t>
  </si>
  <si>
    <t>Trail_Sales</t>
  </si>
  <si>
    <t>Trail_Profit</t>
  </si>
  <si>
    <t>Trail_EPS</t>
  </si>
  <si>
    <t>FV</t>
  </si>
  <si>
    <t>Equity</t>
  </si>
  <si>
    <t>TOTAL EQ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</si>
  <si>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</si>
  <si>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</si>
  <si>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</si>
  <si>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</si>
  <si>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</si>
  <si>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</si>
  <si>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</si>
  <si>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</si>
  <si>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</si>
  <si>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</si>
  <si>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</si>
  <si>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TOTAL</t>
  </si>
  <si>
    <t>BAJAJ-AUTO</t>
  </si>
  <si>
    <t>Prev_Year_25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</si>
  <si>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</si>
  <si>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</si>
  <si>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</si>
  <si>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</si>
  <si>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</si>
  <si>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</si>
  <si>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</si>
  <si>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</si>
  <si>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</si>
  <si>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TRD.RC.DAY</t>
  </si>
  <si>
    <t>DEBT2EQUITY</t>
  </si>
  <si>
    <t>DEBTRATIO</t>
  </si>
  <si>
    <t>ICR</t>
  </si>
  <si>
    <t>ROE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</si>
  <si>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</si>
  <si>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</si>
  <si>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</si>
  <si>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</si>
  <si>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</si>
  <si>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</si>
  <si>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</si>
  <si>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</si>
  <si>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</si>
  <si>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STR. WEIGHTAGE</t>
  </si>
  <si>
    <t>FACTOR</t>
  </si>
  <si>
    <t>TECH. WEIGHT</t>
  </si>
  <si>
    <t>EPS_25</t>
  </si>
  <si>
    <t>T_EPS</t>
  </si>
  <si>
    <t>F_EPS_26</t>
  </si>
  <si>
    <t>F_PEG</t>
  </si>
  <si>
    <t>ESTIMATE</t>
  </si>
  <si>
    <t>Year</t>
  </si>
  <si>
    <t>Sales</t>
  </si>
  <si>
    <t>Profit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</si>
  <si>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</si>
  <si>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</si>
  <si>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</si>
  <si>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</si>
  <si>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</si>
  <si>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</si>
  <si>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</si>
  <si>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</si>
  <si>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PE_25</t>
  </si>
  <si>
    <t>T_PE</t>
  </si>
  <si>
    <t>F_PE_26</t>
  </si>
  <si>
    <t>FY_2030</t>
  </si>
  <si>
    <t>FY_2026</t>
  </si>
  <si>
    <t>Growth_Est</t>
  </si>
  <si>
    <t>MARGIN</t>
  </si>
  <si>
    <t>LongTerm</t>
  </si>
  <si>
    <t>CYear</t>
  </si>
  <si>
    <t>Q1_FY_26</t>
  </si>
  <si>
    <t>Q1_FY_25</t>
  </si>
  <si>
    <t>Q4_FY_25</t>
  </si>
  <si>
    <t>Q4_FY_24</t>
  </si>
  <si>
    <t>FY_25</t>
  </si>
  <si>
    <t>FY_24</t>
  </si>
  <si>
    <t>MajorCost</t>
  </si>
  <si>
    <t>SHARE</t>
  </si>
  <si>
    <t>DOMESTIC</t>
  </si>
  <si>
    <t>SEGMENT</t>
  </si>
  <si>
    <t>Rawmaterial</t>
  </si>
  <si>
    <t>VOLUMES</t>
  </si>
  <si>
    <t>2WHEELER</t>
  </si>
  <si>
    <t>Exp</t>
  </si>
  <si>
    <t>Other Exp</t>
  </si>
  <si>
    <t>CV</t>
  </si>
  <si>
    <t>FINANCE</t>
  </si>
  <si>
    <t>TradedGoods</t>
  </si>
  <si>
    <t>EBITDA</t>
  </si>
  <si>
    <t>EmployeeBenefit</t>
  </si>
  <si>
    <t>EXPORT</t>
  </si>
  <si>
    <t>EQUITY</t>
  </si>
  <si>
    <t>Inventory</t>
  </si>
  <si>
    <t>Depreciation</t>
  </si>
  <si>
    <t>Finance</t>
  </si>
  <si>
    <t>EBITDA%</t>
  </si>
  <si>
    <t>GRAND</t>
  </si>
  <si>
    <t>Current trend</t>
  </si>
  <si>
    <t>H1_FY_25</t>
  </si>
  <si>
    <t>9M_FY_25</t>
  </si>
  <si>
    <t>EST_FY26</t>
  </si>
  <si>
    <t>TRAIL EPS</t>
  </si>
  <si>
    <t>Q2</t>
  </si>
  <si>
    <t>Q3</t>
  </si>
  <si>
    <t>Q4</t>
  </si>
  <si>
    <t>T_EPS_26</t>
  </si>
  <si>
    <t>SALES</t>
  </si>
  <si>
    <t>PROFIT</t>
  </si>
  <si>
    <t>Margin</t>
  </si>
  <si>
    <t>Reserve</t>
  </si>
  <si>
    <t>LowPrice</t>
  </si>
  <si>
    <t>High Price</t>
  </si>
  <si>
    <t>LOWPE</t>
  </si>
  <si>
    <t>HIGHPE</t>
  </si>
  <si>
    <t>LBV</t>
  </si>
  <si>
    <t>HBV</t>
  </si>
  <si>
    <t>25 YEARS</t>
  </si>
  <si>
    <t>15 YEARS</t>
  </si>
  <si>
    <t>10 Year</t>
  </si>
  <si>
    <t>5 Year</t>
  </si>
  <si>
    <t>LastYear</t>
  </si>
  <si>
    <t>ACTUAL</t>
  </si>
  <si>
    <t>Trail FY_26</t>
  </si>
  <si>
    <t>FY_2025</t>
  </si>
  <si>
    <t>FY_2024</t>
  </si>
  <si>
    <t>FY_2023</t>
  </si>
  <si>
    <t>FY_2022</t>
  </si>
  <si>
    <t>FY_2021</t>
  </si>
  <si>
    <t>FY_2020</t>
  </si>
  <si>
    <t>FY_2019</t>
  </si>
  <si>
    <t>FY_2018</t>
  </si>
  <si>
    <t>FY_2017</t>
  </si>
  <si>
    <t>FY_2016</t>
  </si>
  <si>
    <t>FY_2015</t>
  </si>
  <si>
    <t>FY_2014</t>
  </si>
  <si>
    <t>FY_2013</t>
  </si>
  <si>
    <t>FY_2012</t>
  </si>
  <si>
    <t>Bonus 1:1</t>
  </si>
  <si>
    <t>FY_2011</t>
  </si>
  <si>
    <t>FY_2010</t>
  </si>
  <si>
    <t>LISITING</t>
  </si>
  <si>
    <t>FY_2009</t>
  </si>
  <si>
    <t>FY_2008</t>
  </si>
  <si>
    <t>FY_2007</t>
  </si>
  <si>
    <t>FY_2006</t>
  </si>
  <si>
    <t>FY_2005</t>
  </si>
  <si>
    <t>FY_2004</t>
  </si>
  <si>
    <t>FY_2003</t>
  </si>
  <si>
    <t>FY_2002</t>
  </si>
  <si>
    <t>FY_2001</t>
  </si>
  <si>
    <t>FY_2000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</si>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</sst>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,##0.0"/>
    <numFmt numFmtId="167" formatCode="d\ mmm\ yyyy"/>
    <numFmt numFmtId="168" formatCode="dd\ mmm\ yyyy"/>
  </numFmts>
  <fonts count="21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FFFFFF"/>
      <name val="Arial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i/>
      <sz val="11"/>
      <color theme="1"/>
      <name val="Calibri"/>
    </font>
    <font>
      <i/>
      <sz val="11"/>
      <color theme="1"/>
      <name val="Arial"/>
    </font>
    <font>
      <b/>
      <sz val="11"/>
      <color rgb="FFFFFFFF"/>
      <name val="Calibri"/>
    </font>
    <font>
      <b/>
      <sz val="10"/>
      <color rgb="FFFFFFFF"/>
      <name val="Arial"/>
      <scheme val="minor"/>
    </font>
    <font>
      <sz val="25"/>
      <color theme="1"/>
      <name val="Arial"/>
      <scheme val="minor"/>
    </font>
    <font>
      <i/>
      <sz val="11"/>
      <color theme="1"/>
      <name val="Calibri"/>
    </font>
    <font>
      <sz val="11"/>
      <color rgb="FF000000"/>
      <name val="Arial"/>
    </font>
    <font>
      <b/>
      <sz val="10"/>
      <color theme="0"/>
      <name val="Arial"/>
      <scheme val="minor"/>
    </font>
    <font>
      <sz val="10"/>
      <color theme="0"/>
      <name val="Arial"/>
      <scheme val="minor"/>
    </font>
    <font>
      <b/>
      <i/>
      <u/>
      <sz val="10"/>
      <color theme="1"/>
      <name val="Arial"/>
      <scheme val="minor"/>
    </font>
    <font>
      <b/>
      <sz val="10"/>
      <color theme="1"/>
      <name val="Arial"/>
      <scheme val="minor"/>
    </font>
    <font>
      <sz val="9"/>
      <color rgb="FF000000"/>
      <name val="Arial"/>
    </font>
    <font>
      <sz val="12"/>
      <color theme="1"/>
      <name val="Calibri"/>
    </font>
    <font>
      <u/>
      <sz val="33"/>
      <color rgb="FFFFFFF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0124D"/>
        <bgColor rgb="FF20124D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84CEAA"/>
        <bgColor rgb="FF84CEAA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2" borderId="0" xfId="0" applyFont="1" applyFill="1"/>
    <xf numFmtId="0" fontId="4" fillId="0" borderId="2" xfId="0" applyFont="1" applyBorder="1"/>
    <xf numFmtId="0" fontId="2" fillId="0" borderId="0" xfId="0" applyFont="1"/>
    <xf numFmtId="1" fontId="5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" fontId="5" fillId="2" borderId="4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4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/>
    <xf numFmtId="9" fontId="7" fillId="4" borderId="3" xfId="0" applyNumberFormat="1" applyFont="1" applyFill="1" applyBorder="1" applyAlignment="1">
      <alignment horizontal="center"/>
    </xf>
    <xf numFmtId="9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3" fillId="3" borderId="0" xfId="0" applyFont="1" applyFill="1"/>
    <xf numFmtId="0" fontId="3" fillId="3" borderId="2" xfId="0" applyFont="1" applyFill="1" applyBorder="1"/>
    <xf numFmtId="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9" fontId="6" fillId="5" borderId="1" xfId="0" applyNumberFormat="1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1" fontId="6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65" fontId="8" fillId="5" borderId="4" xfId="0" applyNumberFormat="1" applyFont="1" applyFill="1" applyBorder="1" applyAlignment="1">
      <alignment horizontal="right"/>
    </xf>
    <xf numFmtId="3" fontId="8" fillId="5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9" fillId="6" borderId="4" xfId="0" applyFont="1" applyFill="1" applyBorder="1"/>
    <xf numFmtId="1" fontId="5" fillId="0" borderId="1" xfId="0" applyNumberFormat="1" applyFont="1" applyBorder="1" applyAlignment="1">
      <alignment horizontal="right"/>
    </xf>
    <xf numFmtId="10" fontId="6" fillId="7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11" fillId="5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left"/>
    </xf>
    <xf numFmtId="1" fontId="6" fillId="8" borderId="1" xfId="0" applyNumberFormat="1" applyFont="1" applyFill="1" applyBorder="1"/>
    <xf numFmtId="3" fontId="12" fillId="9" borderId="1" xfId="0" applyNumberFormat="1" applyFont="1" applyFill="1" applyBorder="1" applyAlignment="1">
      <alignment horizontal="right"/>
    </xf>
    <xf numFmtId="1" fontId="6" fillId="9" borderId="1" xfId="0" applyNumberFormat="1" applyFont="1" applyFill="1" applyBorder="1" applyAlignment="1">
      <alignment horizontal="right"/>
    </xf>
    <xf numFmtId="3" fontId="6" fillId="9" borderId="1" xfId="0" applyNumberFormat="1" applyFont="1" applyFill="1" applyBorder="1" applyAlignment="1">
      <alignment horizontal="right"/>
    </xf>
    <xf numFmtId="0" fontId="0" fillId="0" borderId="0" xfId="0"/>
    <xf numFmtId="0" fontId="6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65" fontId="2" fillId="0" borderId="0" xfId="0" applyNumberFormat="1" applyFont="1"/>
    <xf numFmtId="10" fontId="2" fillId="0" borderId="0" xfId="0" applyNumberFormat="1" applyFont="1"/>
    <xf numFmtId="9" fontId="6" fillId="0" borderId="1" xfId="0" applyNumberFormat="1" applyFont="1" applyBorder="1"/>
    <xf numFmtId="164" fontId="2" fillId="0" borderId="1" xfId="0" applyNumberFormat="1" applyFont="1" applyBorder="1"/>
    <xf numFmtId="0" fontId="14" fillId="6" borderId="1" xfId="0" applyFont="1" applyFill="1" applyBorder="1"/>
    <xf numFmtId="0" fontId="15" fillId="6" borderId="1" xfId="0" applyFont="1" applyFill="1" applyBorder="1"/>
    <xf numFmtId="0" fontId="2" fillId="0" borderId="1" xfId="0" applyFont="1" applyBorder="1"/>
    <xf numFmtId="9" fontId="2" fillId="0" borderId="1" xfId="0" applyNumberFormat="1" applyFont="1" applyBorder="1"/>
    <xf numFmtId="0" fontId="16" fillId="0" borderId="1" xfId="0" applyFont="1" applyBorder="1"/>
    <xf numFmtId="165" fontId="2" fillId="0" borderId="1" xfId="0" applyNumberFormat="1" applyFont="1" applyBorder="1"/>
    <xf numFmtId="164" fontId="16" fillId="0" borderId="1" xfId="0" applyNumberFormat="1" applyFont="1" applyBorder="1"/>
    <xf numFmtId="3" fontId="2" fillId="0" borderId="1" xfId="0" applyNumberFormat="1" applyFont="1" applyBorder="1"/>
    <xf numFmtId="0" fontId="16" fillId="0" borderId="6" xfId="0" applyFont="1" applyBorder="1"/>
    <xf numFmtId="1" fontId="16" fillId="0" borderId="6" xfId="0" applyNumberFormat="1" applyFont="1" applyBorder="1"/>
    <xf numFmtId="9" fontId="16" fillId="0" borderId="6" xfId="0" applyNumberFormat="1" applyFont="1" applyBorder="1"/>
    <xf numFmtId="9" fontId="17" fillId="0" borderId="1" xfId="0" applyNumberFormat="1" applyFont="1" applyBorder="1"/>
    <xf numFmtId="164" fontId="17" fillId="0" borderId="1" xfId="0" applyNumberFormat="1" applyFont="1" applyBorder="1"/>
    <xf numFmtId="0" fontId="10" fillId="6" borderId="1" xfId="0" applyFont="1" applyFill="1" applyBorder="1" applyAlignment="1">
      <alignment horizontal="left"/>
    </xf>
    <xf numFmtId="164" fontId="6" fillId="0" borderId="1" xfId="0" applyNumberFormat="1" applyFont="1" applyBorder="1"/>
    <xf numFmtId="3" fontId="6" fillId="0" borderId="1" xfId="0" applyNumberFormat="1" applyFont="1" applyBorder="1"/>
    <xf numFmtId="166" fontId="6" fillId="0" borderId="1" xfId="0" applyNumberFormat="1" applyFont="1" applyBorder="1"/>
    <xf numFmtId="1" fontId="2" fillId="0" borderId="1" xfId="0" applyNumberFormat="1" applyFont="1" applyBorder="1"/>
    <xf numFmtId="166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" fontId="6" fillId="0" borderId="1" xfId="0" applyNumberFormat="1" applyFont="1" applyBorder="1"/>
    <xf numFmtId="1" fontId="13" fillId="0" borderId="1" xfId="0" applyNumberFormat="1" applyFont="1" applyBorder="1"/>
    <xf numFmtId="0" fontId="13" fillId="0" borderId="1" xfId="0" applyFont="1" applyBorder="1"/>
    <xf numFmtId="3" fontId="18" fillId="2" borderId="1" xfId="0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/>
    </xf>
    <xf numFmtId="1" fontId="19" fillId="10" borderId="1" xfId="0" applyNumberFormat="1" applyFont="1" applyFill="1" applyBorder="1" applyAlignment="1">
      <alignment horizontal="right"/>
    </xf>
    <xf numFmtId="0" fontId="20" fillId="6" borderId="0" xfId="0" applyFont="1" applyFill="1" applyAlignment="1">
      <alignment horizontal="center" vertical="center"/>
    </xf>
    <xf numFmtId="167" fontId="2" fillId="0" borderId="0" xfId="0" applyNumberFormat="1" applyFon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1</xdr:row>
      <xdr:rowOff>0</xdr:rowOff>
    </xdr:from>
    <xdr:ext cx="57150" cy="85725"/>
    <xdr:pic>
      <xdr:nvPicPr>
        <xdr:cNvPr id="2" name="image5.gif" descr="https://www.bseindia.com/include/images/rs.gif">
          <a:extLst>
            <a:ext uri="{FF2B5EF4-FFF2-40B4-BE49-F238E27FC236}">
              <a16:creationId xmlns:a16="http://schemas.microsoft.com/office/drawing/2014/main" id="{DE91F866-3BE3-4020-893E-B7BD292891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28580" y="198120"/>
          <a:ext cx="57150" cy="85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74</xdr:row>
      <xdr:rowOff>200025</xdr:rowOff>
    </xdr:from>
    <xdr:ext cx="12277725" cy="496252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C6C2E7E8-8D5F-455C-9321-CDFEE0F14F1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795" y="14860905"/>
          <a:ext cx="12277725" cy="4962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1C81-6309-45DA-941D-0AA376E5E009}">
  <dimension ref="A1:AK955"/>
  <sheetViews>
    <sheetView showGridLines="0" tabSelected="1" workbookViewId="0"/>
  </sheetViews>
  <sheetFormatPr defaultColWidth="12.6640625" defaultRowHeight="15.75" customHeight="1" x14ac:dyDescent="0.25"/>
  <cols>
    <col min="1" max="1" width="3.88671875" customWidth="1"/>
    <col min="2" max="2" width="15.77734375" customWidth="1"/>
    <col min="3" max="3" width="11.44140625" customWidth="1"/>
    <col min="4" max="4" width="11" customWidth="1"/>
    <col min="5" max="5" width="12.109375" customWidth="1"/>
    <col min="6" max="6" width="13.77734375" customWidth="1"/>
    <col min="7" max="7" width="11.33203125" customWidth="1"/>
    <col min="8" max="8" width="9.6640625" customWidth="1"/>
    <col min="9" max="9" width="14.33203125" customWidth="1"/>
    <col min="10" max="10" width="15.6640625" customWidth="1"/>
    <col min="11" max="11" width="9.88671875" customWidth="1"/>
    <col min="12" max="12" width="12.33203125" customWidth="1"/>
    <col min="13" max="13" width="10.109375" customWidth="1"/>
    <col min="14" max="14" width="12.77734375" customWidth="1"/>
    <col min="15" max="15" width="12.33203125" customWidth="1"/>
    <col min="16" max="16" width="10.109375" customWidth="1"/>
    <col min="17" max="17" width="11.109375" customWidth="1"/>
    <col min="18" max="18" width="11.6640625" customWidth="1"/>
    <col min="19" max="19" width="10" customWidth="1"/>
    <col min="20" max="20" width="11.33203125" customWidth="1"/>
    <col min="21" max="21" width="10" customWidth="1"/>
    <col min="22" max="22" width="9" customWidth="1"/>
    <col min="23" max="23" width="9.88671875" customWidth="1"/>
    <col min="24" max="24" width="15" customWidth="1"/>
    <col min="25" max="25" width="9.33203125" customWidth="1"/>
    <col min="26" max="26" width="9.77734375" customWidth="1"/>
    <col min="27" max="27" width="10" customWidth="1"/>
    <col min="28" max="37" width="7.6640625" customWidth="1"/>
  </cols>
  <sheetData>
    <row r="1" spans="1:37" ht="15.75" customHeight="1" x14ac:dyDescent="0.25">
      <c r="A1" s="1"/>
      <c r="B1" s="2" t="s">
        <v>0</v>
      </c>
      <c r="C1" s="3"/>
      <c r="D1" s="3"/>
      <c r="E1" s="2" t="s">
        <v>1</v>
      </c>
      <c r="F1" s="3"/>
      <c r="G1" s="3"/>
      <c r="H1" s="3"/>
      <c r="I1" s="2" t="s">
        <v>2</v>
      </c>
      <c r="J1" s="3"/>
      <c r="K1" s="3"/>
      <c r="L1" s="3"/>
      <c r="M1" s="3"/>
      <c r="N1" s="3"/>
      <c r="O1" s="3"/>
      <c r="P1" s="3"/>
      <c r="Q1" s="3"/>
      <c r="R1" s="2" t="s">
        <v>3</v>
      </c>
      <c r="T1" s="4"/>
      <c r="U1" s="4"/>
      <c r="V1" s="4"/>
      <c r="X1" s="5"/>
      <c r="Y1" s="5"/>
      <c r="AA1" s="5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75" customHeight="1" x14ac:dyDescent="0.25"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</row>
    <row r="3" spans="1:37" ht="15.75" customHeight="1" x14ac:dyDescent="0.3">
      <c r="B3" s="6" t="s">
        <v>25</v>
      </c>
      <c r="C3" s="7">
        <f ca="1">IFERROR(__xludf.DUMMYFUNCTION("GOOGLEFINANCE(""nse:""&amp;B3,""price"")"),8654)</f>
        <v>8654</v>
      </c>
      <c r="D3" s="7">
        <f ca="1">IFERROR(__xludf.DUMMYFUNCTION("GOOGLEFINANCE(""nse:""&amp;B3,""MARKETCAP"")/10000000"),241635.1368)</f>
        <v>241635.13680000001</v>
      </c>
      <c r="E3" s="8">
        <f t="shared" ref="E3:G3" si="0">D48</f>
        <v>52195</v>
      </c>
      <c r="F3" s="8">
        <f t="shared" si="0"/>
        <v>7325</v>
      </c>
      <c r="G3" s="8">
        <f t="shared" si="0"/>
        <v>272.2</v>
      </c>
      <c r="H3" s="9">
        <v>10</v>
      </c>
      <c r="I3" s="10">
        <v>279</v>
      </c>
      <c r="J3" s="9">
        <v>34909</v>
      </c>
      <c r="K3" s="9">
        <v>9236</v>
      </c>
      <c r="L3" s="9">
        <v>0</v>
      </c>
      <c r="M3" s="10">
        <v>19445</v>
      </c>
      <c r="N3" s="10">
        <v>11584</v>
      </c>
      <c r="O3" s="10">
        <v>54198</v>
      </c>
      <c r="P3" s="10">
        <v>19010</v>
      </c>
      <c r="Q3" s="10">
        <v>2125</v>
      </c>
      <c r="R3" s="11">
        <v>814</v>
      </c>
      <c r="S3" s="12">
        <v>-1405</v>
      </c>
      <c r="T3" s="12">
        <v>-1056</v>
      </c>
      <c r="U3" s="12">
        <v>4230</v>
      </c>
      <c r="V3" s="12">
        <f t="shared" ref="V3:V4" si="1">SUM(S3:U3)</f>
        <v>1769</v>
      </c>
      <c r="W3" s="5"/>
      <c r="X3" s="13"/>
      <c r="Y3" s="13"/>
    </row>
    <row r="4" spans="1:37" ht="15.75" customHeight="1" x14ac:dyDescent="0.3">
      <c r="B4" s="14" t="s">
        <v>26</v>
      </c>
      <c r="C4" s="14">
        <v>7878</v>
      </c>
      <c r="D4" s="15">
        <f ca="1">C4*D3/C3</f>
        <v>219967.83079620986</v>
      </c>
      <c r="E4" s="14">
        <v>50994</v>
      </c>
      <c r="F4" s="14">
        <v>7325</v>
      </c>
      <c r="G4" s="14">
        <v>262.39999999999998</v>
      </c>
      <c r="H4" s="14">
        <v>10</v>
      </c>
      <c r="I4" s="14">
        <v>283</v>
      </c>
      <c r="J4" s="14">
        <v>28683</v>
      </c>
      <c r="K4" s="9">
        <v>1785</v>
      </c>
      <c r="L4" s="9">
        <v>0</v>
      </c>
      <c r="M4" s="9">
        <v>11847</v>
      </c>
      <c r="N4" s="14">
        <v>9099</v>
      </c>
      <c r="O4" s="14">
        <v>39365</v>
      </c>
      <c r="P4" s="10">
        <v>10403</v>
      </c>
      <c r="Q4" s="14">
        <v>2075</v>
      </c>
      <c r="R4" s="11">
        <v>707</v>
      </c>
      <c r="S4" s="16">
        <v>6551</v>
      </c>
      <c r="T4" s="16">
        <v>-344</v>
      </c>
      <c r="U4" s="16">
        <v>-6160</v>
      </c>
      <c r="V4" s="16">
        <f t="shared" si="1"/>
        <v>47</v>
      </c>
      <c r="W4" s="5"/>
      <c r="X4" s="13"/>
      <c r="Y4" s="13"/>
    </row>
    <row r="5" spans="1:37" ht="15.75" customHeight="1" x14ac:dyDescent="0.3">
      <c r="B5" s="17" t="s">
        <v>27</v>
      </c>
      <c r="C5" s="18">
        <f t="shared" ref="C5:K5" ca="1" si="2">(C3/C4)-1</f>
        <v>9.8502157908098464E-2</v>
      </c>
      <c r="D5" s="18">
        <f t="shared" ca="1" si="2"/>
        <v>9.8502157908098464E-2</v>
      </c>
      <c r="E5" s="18">
        <f t="shared" si="2"/>
        <v>2.3551790406714623E-2</v>
      </c>
      <c r="F5" s="18">
        <f t="shared" si="2"/>
        <v>0</v>
      </c>
      <c r="G5" s="18">
        <f t="shared" si="2"/>
        <v>3.7347560975609762E-2</v>
      </c>
      <c r="H5" s="18">
        <f t="shared" si="2"/>
        <v>0</v>
      </c>
      <c r="I5" s="18">
        <f t="shared" si="2"/>
        <v>-1.4134275618374548E-2</v>
      </c>
      <c r="J5" s="18">
        <f t="shared" si="2"/>
        <v>0.21706237143952856</v>
      </c>
      <c r="K5" s="18">
        <f t="shared" si="2"/>
        <v>4.174229691876751</v>
      </c>
      <c r="L5" s="17"/>
      <c r="M5" s="18">
        <f t="shared" ref="M5:V5" si="3">(M3/M4)-1</f>
        <v>0.64134380011817327</v>
      </c>
      <c r="N5" s="18">
        <f t="shared" si="3"/>
        <v>0.27310693482800308</v>
      </c>
      <c r="O5" s="18">
        <f t="shared" si="3"/>
        <v>0.37680680807824207</v>
      </c>
      <c r="P5" s="18">
        <f t="shared" si="3"/>
        <v>0.82735749303085648</v>
      </c>
      <c r="Q5" s="18">
        <f t="shared" si="3"/>
        <v>2.4096385542168752E-2</v>
      </c>
      <c r="R5" s="19">
        <f t="shared" si="3"/>
        <v>0.15134370579915135</v>
      </c>
      <c r="S5" s="19">
        <f t="shared" si="3"/>
        <v>-1.2144710731186079</v>
      </c>
      <c r="T5" s="19">
        <f t="shared" si="3"/>
        <v>2.0697674418604652</v>
      </c>
      <c r="U5" s="19">
        <f t="shared" si="3"/>
        <v>-1.6866883116883118</v>
      </c>
      <c r="V5" s="19">
        <f t="shared" si="3"/>
        <v>36.638297872340424</v>
      </c>
      <c r="W5" s="20"/>
      <c r="X5" s="20"/>
      <c r="Y5" s="20"/>
    </row>
    <row r="6" spans="1:37" ht="15.75" customHeight="1" x14ac:dyDescent="0.3">
      <c r="B6" s="21"/>
      <c r="C6" s="21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S6" s="5"/>
      <c r="T6" s="20"/>
    </row>
    <row r="7" spans="1:37" ht="15.75" customHeight="1" x14ac:dyDescent="0.3">
      <c r="B7" s="23" t="s">
        <v>28</v>
      </c>
      <c r="C7" s="23" t="s">
        <v>29</v>
      </c>
      <c r="D7" s="22"/>
      <c r="E7" s="21"/>
      <c r="F7" s="23" t="s">
        <v>30</v>
      </c>
      <c r="G7" s="21"/>
      <c r="H7" s="21"/>
      <c r="I7" s="23" t="s">
        <v>31</v>
      </c>
      <c r="J7" s="21"/>
      <c r="K7" s="23" t="s">
        <v>32</v>
      </c>
      <c r="L7" s="21"/>
      <c r="M7" s="21"/>
      <c r="N7" s="21"/>
      <c r="O7" s="21"/>
      <c r="P7" s="24" t="s">
        <v>3</v>
      </c>
      <c r="Q7" s="4"/>
      <c r="R7" s="4"/>
      <c r="T7" s="20"/>
      <c r="X7" s="5"/>
      <c r="Y7" s="5"/>
      <c r="Z7" s="5"/>
    </row>
    <row r="8" spans="1:37" ht="15.75" customHeight="1" x14ac:dyDescent="0.25">
      <c r="B8" s="25" t="s">
        <v>33</v>
      </c>
      <c r="C8" s="25" t="s">
        <v>34</v>
      </c>
      <c r="D8" s="26" t="s">
        <v>35</v>
      </c>
      <c r="E8" s="2" t="s">
        <v>36</v>
      </c>
      <c r="F8" s="25" t="s">
        <v>37</v>
      </c>
      <c r="G8" s="25" t="s">
        <v>38</v>
      </c>
      <c r="H8" s="27" t="s">
        <v>39</v>
      </c>
      <c r="I8" s="28" t="s">
        <v>40</v>
      </c>
      <c r="J8" s="25" t="s">
        <v>41</v>
      </c>
      <c r="K8" s="29" t="s">
        <v>42</v>
      </c>
      <c r="L8" s="26" t="s">
        <v>43</v>
      </c>
      <c r="M8" s="30" t="s">
        <v>44</v>
      </c>
      <c r="N8" s="29" t="s">
        <v>45</v>
      </c>
      <c r="O8" s="29" t="s">
        <v>46</v>
      </c>
      <c r="P8" s="29" t="s">
        <v>47</v>
      </c>
      <c r="Q8" s="29" t="s">
        <v>48</v>
      </c>
      <c r="R8" s="29" t="s">
        <v>49</v>
      </c>
      <c r="X8" s="5"/>
      <c r="Y8" s="13"/>
      <c r="Z8" s="13"/>
    </row>
    <row r="9" spans="1:37" ht="15.75" customHeight="1" x14ac:dyDescent="0.3">
      <c r="B9" s="31">
        <f>E24</f>
        <v>0.10065370432450549</v>
      </c>
      <c r="C9" s="31">
        <f>C32</f>
        <v>0.16827838270006854</v>
      </c>
      <c r="D9" s="32">
        <f>M3/N3</f>
        <v>1.6786084254143647</v>
      </c>
      <c r="E9" s="33">
        <f>(Q3/E3)*365</f>
        <v>14.860139860139858</v>
      </c>
      <c r="F9" s="31">
        <f>K3/(I3+J3)</f>
        <v>0.26247584403774016</v>
      </c>
      <c r="G9" s="31">
        <f>P3/O3</f>
        <v>0.35075095021956532</v>
      </c>
      <c r="H9" s="34">
        <f>C33</f>
        <v>11.941964285714286</v>
      </c>
      <c r="I9" s="31">
        <f>F3/J3</f>
        <v>0.20983127560228021</v>
      </c>
      <c r="J9" s="31">
        <f>F3/O3</f>
        <v>0.13515258865640797</v>
      </c>
      <c r="K9" s="32">
        <f ca="1">C3/G3</f>
        <v>31.792799412196917</v>
      </c>
      <c r="L9" s="35">
        <f ca="1">G3/C3</f>
        <v>3.1453663045990295E-2</v>
      </c>
      <c r="M9" s="34">
        <f>(I3+J3)/(I3/H3)</f>
        <v>1261.2186379928316</v>
      </c>
      <c r="N9" s="32">
        <f ca="1">C3/M9</f>
        <v>6.8616175969080366</v>
      </c>
      <c r="O9" s="32">
        <f ca="1">T14</f>
        <v>1.9365932429142263</v>
      </c>
      <c r="P9" s="36">
        <f>S3-N3</f>
        <v>-12989</v>
      </c>
      <c r="Q9" s="36">
        <f>S3-K3</f>
        <v>-10641</v>
      </c>
      <c r="R9" s="37">
        <f>S3-R3</f>
        <v>-2219</v>
      </c>
      <c r="X9" s="5"/>
      <c r="Y9" s="13"/>
      <c r="Z9" s="13"/>
    </row>
    <row r="10" spans="1:37" ht="15.75" customHeight="1" x14ac:dyDescent="0.25">
      <c r="C10" s="5"/>
      <c r="D10" s="13"/>
      <c r="E10" s="5"/>
      <c r="H10" s="5"/>
      <c r="I10" s="5"/>
      <c r="Z10" s="38"/>
      <c r="AA10" s="20"/>
    </row>
    <row r="11" spans="1:37" ht="15.75" customHeight="1" x14ac:dyDescent="0.3">
      <c r="C11" s="39" t="s">
        <v>4</v>
      </c>
      <c r="D11" s="39" t="s">
        <v>5</v>
      </c>
      <c r="E11" s="39" t="s">
        <v>50</v>
      </c>
      <c r="F11" s="39" t="s">
        <v>51</v>
      </c>
      <c r="G11" s="39" t="s">
        <v>52</v>
      </c>
    </row>
    <row r="12" spans="1:37" ht="15.75" customHeight="1" x14ac:dyDescent="0.3">
      <c r="C12" s="6" t="s">
        <v>25</v>
      </c>
      <c r="D12" s="40">
        <f ca="1">IFERROR(__xludf.DUMMYFUNCTION("GOOGLEFINANCE(""NSE:""&amp;C12,""price"")"),8654)</f>
        <v>8654</v>
      </c>
      <c r="E12" s="41">
        <v>2.1999999999999999E-2</v>
      </c>
      <c r="F12" s="42">
        <f ca="1">IFERROR(MAX(0.5, MIN(1,0.75 - 0.3*((D12/N17)-1))),"")</f>
        <v>0.67308286175963461</v>
      </c>
      <c r="G12" s="43">
        <f ca="1">E12*F12</f>
        <v>1.4807822958711961E-2</v>
      </c>
    </row>
    <row r="13" spans="1:37" ht="15.75" customHeight="1" x14ac:dyDescent="0.25">
      <c r="I13" s="5"/>
      <c r="Q13" s="44" t="s">
        <v>53</v>
      </c>
      <c r="R13" s="44" t="s">
        <v>54</v>
      </c>
      <c r="S13" s="44" t="s">
        <v>55</v>
      </c>
      <c r="T13" s="44" t="s">
        <v>56</v>
      </c>
    </row>
    <row r="14" spans="1:37" ht="15.75" customHeight="1" x14ac:dyDescent="0.25">
      <c r="B14" s="45" t="s">
        <v>57</v>
      </c>
      <c r="C14" s="45" t="s">
        <v>58</v>
      </c>
      <c r="D14" s="45" t="s">
        <v>59</v>
      </c>
      <c r="E14" s="45" t="s">
        <v>60</v>
      </c>
      <c r="F14" s="45" t="s">
        <v>61</v>
      </c>
      <c r="G14" s="45" t="s">
        <v>62</v>
      </c>
      <c r="H14" s="45" t="s">
        <v>63</v>
      </c>
      <c r="I14" s="45" t="s">
        <v>64</v>
      </c>
      <c r="J14" s="45" t="s">
        <v>65</v>
      </c>
      <c r="K14" s="45" t="s">
        <v>63</v>
      </c>
      <c r="L14" s="45" t="s">
        <v>66</v>
      </c>
      <c r="M14" s="45" t="s">
        <v>65</v>
      </c>
      <c r="N14" s="45" t="s">
        <v>67</v>
      </c>
      <c r="Q14" s="46">
        <v>262.39999999999998</v>
      </c>
      <c r="R14" s="46">
        <f>N36</f>
        <v>272.2</v>
      </c>
      <c r="S14" s="47">
        <f>F17</f>
        <v>343.74399999999997</v>
      </c>
      <c r="T14" s="48">
        <f ca="1">S16/13</f>
        <v>1.9365932429142263</v>
      </c>
      <c r="AF14" s="13"/>
    </row>
    <row r="15" spans="1:37" ht="15.75" customHeight="1" x14ac:dyDescent="0.3">
      <c r="C15" s="49" t="s">
        <v>68</v>
      </c>
      <c r="D15" s="50">
        <f t="shared" ref="D15:F15" si="4">FV(12%,5,0,-D16,0)</f>
        <v>164112.24615481027</v>
      </c>
      <c r="E15" s="50">
        <f t="shared" si="4"/>
        <v>25617.857735907768</v>
      </c>
      <c r="F15" s="50">
        <f t="shared" si="4"/>
        <v>917.76512789393507</v>
      </c>
      <c r="G15" s="51">
        <f>FV(2.5%,5,0,-G16,0)</f>
        <v>1667.438320916594</v>
      </c>
      <c r="H15" s="52">
        <f t="shared" ref="H15:H17" si="5">16*F15</f>
        <v>14684.242046302961</v>
      </c>
      <c r="I15" s="52">
        <f t="shared" ref="I15:I17" si="6">AVERAGE(H15,J15)</f>
        <v>18814.185121825671</v>
      </c>
      <c r="J15" s="52">
        <f t="shared" ref="J15:J17" si="7">25*F15</f>
        <v>22944.128197348378</v>
      </c>
      <c r="K15" s="53">
        <f t="shared" ref="K15:K17" si="8">G15*4</f>
        <v>6669.7532836663759</v>
      </c>
      <c r="L15" s="52">
        <f t="shared" ref="L15:L17" si="9">AVERAGE(K15,M15)</f>
        <v>8337.1916045829712</v>
      </c>
      <c r="M15" s="53">
        <f t="shared" ref="M15:M17" si="10">G15*6</f>
        <v>10004.629925499565</v>
      </c>
      <c r="N15" s="52">
        <f t="shared" ref="N15:N17" si="11">I15*60%+L15*40%</f>
        <v>14623.387714928591</v>
      </c>
      <c r="Q15" s="44" t="s">
        <v>69</v>
      </c>
      <c r="R15" s="44" t="s">
        <v>70</v>
      </c>
      <c r="S15" s="44" t="s">
        <v>71</v>
      </c>
      <c r="T15" s="54"/>
      <c r="AF15" s="13"/>
    </row>
    <row r="16" spans="1:37" ht="15.75" customHeight="1" x14ac:dyDescent="0.3">
      <c r="B16" s="55"/>
      <c r="C16" s="49" t="s">
        <v>72</v>
      </c>
      <c r="D16" s="50">
        <f>FV(D20,4,0,-D17,0)</f>
        <v>93121.695820540772</v>
      </c>
      <c r="E16" s="50">
        <f t="shared" ref="E16:E17" si="12">D16*G20</f>
        <v>14536.260465332538</v>
      </c>
      <c r="F16" s="50">
        <f>(E16*F17)/E17</f>
        <v>520.76458080903365</v>
      </c>
      <c r="G16" s="51">
        <f>FV(2.6%,4,0,-G17,0)</f>
        <v>1473.7725092665457</v>
      </c>
      <c r="H16" s="52">
        <f t="shared" si="5"/>
        <v>8332.2332929445383</v>
      </c>
      <c r="I16" s="52">
        <f t="shared" si="6"/>
        <v>10675.673906585191</v>
      </c>
      <c r="J16" s="52">
        <f t="shared" si="7"/>
        <v>13019.114520225841</v>
      </c>
      <c r="K16" s="53">
        <f t="shared" si="8"/>
        <v>5895.090037066183</v>
      </c>
      <c r="L16" s="52">
        <f t="shared" si="9"/>
        <v>7368.862546332728</v>
      </c>
      <c r="M16" s="53">
        <f t="shared" si="10"/>
        <v>8842.635055599274</v>
      </c>
      <c r="N16" s="52">
        <f t="shared" si="11"/>
        <v>9352.9493624842053</v>
      </c>
      <c r="Q16" s="47">
        <f>C4/Q14</f>
        <v>30.022865853658541</v>
      </c>
      <c r="R16" s="47">
        <f ca="1">C3/R14</f>
        <v>31.792799412196917</v>
      </c>
      <c r="S16" s="56">
        <f ca="1">C3/S14</f>
        <v>25.175712157884941</v>
      </c>
      <c r="T16" s="54"/>
      <c r="AF16" s="13"/>
    </row>
    <row r="17" spans="2:32" ht="15.75" customHeight="1" x14ac:dyDescent="0.3">
      <c r="B17" s="55"/>
      <c r="C17" s="57" t="s">
        <v>73</v>
      </c>
      <c r="D17" s="50">
        <f>FV(D21,1,0,-D49,0)</f>
        <v>57113.280000000006</v>
      </c>
      <c r="E17" s="50">
        <f t="shared" si="12"/>
        <v>9595.0310400000017</v>
      </c>
      <c r="F17" s="50">
        <f>FV(F21,1,0,-F49,0)</f>
        <v>343.74399999999997</v>
      </c>
      <c r="G17" s="51">
        <f>(F17*20%)+N49</f>
        <v>1329.9674379928317</v>
      </c>
      <c r="H17" s="52">
        <f t="shared" si="5"/>
        <v>5499.9039999999995</v>
      </c>
      <c r="I17" s="52">
        <f t="shared" si="6"/>
        <v>7046.7519999999986</v>
      </c>
      <c r="J17" s="52">
        <f t="shared" si="7"/>
        <v>8593.5999999999985</v>
      </c>
      <c r="K17" s="53">
        <f t="shared" si="8"/>
        <v>5319.8697519713269</v>
      </c>
      <c r="L17" s="52">
        <f t="shared" si="9"/>
        <v>6649.8371899641588</v>
      </c>
      <c r="M17" s="53">
        <f t="shared" si="10"/>
        <v>7979.8046279569899</v>
      </c>
      <c r="N17" s="52">
        <f t="shared" si="11"/>
        <v>6887.9860759856629</v>
      </c>
      <c r="P17" s="13"/>
      <c r="AD17" s="58"/>
      <c r="AE17" s="58"/>
      <c r="AF17" s="13"/>
    </row>
    <row r="18" spans="2:32" ht="15.75" customHeight="1" x14ac:dyDescent="0.25">
      <c r="P18" s="13"/>
      <c r="R18" s="59"/>
      <c r="S18" s="59"/>
    </row>
    <row r="19" spans="2:32" ht="15.75" customHeight="1" x14ac:dyDescent="0.25">
      <c r="B19" s="45" t="s">
        <v>28</v>
      </c>
      <c r="C19" s="45" t="s">
        <v>74</v>
      </c>
      <c r="D19" s="45" t="s">
        <v>59</v>
      </c>
      <c r="E19" s="45" t="s">
        <v>60</v>
      </c>
      <c r="F19" s="45" t="s">
        <v>61</v>
      </c>
      <c r="G19" s="45" t="s">
        <v>75</v>
      </c>
    </row>
    <row r="20" spans="2:32" ht="15.75" customHeight="1" x14ac:dyDescent="0.25">
      <c r="B20" s="55"/>
      <c r="C20" s="55" t="s">
        <v>76</v>
      </c>
      <c r="D20" s="60">
        <v>0.13</v>
      </c>
      <c r="E20" s="60">
        <v>0.13</v>
      </c>
      <c r="F20" s="60">
        <v>0.13</v>
      </c>
      <c r="G20" s="61">
        <f>AVERAGE(G41:G45)</f>
        <v>0.15609961070023953</v>
      </c>
      <c r="Y20" s="5"/>
      <c r="Z20" s="5"/>
      <c r="AA20" s="5"/>
      <c r="AB20" s="5"/>
    </row>
    <row r="21" spans="2:32" ht="15.75" customHeight="1" x14ac:dyDescent="0.25">
      <c r="B21" s="55"/>
      <c r="C21" s="55" t="s">
        <v>77</v>
      </c>
      <c r="D21" s="60">
        <v>0.12</v>
      </c>
      <c r="E21" s="60">
        <f>(E17/E49)-1</f>
        <v>0.30990184846416402</v>
      </c>
      <c r="F21" s="60">
        <v>0.31</v>
      </c>
      <c r="G21" s="61">
        <v>0.16800000000000001</v>
      </c>
    </row>
    <row r="23" spans="2:32" ht="15.75" customHeight="1" x14ac:dyDescent="0.25">
      <c r="B23" s="45" t="s">
        <v>78</v>
      </c>
      <c r="C23" s="45" t="s">
        <v>78</v>
      </c>
      <c r="D23" s="45" t="s">
        <v>79</v>
      </c>
      <c r="E23" s="45" t="s">
        <v>27</v>
      </c>
      <c r="G23" s="45" t="s">
        <v>80</v>
      </c>
      <c r="H23" s="45" t="s">
        <v>80</v>
      </c>
      <c r="I23" s="45" t="s">
        <v>81</v>
      </c>
      <c r="J23" s="45" t="s">
        <v>27</v>
      </c>
      <c r="L23" s="45" t="s">
        <v>82</v>
      </c>
      <c r="M23" s="45" t="s">
        <v>82</v>
      </c>
      <c r="N23" s="45" t="s">
        <v>83</v>
      </c>
      <c r="O23" s="45" t="s">
        <v>27</v>
      </c>
      <c r="Q23" s="62" t="s">
        <v>84</v>
      </c>
      <c r="R23" s="45" t="s">
        <v>78</v>
      </c>
      <c r="S23" s="45" t="s">
        <v>79</v>
      </c>
      <c r="T23" s="63" t="s">
        <v>85</v>
      </c>
      <c r="U23" s="63" t="s">
        <v>28</v>
      </c>
      <c r="W23" s="45" t="s">
        <v>86</v>
      </c>
      <c r="X23" s="45" t="s">
        <v>87</v>
      </c>
      <c r="Y23" s="45" t="s">
        <v>78</v>
      </c>
      <c r="Z23" s="45" t="s">
        <v>79</v>
      </c>
      <c r="AA23" s="45" t="s">
        <v>27</v>
      </c>
    </row>
    <row r="24" spans="2:32" ht="15.75" customHeight="1" x14ac:dyDescent="0.25">
      <c r="B24" s="64" t="s">
        <v>59</v>
      </c>
      <c r="C24" s="64">
        <v>13133</v>
      </c>
      <c r="D24" s="64">
        <v>11932</v>
      </c>
      <c r="E24" s="61">
        <f t="shared" ref="E24:E30" si="13">(C24/D24)^(1/1)-1</f>
        <v>0.10065370432450549</v>
      </c>
      <c r="G24" s="64" t="s">
        <v>59</v>
      </c>
      <c r="H24" s="64">
        <v>12204</v>
      </c>
      <c r="I24" s="64">
        <v>11250</v>
      </c>
      <c r="J24" s="61">
        <f t="shared" ref="J24:J29" si="14">(H24/I24)^(1/1)-1</f>
        <v>8.4799999999999986E-2</v>
      </c>
      <c r="L24" s="64" t="s">
        <v>59</v>
      </c>
      <c r="M24" s="64">
        <v>50994</v>
      </c>
      <c r="N24" s="64">
        <v>44870</v>
      </c>
      <c r="O24" s="61">
        <f t="shared" ref="O24:O29" si="15">(M24/N24)^(1/1)-1</f>
        <v>0.13648317361265883</v>
      </c>
      <c r="Q24" s="64" t="s">
        <v>88</v>
      </c>
      <c r="R24" s="64">
        <v>8042</v>
      </c>
      <c r="S24" s="64">
        <v>7417</v>
      </c>
      <c r="T24" s="65">
        <f t="shared" ref="T24:T30" si="16">R24/$R$32</f>
        <v>0.75025655378300216</v>
      </c>
      <c r="U24" s="65">
        <f t="shared" ref="U24:U30" si="17">(R24/S24)^(1/1)-1</f>
        <v>8.4265875690980208E-2</v>
      </c>
      <c r="W24" s="5" t="s">
        <v>89</v>
      </c>
      <c r="X24" s="64" t="s">
        <v>90</v>
      </c>
      <c r="Y24" s="64">
        <v>529344</v>
      </c>
      <c r="Z24" s="64">
        <v>582497</v>
      </c>
      <c r="AA24" s="61">
        <f t="shared" ref="AA24:AA26" si="18">(Y24/Z24)-1</f>
        <v>-9.1250255366122079E-2</v>
      </c>
    </row>
    <row r="25" spans="2:32" ht="15.75" customHeight="1" x14ac:dyDescent="0.25">
      <c r="B25" s="64" t="s">
        <v>91</v>
      </c>
      <c r="C25" s="64">
        <v>10682</v>
      </c>
      <c r="D25" s="64">
        <v>9704</v>
      </c>
      <c r="E25" s="61">
        <f t="shared" si="13"/>
        <v>0.10078318219291016</v>
      </c>
      <c r="G25" s="64" t="s">
        <v>91</v>
      </c>
      <c r="H25" s="64">
        <v>10219</v>
      </c>
      <c r="I25" s="64">
        <v>9393</v>
      </c>
      <c r="J25" s="61">
        <f t="shared" si="14"/>
        <v>8.7937826040668687E-2</v>
      </c>
      <c r="L25" s="64" t="s">
        <v>91</v>
      </c>
      <c r="M25" s="64">
        <v>41330</v>
      </c>
      <c r="N25" s="64">
        <v>36534</v>
      </c>
      <c r="O25" s="61">
        <f t="shared" si="15"/>
        <v>0.13127497673400113</v>
      </c>
      <c r="Q25" s="64" t="s">
        <v>92</v>
      </c>
      <c r="R25" s="64">
        <v>1044</v>
      </c>
      <c r="S25" s="64">
        <v>482</v>
      </c>
      <c r="T25" s="65">
        <f t="shared" si="16"/>
        <v>9.7397145256087322E-2</v>
      </c>
      <c r="U25" s="65">
        <f t="shared" si="17"/>
        <v>1.1659751037344397</v>
      </c>
      <c r="X25" s="64" t="s">
        <v>93</v>
      </c>
      <c r="Y25" s="64">
        <v>105464</v>
      </c>
      <c r="Z25" s="64">
        <v>108124</v>
      </c>
      <c r="AA25" s="61">
        <f t="shared" si="18"/>
        <v>-2.4601383596611348E-2</v>
      </c>
    </row>
    <row r="26" spans="2:32" ht="15.75" customHeight="1" x14ac:dyDescent="0.25">
      <c r="B26" s="64" t="s">
        <v>94</v>
      </c>
      <c r="C26" s="64">
        <v>224</v>
      </c>
      <c r="D26" s="64">
        <v>47</v>
      </c>
      <c r="E26" s="61">
        <f t="shared" si="13"/>
        <v>3.7659574468085104</v>
      </c>
      <c r="G26" s="64" t="s">
        <v>94</v>
      </c>
      <c r="H26" s="64">
        <v>146</v>
      </c>
      <c r="I26" s="64">
        <v>30</v>
      </c>
      <c r="J26" s="61">
        <f t="shared" si="14"/>
        <v>3.8666666666666663</v>
      </c>
      <c r="L26" s="64" t="s">
        <v>94</v>
      </c>
      <c r="M26" s="64">
        <v>389</v>
      </c>
      <c r="N26" s="64">
        <v>60</v>
      </c>
      <c r="O26" s="61">
        <f t="shared" si="15"/>
        <v>5.4833333333333334</v>
      </c>
      <c r="Q26" s="64" t="s">
        <v>95</v>
      </c>
      <c r="R26" s="64">
        <v>696</v>
      </c>
      <c r="S26" s="64">
        <v>702</v>
      </c>
      <c r="T26" s="65">
        <f t="shared" si="16"/>
        <v>6.4931430170724877E-2</v>
      </c>
      <c r="U26" s="65">
        <f t="shared" si="17"/>
        <v>-8.5470085470085166E-3</v>
      </c>
      <c r="X26" s="66" t="s">
        <v>24</v>
      </c>
      <c r="Y26" s="66">
        <f t="shared" ref="Y26:Z26" si="19">SUM(Y24:Y25)</f>
        <v>634808</v>
      </c>
      <c r="Z26" s="66">
        <f t="shared" si="19"/>
        <v>690621</v>
      </c>
      <c r="AA26" s="61">
        <f t="shared" si="18"/>
        <v>-8.0815671692578084E-2</v>
      </c>
    </row>
    <row r="27" spans="2:32" ht="15.75" customHeight="1" x14ac:dyDescent="0.25">
      <c r="B27" s="64" t="s">
        <v>96</v>
      </c>
      <c r="C27" s="64">
        <f t="shared" ref="C27:D27" si="20">C24-C25+C26+R29</f>
        <v>2793</v>
      </c>
      <c r="D27" s="64">
        <f t="shared" si="20"/>
        <v>2371</v>
      </c>
      <c r="E27" s="61">
        <f t="shared" si="13"/>
        <v>0.17798397300716995</v>
      </c>
      <c r="G27" s="64" t="s">
        <v>60</v>
      </c>
      <c r="H27" s="64">
        <v>1802</v>
      </c>
      <c r="I27" s="64">
        <v>2011</v>
      </c>
      <c r="J27" s="61">
        <f t="shared" si="14"/>
        <v>-0.1039283938339135</v>
      </c>
      <c r="L27" s="64" t="s">
        <v>60</v>
      </c>
      <c r="M27" s="64">
        <v>7325</v>
      </c>
      <c r="N27" s="64">
        <v>7708</v>
      </c>
      <c r="O27" s="61">
        <f t="shared" si="15"/>
        <v>-4.9688635184224172E-2</v>
      </c>
      <c r="Q27" s="64" t="s">
        <v>97</v>
      </c>
      <c r="R27" s="64">
        <v>520</v>
      </c>
      <c r="S27" s="64">
        <v>492</v>
      </c>
      <c r="T27" s="65">
        <f t="shared" si="16"/>
        <v>4.8511988058587557E-2</v>
      </c>
      <c r="U27" s="65">
        <f t="shared" si="17"/>
        <v>5.6910569105691033E-2</v>
      </c>
      <c r="W27" s="45" t="s">
        <v>98</v>
      </c>
      <c r="X27" s="45" t="s">
        <v>87</v>
      </c>
      <c r="Y27" s="45" t="s">
        <v>78</v>
      </c>
      <c r="Z27" s="45" t="s">
        <v>79</v>
      </c>
      <c r="AA27" s="45" t="s">
        <v>27</v>
      </c>
    </row>
    <row r="28" spans="2:32" ht="15.75" customHeight="1" x14ac:dyDescent="0.25">
      <c r="B28" s="64" t="s">
        <v>60</v>
      </c>
      <c r="C28" s="64">
        <v>2210</v>
      </c>
      <c r="D28" s="64">
        <v>2210</v>
      </c>
      <c r="E28" s="61">
        <f t="shared" si="13"/>
        <v>0</v>
      </c>
      <c r="G28" s="64" t="s">
        <v>99</v>
      </c>
      <c r="H28" s="64">
        <v>279</v>
      </c>
      <c r="I28" s="64">
        <v>279</v>
      </c>
      <c r="J28" s="61">
        <f t="shared" si="14"/>
        <v>0</v>
      </c>
      <c r="L28" s="64" t="s">
        <v>99</v>
      </c>
      <c r="M28" s="64">
        <v>279</v>
      </c>
      <c r="N28" s="64">
        <v>279</v>
      </c>
      <c r="O28" s="61">
        <f t="shared" si="15"/>
        <v>0</v>
      </c>
      <c r="Q28" s="64" t="s">
        <v>100</v>
      </c>
      <c r="R28" s="64">
        <v>75</v>
      </c>
      <c r="S28" s="64">
        <v>175</v>
      </c>
      <c r="T28" s="65">
        <f t="shared" si="16"/>
        <v>6.9969213546039744E-3</v>
      </c>
      <c r="U28" s="65">
        <f t="shared" si="17"/>
        <v>-0.5714285714285714</v>
      </c>
      <c r="W28" s="5" t="s">
        <v>89</v>
      </c>
      <c r="X28" s="64" t="s">
        <v>90</v>
      </c>
      <c r="Y28" s="64">
        <v>419447</v>
      </c>
      <c r="Z28" s="64">
        <v>368420</v>
      </c>
      <c r="AA28" s="61">
        <f t="shared" ref="AA28:AA30" si="21">(Y28/Z28)^(1/1)-1</f>
        <v>0.13850225286357953</v>
      </c>
    </row>
    <row r="29" spans="2:32" ht="15.75" customHeight="1" x14ac:dyDescent="0.25">
      <c r="B29" s="64" t="s">
        <v>99</v>
      </c>
      <c r="C29" s="64">
        <v>279</v>
      </c>
      <c r="D29" s="64">
        <v>279</v>
      </c>
      <c r="E29" s="61">
        <f t="shared" si="13"/>
        <v>0</v>
      </c>
      <c r="G29" s="64" t="s">
        <v>61</v>
      </c>
      <c r="H29" s="67">
        <v>64.599999999999994</v>
      </c>
      <c r="I29" s="67">
        <v>71.2</v>
      </c>
      <c r="J29" s="61">
        <f t="shared" si="14"/>
        <v>-9.2696629213483317E-2</v>
      </c>
      <c r="L29" s="64" t="s">
        <v>61</v>
      </c>
      <c r="M29" s="67">
        <v>262.39999999999998</v>
      </c>
      <c r="N29" s="67">
        <v>272.7</v>
      </c>
      <c r="O29" s="61">
        <f t="shared" si="15"/>
        <v>-3.7770443711037771E-2</v>
      </c>
      <c r="Q29" s="64" t="s">
        <v>101</v>
      </c>
      <c r="R29" s="64">
        <v>118</v>
      </c>
      <c r="S29" s="64">
        <v>96</v>
      </c>
      <c r="T29" s="65">
        <f t="shared" si="16"/>
        <v>1.1008489597910252E-2</v>
      </c>
      <c r="U29" s="65">
        <f t="shared" si="17"/>
        <v>0.22916666666666674</v>
      </c>
      <c r="X29" s="64" t="s">
        <v>93</v>
      </c>
      <c r="Y29" s="64">
        <v>56982</v>
      </c>
      <c r="Z29" s="64">
        <v>43015</v>
      </c>
      <c r="AA29" s="61">
        <f t="shared" si="21"/>
        <v>0.32470068580727651</v>
      </c>
    </row>
    <row r="30" spans="2:32" ht="15.75" customHeight="1" x14ac:dyDescent="0.25">
      <c r="B30" s="64" t="s">
        <v>61</v>
      </c>
      <c r="C30" s="67">
        <v>79.2</v>
      </c>
      <c r="D30" s="67">
        <v>69.599999999999994</v>
      </c>
      <c r="E30" s="61">
        <f t="shared" si="13"/>
        <v>0.13793103448275867</v>
      </c>
      <c r="G30" s="64" t="s">
        <v>75</v>
      </c>
      <c r="H30" s="61">
        <f t="shared" ref="H30:I30" si="22">H27/H24</f>
        <v>0.14765650606358571</v>
      </c>
      <c r="I30" s="61">
        <f t="shared" si="22"/>
        <v>0.17875555555555556</v>
      </c>
      <c r="J30" s="61">
        <f>H30-I30</f>
        <v>-3.1099049491969843E-2</v>
      </c>
      <c r="K30" s="59"/>
      <c r="L30" s="64" t="s">
        <v>75</v>
      </c>
      <c r="M30" s="61">
        <f t="shared" ref="M30:N30" si="23">M27/M24</f>
        <v>0.14364435031572342</v>
      </c>
      <c r="N30" s="61">
        <f t="shared" si="23"/>
        <v>0.17178515712057055</v>
      </c>
      <c r="O30" s="61">
        <f>M30-N30</f>
        <v>-2.8140806804847124E-2</v>
      </c>
      <c r="Q30" s="64" t="s">
        <v>102</v>
      </c>
      <c r="R30" s="64">
        <v>224</v>
      </c>
      <c r="S30" s="64">
        <v>47</v>
      </c>
      <c r="T30" s="65">
        <f t="shared" si="16"/>
        <v>2.0897471779083871E-2</v>
      </c>
      <c r="U30" s="65">
        <f t="shared" si="17"/>
        <v>3.7659574468085104</v>
      </c>
      <c r="X30" s="66" t="s">
        <v>24</v>
      </c>
      <c r="Y30" s="66">
        <f t="shared" ref="Y30:Z30" si="24">SUM(Y28:Y29)</f>
        <v>476429</v>
      </c>
      <c r="Z30" s="66">
        <f t="shared" si="24"/>
        <v>411435</v>
      </c>
      <c r="AA30" s="68">
        <f t="shared" si="21"/>
        <v>0.15796905951122286</v>
      </c>
    </row>
    <row r="31" spans="2:32" ht="15.75" customHeight="1" x14ac:dyDescent="0.25">
      <c r="B31" s="64" t="s">
        <v>103</v>
      </c>
      <c r="C31" s="61">
        <f t="shared" ref="C31:D31" si="25">C27/C24</f>
        <v>0.21267037234447575</v>
      </c>
      <c r="D31" s="61">
        <f t="shared" si="25"/>
        <v>0.19870935300033524</v>
      </c>
      <c r="E31" s="61">
        <f t="shared" ref="E31:E32" si="26">C31-D31</f>
        <v>1.3961019344140513E-2</v>
      </c>
      <c r="G31" s="64" t="s">
        <v>39</v>
      </c>
      <c r="H31" s="69">
        <f t="shared" ref="H31:I31" si="27">(H24-H25+H26)/H26</f>
        <v>14.595890410958905</v>
      </c>
      <c r="I31" s="69">
        <f t="shared" si="27"/>
        <v>62.9</v>
      </c>
      <c r="J31" s="61">
        <f>(H31/I31)^(1/1)-1</f>
        <v>-0.76795086787028766</v>
      </c>
      <c r="L31" s="64" t="s">
        <v>39</v>
      </c>
      <c r="M31" s="69">
        <f t="shared" ref="M31:N31" si="28">(M24-M25+M26)/M26</f>
        <v>25.843187660668381</v>
      </c>
      <c r="N31" s="69">
        <f t="shared" si="28"/>
        <v>139.93333333333334</v>
      </c>
      <c r="O31" s="61">
        <f>(M31/N31)^(1/1)-1</f>
        <v>-0.81531785854691485</v>
      </c>
      <c r="W31" s="45" t="s">
        <v>104</v>
      </c>
      <c r="X31" s="45" t="s">
        <v>24</v>
      </c>
      <c r="Y31" s="45" t="s">
        <v>78</v>
      </c>
      <c r="Z31" s="45" t="s">
        <v>79</v>
      </c>
      <c r="AA31" s="45" t="s">
        <v>27</v>
      </c>
    </row>
    <row r="32" spans="2:32" ht="15.75" customHeight="1" x14ac:dyDescent="0.25">
      <c r="B32" s="64" t="s">
        <v>75</v>
      </c>
      <c r="C32" s="61">
        <f t="shared" ref="C32:D32" si="29">C28/C24</f>
        <v>0.16827838270006854</v>
      </c>
      <c r="D32" s="61">
        <f t="shared" si="29"/>
        <v>0.18521622527656723</v>
      </c>
      <c r="E32" s="61">
        <f t="shared" si="26"/>
        <v>-1.6937842576498691E-2</v>
      </c>
      <c r="Q32" s="70" t="s">
        <v>24</v>
      </c>
      <c r="R32" s="71">
        <f t="shared" ref="R32:S32" si="30">SUM(R24:R30)</f>
        <v>10719</v>
      </c>
      <c r="S32" s="71">
        <f t="shared" si="30"/>
        <v>9411</v>
      </c>
      <c r="T32" s="65">
        <f>R32/$R$32</f>
        <v>1</v>
      </c>
      <c r="U32" s="72">
        <f>(R32/S32)^(1/1)-1</f>
        <v>0.1389862926362766</v>
      </c>
      <c r="V32" s="59"/>
      <c r="W32" s="5" t="s">
        <v>89</v>
      </c>
      <c r="X32" s="64" t="s">
        <v>90</v>
      </c>
      <c r="Y32" s="64">
        <f t="shared" ref="Y32:Z33" si="31">Y28+Y24</f>
        <v>948791</v>
      </c>
      <c r="Z32" s="64">
        <f t="shared" si="31"/>
        <v>950917</v>
      </c>
      <c r="AA32" s="61">
        <f t="shared" ref="AA32:AA34" si="32">(Y32/Z32)^(1/1)-1</f>
        <v>-2.2357366626108988E-3</v>
      </c>
    </row>
    <row r="33" spans="2:29" ht="15.75" customHeight="1" x14ac:dyDescent="0.25">
      <c r="B33" s="64" t="s">
        <v>39</v>
      </c>
      <c r="C33" s="69">
        <f t="shared" ref="C33:D33" si="33">(C24-C25+C26)/C26</f>
        <v>11.941964285714286</v>
      </c>
      <c r="D33" s="69">
        <f t="shared" si="33"/>
        <v>48.404255319148938</v>
      </c>
      <c r="E33" s="61">
        <f>(C33/D33)^(1/1)-1</f>
        <v>-0.75328689167974883</v>
      </c>
      <c r="X33" s="64" t="s">
        <v>93</v>
      </c>
      <c r="Y33" s="64">
        <f t="shared" si="31"/>
        <v>162446</v>
      </c>
      <c r="Z33" s="64">
        <f t="shared" si="31"/>
        <v>151139</v>
      </c>
      <c r="AA33" s="61">
        <f t="shared" si="32"/>
        <v>7.4811928092682889E-2</v>
      </c>
    </row>
    <row r="34" spans="2:29" ht="15.75" customHeight="1" x14ac:dyDescent="0.25">
      <c r="X34" s="66" t="s">
        <v>24</v>
      </c>
      <c r="Y34" s="66">
        <f t="shared" ref="Y34:Z34" si="34">SUM(Y32:Y33)</f>
        <v>1111237</v>
      </c>
      <c r="Z34" s="66">
        <f t="shared" si="34"/>
        <v>1102056</v>
      </c>
      <c r="AA34" s="68">
        <f t="shared" si="32"/>
        <v>8.3307926275979494E-3</v>
      </c>
    </row>
    <row r="35" spans="2:29" ht="15.75" customHeight="1" x14ac:dyDescent="0.25">
      <c r="B35" s="45" t="s">
        <v>105</v>
      </c>
      <c r="C35" s="45" t="s">
        <v>106</v>
      </c>
      <c r="D35" s="45" t="s">
        <v>107</v>
      </c>
      <c r="E35" s="45" t="s">
        <v>82</v>
      </c>
      <c r="F35" s="45" t="s">
        <v>78</v>
      </c>
      <c r="G35" s="45" t="s">
        <v>108</v>
      </c>
      <c r="I35" s="45" t="s">
        <v>109</v>
      </c>
      <c r="J35" s="45" t="s">
        <v>110</v>
      </c>
      <c r="K35" s="45" t="s">
        <v>111</v>
      </c>
      <c r="L35" s="45" t="s">
        <v>112</v>
      </c>
      <c r="M35" s="45" t="s">
        <v>78</v>
      </c>
      <c r="N35" s="45" t="s">
        <v>113</v>
      </c>
    </row>
    <row r="36" spans="2:29" ht="15.75" customHeight="1" x14ac:dyDescent="0.25">
      <c r="B36" s="64" t="s">
        <v>114</v>
      </c>
      <c r="C36" s="65">
        <v>0.19</v>
      </c>
      <c r="D36" s="73">
        <v>0.151</v>
      </c>
      <c r="E36" s="73">
        <v>0.125</v>
      </c>
      <c r="F36" s="73">
        <v>0.125</v>
      </c>
      <c r="G36" s="65">
        <v>0.12</v>
      </c>
      <c r="I36" s="64" t="s">
        <v>61</v>
      </c>
      <c r="J36" s="64">
        <v>49.7</v>
      </c>
      <c r="K36" s="64">
        <v>78.7</v>
      </c>
      <c r="L36" s="64">
        <v>64.599999999999994</v>
      </c>
      <c r="M36" s="64">
        <v>79.2</v>
      </c>
      <c r="N36" s="64">
        <f>SUM(J36:M36)</f>
        <v>272.2</v>
      </c>
    </row>
    <row r="37" spans="2:29" ht="15.75" customHeight="1" x14ac:dyDescent="0.25">
      <c r="B37" s="64" t="s">
        <v>115</v>
      </c>
      <c r="C37" s="65">
        <v>-9.1999999999999998E-2</v>
      </c>
      <c r="D37" s="73">
        <v>-3.1E-2</v>
      </c>
      <c r="E37" s="73">
        <v>-0.05</v>
      </c>
      <c r="F37" s="73">
        <v>0.13800000000000001</v>
      </c>
      <c r="G37" s="65">
        <v>0.31</v>
      </c>
    </row>
    <row r="38" spans="2:29" ht="15.75" customHeight="1" x14ac:dyDescent="0.25">
      <c r="B38" s="64" t="s">
        <v>75</v>
      </c>
      <c r="C38" s="61">
        <v>0.13200000000000001</v>
      </c>
      <c r="D38" s="74">
        <v>0.14399999999999999</v>
      </c>
      <c r="E38" s="74">
        <v>0.14399999999999999</v>
      </c>
      <c r="F38" s="74">
        <v>0.16800000000000001</v>
      </c>
      <c r="G38" s="61">
        <v>0.16800000000000001</v>
      </c>
    </row>
    <row r="40" spans="2:29" ht="15.75" customHeight="1" x14ac:dyDescent="0.25">
      <c r="B40" s="45" t="s">
        <v>27</v>
      </c>
      <c r="C40" s="75" t="s">
        <v>58</v>
      </c>
      <c r="D40" s="45" t="s">
        <v>59</v>
      </c>
      <c r="E40" s="45" t="s">
        <v>60</v>
      </c>
      <c r="F40" s="45" t="s">
        <v>61</v>
      </c>
      <c r="G40" s="45" t="s">
        <v>116</v>
      </c>
      <c r="H40" s="45" t="s">
        <v>11</v>
      </c>
      <c r="I40" s="45" t="s">
        <v>117</v>
      </c>
      <c r="J40" s="45" t="s">
        <v>118</v>
      </c>
      <c r="K40" s="45" t="s">
        <v>119</v>
      </c>
      <c r="L40" s="45" t="s">
        <v>120</v>
      </c>
      <c r="M40" s="45" t="s">
        <v>121</v>
      </c>
      <c r="N40" s="45" t="s">
        <v>62</v>
      </c>
      <c r="O40" s="45" t="s">
        <v>122</v>
      </c>
      <c r="P40" s="45" t="s">
        <v>123</v>
      </c>
    </row>
    <row r="41" spans="2:29" ht="15.75" customHeight="1" x14ac:dyDescent="0.25">
      <c r="C41" s="64" t="s">
        <v>124</v>
      </c>
      <c r="D41" s="60">
        <f t="shared" ref="D41:F41" si="35">(D49/D74)^(1/25)-1</f>
        <v>0.1185698649917013</v>
      </c>
      <c r="E41" s="60">
        <f t="shared" si="35"/>
        <v>0.10424532763553773</v>
      </c>
      <c r="F41" s="60">
        <f t="shared" si="35"/>
        <v>6.0016341097725245E-2</v>
      </c>
      <c r="G41" s="76">
        <f>MEDIAN(G49:G74)</f>
        <v>0.15301887093824851</v>
      </c>
      <c r="H41" s="60" t="e">
        <f t="shared" ref="H41:K41" si="36">(H49/H74)^(1/25)-1</f>
        <v>#DIV/0!</v>
      </c>
      <c r="I41" s="60" t="e">
        <f t="shared" si="36"/>
        <v>#DIV/0!</v>
      </c>
      <c r="J41" s="60" t="e">
        <f t="shared" si="36"/>
        <v>#DIV/0!</v>
      </c>
      <c r="K41" s="60" t="e">
        <f t="shared" si="36"/>
        <v>#DIV/0!</v>
      </c>
      <c r="L41" s="77">
        <f t="shared" ref="L41:M41" si="37">MEDIAN(L49:L74)</f>
        <v>14.239577216676452</v>
      </c>
      <c r="M41" s="77">
        <f t="shared" si="37"/>
        <v>20.929203539823007</v>
      </c>
      <c r="N41" s="60" t="e">
        <f>(N49/N74)^(1/25)-1</f>
        <v>#DIV/0!</v>
      </c>
      <c r="O41" s="78">
        <f t="shared" ref="O41:P41" si="38">MEDIAN(O49:O74)</f>
        <v>3.8034834229390677</v>
      </c>
      <c r="P41" s="78">
        <f t="shared" si="38"/>
        <v>6.2365102783515294</v>
      </c>
    </row>
    <row r="42" spans="2:29" ht="15.75" customHeight="1" x14ac:dyDescent="0.25">
      <c r="B42" s="55"/>
      <c r="C42" s="64" t="s">
        <v>125</v>
      </c>
      <c r="D42" s="60">
        <f t="shared" ref="D42:E42" si="39">(D49/D64)^(1/15)-1</f>
        <v>0.10411258196597517</v>
      </c>
      <c r="E42" s="60">
        <f t="shared" si="39"/>
        <v>0.10683289263675144</v>
      </c>
      <c r="F42" s="60">
        <f>((2*F49)/F64)^(1/15)-1</f>
        <v>8.9536343723804368E-2</v>
      </c>
      <c r="G42" s="76">
        <f>MEDIAN(G49:G64)</f>
        <v>0.15547121373167366</v>
      </c>
      <c r="H42" s="60">
        <f t="shared" ref="H42:I42" si="40">(H49/H64)^(1/15)-1</f>
        <v>4.475160470583095E-2</v>
      </c>
      <c r="I42" s="60">
        <f t="shared" si="40"/>
        <v>0.1899017308741715</v>
      </c>
      <c r="J42" s="60">
        <f t="shared" ref="J42:K42" si="41">((2*J49)/J64)^(1/15)-1</f>
        <v>0.23838302655721333</v>
      </c>
      <c r="K42" s="60">
        <f t="shared" si="41"/>
        <v>0.18295894373585986</v>
      </c>
      <c r="L42" s="77">
        <f t="shared" ref="L42:M42" si="42">MEDIAN(L49:L64)</f>
        <v>14.248501479625354</v>
      </c>
      <c r="M42" s="77">
        <f t="shared" si="42"/>
        <v>20.713670340714135</v>
      </c>
      <c r="N42" s="60">
        <f>((2*N49)/N64)^(1/15)-1</f>
        <v>0.18908443064041247</v>
      </c>
      <c r="O42" s="78">
        <f t="shared" ref="O42:P42" si="43">MEDIAN(O49:O64)</f>
        <v>3.8083634984952375</v>
      </c>
      <c r="P42" s="78">
        <f t="shared" si="43"/>
        <v>5.8546852390331114</v>
      </c>
    </row>
    <row r="43" spans="2:29" ht="15.75" customHeight="1" x14ac:dyDescent="0.25">
      <c r="C43" s="64" t="s">
        <v>126</v>
      </c>
      <c r="D43" s="65">
        <f t="shared" ref="D43:F43" si="44">(D49/D59)^(1/10)-1</f>
        <v>8.67418528386803E-2</v>
      </c>
      <c r="E43" s="65">
        <f t="shared" si="44"/>
        <v>0.10039435447039513</v>
      </c>
      <c r="F43" s="65">
        <f t="shared" si="44"/>
        <v>0.10440854089550688</v>
      </c>
      <c r="G43" s="61">
        <f>MEDIAN(G49:G59)</f>
        <v>0.15746606334841629</v>
      </c>
      <c r="H43" s="65">
        <f t="shared" ref="H43:K43" si="45">(H49/H59)^(1/10)-1</f>
        <v>-3.5152974528513958E-3</v>
      </c>
      <c r="I43" s="65">
        <f t="shared" si="45"/>
        <v>0.12441658948568901</v>
      </c>
      <c r="J43" s="65">
        <f t="shared" si="45"/>
        <v>0.14752496647659408</v>
      </c>
      <c r="K43" s="65">
        <f t="shared" si="45"/>
        <v>0.16857734692535287</v>
      </c>
      <c r="L43" s="79">
        <f t="shared" ref="L43:M43" si="46">MEDIAN(L49:L59)</f>
        <v>15.166402535657685</v>
      </c>
      <c r="M43" s="79">
        <f t="shared" si="46"/>
        <v>23.597883597883595</v>
      </c>
      <c r="N43" s="65">
        <f>(N49/N59)^(1/10)-1</f>
        <v>0.12630520628668096</v>
      </c>
      <c r="O43" s="80">
        <f t="shared" ref="O43:P43" si="47">MEDIAN(O49:O59)</f>
        <v>3.7454319453076446</v>
      </c>
      <c r="P43" s="80">
        <f t="shared" si="47"/>
        <v>4.9140611995104031</v>
      </c>
    </row>
    <row r="44" spans="2:29" ht="15.75" customHeight="1" x14ac:dyDescent="0.25">
      <c r="C44" s="64" t="s">
        <v>127</v>
      </c>
      <c r="D44" s="65">
        <f t="shared" ref="D44:F44" si="48">(D49/D54)^(1/5)-1</f>
        <v>0.10153682587261237</v>
      </c>
      <c r="E44" s="65">
        <f t="shared" si="48"/>
        <v>7.0435846943544655E-2</v>
      </c>
      <c r="F44" s="65">
        <f t="shared" si="48"/>
        <v>7.8057210862009674E-2</v>
      </c>
      <c r="G44" s="61">
        <f>MEDIAN(G49:G54)</f>
        <v>0.1705419054828593</v>
      </c>
      <c r="H44" s="65">
        <f t="shared" ref="H44:K44" si="49">(H49/H54)^(1/5)-1</f>
        <v>-7.0182375895209148E-3</v>
      </c>
      <c r="I44" s="65">
        <f t="shared" si="49"/>
        <v>0.10309872977217505</v>
      </c>
      <c r="J44" s="65">
        <f t="shared" si="49"/>
        <v>0.32407315934017444</v>
      </c>
      <c r="K44" s="65">
        <f t="shared" si="49"/>
        <v>0.30969049547229677</v>
      </c>
      <c r="L44" s="79">
        <f t="shared" ref="L44:M44" si="50">MEDIAN(L49:L54)</f>
        <v>14.227680976352795</v>
      </c>
      <c r="M44" s="79">
        <f t="shared" si="50"/>
        <v>23.181549870545208</v>
      </c>
      <c r="N44" s="65">
        <f>(N49/N54)^(1/5)-1</f>
        <v>0.10968044851132119</v>
      </c>
      <c r="O44" s="80">
        <f t="shared" ref="O44:P44" si="51">MEDIAN(O49:O54)</f>
        <v>3.1327991852901338</v>
      </c>
      <c r="P44" s="80">
        <f t="shared" si="51"/>
        <v>4.5219063465275848</v>
      </c>
      <c r="Y44" s="5"/>
      <c r="Z44" s="5"/>
      <c r="AA44" s="5"/>
      <c r="AB44" s="5"/>
      <c r="AC44" s="5"/>
    </row>
    <row r="45" spans="2:29" ht="15.75" customHeight="1" x14ac:dyDescent="0.25">
      <c r="C45" s="64" t="s">
        <v>128</v>
      </c>
      <c r="D45" s="65">
        <f t="shared" ref="D45:F45" si="52">(D49/D50)-1</f>
        <v>0.13648317361265883</v>
      </c>
      <c r="E45" s="65">
        <f t="shared" si="52"/>
        <v>-4.9688635184224172E-2</v>
      </c>
      <c r="F45" s="65">
        <f t="shared" si="52"/>
        <v>-3.7770443711037771E-2</v>
      </c>
      <c r="G45" s="61">
        <f>G49</f>
        <v>0.14399999999999999</v>
      </c>
      <c r="H45" s="65">
        <f t="shared" ref="H45:K45" si="53">(H49/H50)-1</f>
        <v>0</v>
      </c>
      <c r="I45" s="65">
        <f t="shared" si="53"/>
        <v>0.21706237143952856</v>
      </c>
      <c r="J45" s="65">
        <f t="shared" si="53"/>
        <v>0.87782921810699599</v>
      </c>
      <c r="K45" s="65">
        <f t="shared" si="53"/>
        <v>0.3753229974160206</v>
      </c>
      <c r="L45" s="79">
        <f t="shared" ref="L45:M45" si="54">L49</f>
        <v>27.823932926829272</v>
      </c>
      <c r="M45" s="79">
        <f t="shared" si="54"/>
        <v>48.681402439024396</v>
      </c>
      <c r="N45" s="65">
        <f>(N49/N50)-1</f>
        <v>0.21497134175816601</v>
      </c>
      <c r="O45" s="80">
        <f t="shared" ref="O45:P45" si="55">O49</f>
        <v>5.7888456291917691</v>
      </c>
      <c r="P45" s="80">
        <f t="shared" si="55"/>
        <v>10.128299420256905</v>
      </c>
      <c r="Z45" s="5"/>
      <c r="AA45" s="5"/>
      <c r="AB45" s="5"/>
      <c r="AC45" s="13"/>
    </row>
    <row r="46" spans="2:29" ht="15.75" customHeight="1" x14ac:dyDescent="0.25">
      <c r="B46" s="5"/>
      <c r="C46" s="5"/>
      <c r="D46" s="5"/>
      <c r="E46" s="5"/>
      <c r="F46" s="59"/>
      <c r="G46" s="5"/>
      <c r="J46" s="5"/>
      <c r="K46" s="5"/>
      <c r="L46" s="5"/>
      <c r="M46" s="5"/>
      <c r="Z46" s="5"/>
      <c r="AA46" s="5"/>
      <c r="AB46" s="5"/>
      <c r="AC46" s="13"/>
    </row>
    <row r="47" spans="2:29" ht="15.75" customHeight="1" x14ac:dyDescent="0.25">
      <c r="B47" s="75" t="s">
        <v>129</v>
      </c>
      <c r="C47" s="75" t="s">
        <v>58</v>
      </c>
      <c r="D47" s="45" t="s">
        <v>59</v>
      </c>
      <c r="E47" s="45" t="s">
        <v>60</v>
      </c>
      <c r="F47" s="45" t="s">
        <v>61</v>
      </c>
      <c r="G47" s="45" t="s">
        <v>116</v>
      </c>
      <c r="H47" s="45" t="s">
        <v>11</v>
      </c>
      <c r="I47" s="45" t="s">
        <v>117</v>
      </c>
      <c r="J47" s="45" t="s">
        <v>118</v>
      </c>
      <c r="K47" s="45" t="s">
        <v>119</v>
      </c>
      <c r="L47" s="45" t="s">
        <v>120</v>
      </c>
      <c r="M47" s="45" t="s">
        <v>121</v>
      </c>
      <c r="N47" s="45" t="s">
        <v>62</v>
      </c>
      <c r="O47" s="45" t="s">
        <v>122</v>
      </c>
      <c r="P47" s="45" t="s">
        <v>123</v>
      </c>
      <c r="Z47" s="5"/>
      <c r="AA47" s="5"/>
      <c r="AB47" s="5"/>
      <c r="AC47" s="13"/>
    </row>
    <row r="48" spans="2:29" ht="15.75" customHeight="1" x14ac:dyDescent="0.25">
      <c r="B48" s="64"/>
      <c r="C48" s="81" t="s">
        <v>130</v>
      </c>
      <c r="D48" s="64">
        <f>D49+C24-D24</f>
        <v>52195</v>
      </c>
      <c r="E48" s="64">
        <f>E49+C28-D28</f>
        <v>7325</v>
      </c>
      <c r="F48" s="79">
        <f>N36</f>
        <v>272.2</v>
      </c>
      <c r="G48" s="61">
        <v>0.14399999999999999</v>
      </c>
      <c r="H48" s="64">
        <v>279</v>
      </c>
      <c r="I48" s="64">
        <v>34909</v>
      </c>
      <c r="J48" s="64">
        <v>7301</v>
      </c>
      <c r="K48" s="64">
        <v>9007</v>
      </c>
      <c r="L48" s="82">
        <f t="shared" ref="L48:L65" si="56">J48/F48</f>
        <v>26.822189566495226</v>
      </c>
      <c r="M48" s="82">
        <f t="shared" ref="M48:M65" si="57">K48/F48</f>
        <v>33.089639970609845</v>
      </c>
      <c r="N48" s="79">
        <f t="shared" ref="N48:N65" si="58">(H48+I48)/(H48/10)</f>
        <v>1261.2186379928316</v>
      </c>
      <c r="O48" s="67">
        <f t="shared" ref="O48:O65" si="59">J48/N48</f>
        <v>5.7888456291917691</v>
      </c>
      <c r="P48" s="67">
        <f t="shared" ref="P48:P65" si="60">K48/N48</f>
        <v>7.1415056269182671</v>
      </c>
      <c r="Y48" s="5"/>
      <c r="Z48" s="5"/>
      <c r="AA48" s="5"/>
      <c r="AB48" s="5"/>
      <c r="AC48" s="5"/>
    </row>
    <row r="49" spans="2:29" ht="15.75" customHeight="1" x14ac:dyDescent="0.25">
      <c r="B49" s="64"/>
      <c r="C49" s="81" t="s">
        <v>131</v>
      </c>
      <c r="D49" s="64">
        <v>50994</v>
      </c>
      <c r="E49" s="64">
        <v>7325</v>
      </c>
      <c r="F49" s="79">
        <v>262.39999999999998</v>
      </c>
      <c r="G49" s="61">
        <v>0.14399999999999999</v>
      </c>
      <c r="H49" s="64">
        <v>279</v>
      </c>
      <c r="I49" s="64">
        <v>34909</v>
      </c>
      <c r="J49" s="64">
        <v>7301</v>
      </c>
      <c r="K49" s="64">
        <v>12774</v>
      </c>
      <c r="L49" s="82">
        <f t="shared" si="56"/>
        <v>27.823932926829272</v>
      </c>
      <c r="M49" s="82">
        <f t="shared" si="57"/>
        <v>48.681402439024396</v>
      </c>
      <c r="N49" s="79">
        <f t="shared" si="58"/>
        <v>1261.2186379928316</v>
      </c>
      <c r="O49" s="67">
        <f t="shared" si="59"/>
        <v>5.7888456291917691</v>
      </c>
      <c r="P49" s="67">
        <f t="shared" si="60"/>
        <v>10.128299420256905</v>
      </c>
      <c r="Z49" s="5"/>
      <c r="AA49" s="5"/>
      <c r="AB49" s="5"/>
      <c r="AC49" s="13"/>
    </row>
    <row r="50" spans="2:29" ht="15.75" customHeight="1" x14ac:dyDescent="0.25">
      <c r="B50" s="64"/>
      <c r="C50" s="81" t="s">
        <v>132</v>
      </c>
      <c r="D50" s="64">
        <v>44870</v>
      </c>
      <c r="E50" s="64">
        <v>7708</v>
      </c>
      <c r="F50" s="79">
        <v>272.7</v>
      </c>
      <c r="G50" s="61">
        <v>0.17599999999999999</v>
      </c>
      <c r="H50" s="64">
        <v>279</v>
      </c>
      <c r="I50" s="64">
        <v>28683</v>
      </c>
      <c r="J50" s="64">
        <v>3888</v>
      </c>
      <c r="K50" s="64">
        <v>9288</v>
      </c>
      <c r="L50" s="82">
        <f t="shared" si="56"/>
        <v>14.257425742574258</v>
      </c>
      <c r="M50" s="82">
        <f t="shared" si="57"/>
        <v>34.059405940594061</v>
      </c>
      <c r="N50" s="79">
        <f t="shared" si="58"/>
        <v>1038.0645161290322</v>
      </c>
      <c r="O50" s="67">
        <f t="shared" si="59"/>
        <v>3.7454319453076446</v>
      </c>
      <c r="P50" s="67">
        <f t="shared" si="60"/>
        <v>8.9474207582349283</v>
      </c>
      <c r="Z50" s="5"/>
      <c r="AA50" s="5"/>
      <c r="AB50" s="5"/>
      <c r="AC50" s="13"/>
    </row>
    <row r="51" spans="2:29" ht="15.75" customHeight="1" x14ac:dyDescent="0.25">
      <c r="B51" s="64"/>
      <c r="C51" s="81" t="s">
        <v>133</v>
      </c>
      <c r="D51" s="64">
        <v>36455</v>
      </c>
      <c r="E51" s="64">
        <v>6060</v>
      </c>
      <c r="F51" s="79">
        <v>212.5</v>
      </c>
      <c r="G51" s="61">
        <v>0.16600000000000001</v>
      </c>
      <c r="H51" s="64">
        <v>283</v>
      </c>
      <c r="I51" s="64">
        <v>29079</v>
      </c>
      <c r="J51" s="64">
        <v>3461</v>
      </c>
      <c r="K51" s="64">
        <v>4131</v>
      </c>
      <c r="L51" s="82">
        <f t="shared" si="56"/>
        <v>16.28705882352941</v>
      </c>
      <c r="M51" s="82">
        <f t="shared" si="57"/>
        <v>19.440000000000001</v>
      </c>
      <c r="N51" s="79">
        <f t="shared" si="58"/>
        <v>1037.5265017667843</v>
      </c>
      <c r="O51" s="67">
        <f t="shared" si="59"/>
        <v>3.3358184047408219</v>
      </c>
      <c r="P51" s="67">
        <f t="shared" si="60"/>
        <v>3.9815850418908796</v>
      </c>
      <c r="Z51" s="5"/>
      <c r="AA51" s="5"/>
      <c r="AB51" s="5"/>
      <c r="AC51" s="13"/>
    </row>
    <row r="52" spans="2:29" ht="15.75" customHeight="1" x14ac:dyDescent="0.25">
      <c r="B52" s="64"/>
      <c r="C52" s="57" t="s">
        <v>134</v>
      </c>
      <c r="D52" s="83">
        <v>33145</v>
      </c>
      <c r="E52" s="83">
        <v>6166</v>
      </c>
      <c r="F52" s="83">
        <v>213.2</v>
      </c>
      <c r="G52" s="76">
        <f t="shared" ref="G52:G74" si="61">E52/D52</f>
        <v>0.1860310755770101</v>
      </c>
      <c r="H52" s="64">
        <v>289</v>
      </c>
      <c r="I52" s="64">
        <v>29570</v>
      </c>
      <c r="J52" s="84">
        <v>3027</v>
      </c>
      <c r="K52" s="84">
        <v>4347</v>
      </c>
      <c r="L52" s="82">
        <f t="shared" si="56"/>
        <v>14.197936210131333</v>
      </c>
      <c r="M52" s="82">
        <f t="shared" si="57"/>
        <v>20.389305816135085</v>
      </c>
      <c r="N52" s="79">
        <f t="shared" si="58"/>
        <v>1033.1833910034602</v>
      </c>
      <c r="O52" s="67">
        <f t="shared" si="59"/>
        <v>2.9297799658394452</v>
      </c>
      <c r="P52" s="67">
        <f t="shared" si="60"/>
        <v>4.2073847081282025</v>
      </c>
      <c r="Y52" s="5"/>
      <c r="Z52" s="5"/>
      <c r="AA52" s="5"/>
      <c r="AB52" s="5"/>
      <c r="AC52" s="5"/>
    </row>
    <row r="53" spans="2:29" ht="15.75" customHeight="1" x14ac:dyDescent="0.25">
      <c r="B53" s="64"/>
      <c r="C53" s="57" t="s">
        <v>135</v>
      </c>
      <c r="D53" s="83">
        <v>27741</v>
      </c>
      <c r="E53" s="83">
        <v>4857</v>
      </c>
      <c r="F53" s="83">
        <v>167.9</v>
      </c>
      <c r="G53" s="76">
        <f t="shared" si="61"/>
        <v>0.17508381096571862</v>
      </c>
      <c r="H53" s="64">
        <v>289</v>
      </c>
      <c r="I53" s="64">
        <v>26984</v>
      </c>
      <c r="J53" s="84">
        <v>1958</v>
      </c>
      <c r="K53" s="84">
        <v>4361</v>
      </c>
      <c r="L53" s="82">
        <f t="shared" si="56"/>
        <v>11.661703394877904</v>
      </c>
      <c r="M53" s="82">
        <f t="shared" si="57"/>
        <v>25.973793924955331</v>
      </c>
      <c r="N53" s="79">
        <f t="shared" si="58"/>
        <v>943.7024221453288</v>
      </c>
      <c r="O53" s="67">
        <f t="shared" si="59"/>
        <v>2.0748065852674804</v>
      </c>
      <c r="P53" s="67">
        <f t="shared" si="60"/>
        <v>4.6211601217321157</v>
      </c>
      <c r="Z53" s="5"/>
      <c r="AA53" s="5"/>
      <c r="AB53" s="5"/>
      <c r="AC53" s="13"/>
    </row>
    <row r="54" spans="2:29" ht="15.75" customHeight="1" x14ac:dyDescent="0.25">
      <c r="B54" s="55"/>
      <c r="C54" s="57" t="s">
        <v>136</v>
      </c>
      <c r="D54" s="83">
        <v>31443</v>
      </c>
      <c r="E54" s="83">
        <v>5212</v>
      </c>
      <c r="F54" s="83">
        <v>180.2</v>
      </c>
      <c r="G54" s="76">
        <f t="shared" si="61"/>
        <v>0.1657602646057946</v>
      </c>
      <c r="H54" s="64">
        <v>289</v>
      </c>
      <c r="I54" s="64">
        <v>21373</v>
      </c>
      <c r="J54" s="84">
        <v>1794</v>
      </c>
      <c r="K54" s="84">
        <v>3315</v>
      </c>
      <c r="L54" s="82">
        <f t="shared" si="56"/>
        <v>9.9556048834628204</v>
      </c>
      <c r="M54" s="82">
        <f t="shared" si="57"/>
        <v>18.39622641509434</v>
      </c>
      <c r="N54" s="79">
        <f t="shared" si="58"/>
        <v>749.5501730103806</v>
      </c>
      <c r="O54" s="67">
        <f t="shared" si="59"/>
        <v>2.393435509186594</v>
      </c>
      <c r="P54" s="67">
        <f t="shared" si="60"/>
        <v>4.422652571323054</v>
      </c>
      <c r="Z54" s="5"/>
      <c r="AA54" s="5"/>
      <c r="AB54" s="5"/>
      <c r="AC54" s="13"/>
    </row>
    <row r="55" spans="2:29" ht="15.75" customHeight="1" x14ac:dyDescent="0.25">
      <c r="B55" s="55"/>
      <c r="C55" s="57" t="s">
        <v>137</v>
      </c>
      <c r="D55" s="82">
        <v>31702</v>
      </c>
      <c r="E55" s="82">
        <v>4928</v>
      </c>
      <c r="F55" s="82">
        <v>170.3</v>
      </c>
      <c r="G55" s="76">
        <f t="shared" si="61"/>
        <v>0.15544760582928521</v>
      </c>
      <c r="H55" s="64">
        <v>289</v>
      </c>
      <c r="I55" s="64">
        <v>22944</v>
      </c>
      <c r="J55" s="55">
        <v>2425</v>
      </c>
      <c r="K55" s="55">
        <v>3214</v>
      </c>
      <c r="L55" s="82">
        <f t="shared" si="56"/>
        <v>14.239577216676452</v>
      </c>
      <c r="M55" s="82">
        <f t="shared" si="57"/>
        <v>18.872577803875512</v>
      </c>
      <c r="N55" s="79">
        <f t="shared" si="58"/>
        <v>803.91003460207617</v>
      </c>
      <c r="O55" s="67">
        <f t="shared" si="59"/>
        <v>3.0165066930658977</v>
      </c>
      <c r="P55" s="67">
        <f t="shared" si="60"/>
        <v>3.9979597985623894</v>
      </c>
      <c r="Z55" s="5"/>
      <c r="AA55" s="5"/>
      <c r="AB55" s="5"/>
      <c r="AC55" s="13"/>
    </row>
    <row r="56" spans="2:29" ht="15.75" customHeight="1" x14ac:dyDescent="0.25">
      <c r="B56" s="55"/>
      <c r="C56" s="57" t="s">
        <v>138</v>
      </c>
      <c r="D56" s="82">
        <v>26911</v>
      </c>
      <c r="E56" s="82">
        <v>4068</v>
      </c>
      <c r="F56" s="82">
        <v>140.6</v>
      </c>
      <c r="G56" s="76">
        <f t="shared" si="61"/>
        <v>0.15116495113522352</v>
      </c>
      <c r="H56" s="64">
        <v>289</v>
      </c>
      <c r="I56" s="64">
        <v>20136</v>
      </c>
      <c r="J56" s="55">
        <v>2695</v>
      </c>
      <c r="K56" s="55">
        <v>3473</v>
      </c>
      <c r="L56" s="82">
        <f t="shared" si="56"/>
        <v>19.167852062588906</v>
      </c>
      <c r="M56" s="82">
        <f t="shared" si="57"/>
        <v>24.701280227596019</v>
      </c>
      <c r="N56" s="79">
        <f t="shared" si="58"/>
        <v>706.74740484429071</v>
      </c>
      <c r="O56" s="67">
        <f t="shared" si="59"/>
        <v>3.8132435740514072</v>
      </c>
      <c r="P56" s="67">
        <f t="shared" si="60"/>
        <v>4.9140611995104031</v>
      </c>
    </row>
    <row r="57" spans="2:29" ht="15.75" customHeight="1" x14ac:dyDescent="0.25">
      <c r="B57" s="55"/>
      <c r="C57" s="81" t="s">
        <v>139</v>
      </c>
      <c r="D57" s="82">
        <v>24310</v>
      </c>
      <c r="E57" s="82">
        <v>3828</v>
      </c>
      <c r="F57" s="82">
        <v>132.30000000000001</v>
      </c>
      <c r="G57" s="76">
        <f t="shared" si="61"/>
        <v>0.15746606334841629</v>
      </c>
      <c r="H57" s="64">
        <v>289</v>
      </c>
      <c r="I57" s="64">
        <v>17567</v>
      </c>
      <c r="J57" s="55">
        <v>2350</v>
      </c>
      <c r="K57" s="55">
        <v>3122</v>
      </c>
      <c r="L57" s="82">
        <f t="shared" si="56"/>
        <v>17.762660619803476</v>
      </c>
      <c r="M57" s="82">
        <f t="shared" si="57"/>
        <v>23.597883597883595</v>
      </c>
      <c r="N57" s="79">
        <f t="shared" si="58"/>
        <v>617.85467128027688</v>
      </c>
      <c r="O57" s="67">
        <f t="shared" si="59"/>
        <v>3.8034834229390677</v>
      </c>
      <c r="P57" s="67">
        <f t="shared" si="60"/>
        <v>5.0529681899641572</v>
      </c>
    </row>
    <row r="58" spans="2:29" ht="15.75" customHeight="1" x14ac:dyDescent="0.25">
      <c r="B58" s="55"/>
      <c r="C58" s="57" t="s">
        <v>140</v>
      </c>
      <c r="D58" s="82">
        <v>23601</v>
      </c>
      <c r="E58" s="82">
        <v>3652</v>
      </c>
      <c r="F58" s="82">
        <v>126.2</v>
      </c>
      <c r="G58" s="76">
        <f t="shared" si="61"/>
        <v>0.15473920596584889</v>
      </c>
      <c r="H58" s="64">
        <v>289</v>
      </c>
      <c r="I58" s="64">
        <v>13731</v>
      </c>
      <c r="J58" s="55">
        <v>1914</v>
      </c>
      <c r="K58" s="55">
        <v>2655</v>
      </c>
      <c r="L58" s="82">
        <f t="shared" si="56"/>
        <v>15.166402535657685</v>
      </c>
      <c r="M58" s="82">
        <f t="shared" si="57"/>
        <v>21.038034865293184</v>
      </c>
      <c r="N58" s="79">
        <f t="shared" si="58"/>
        <v>485.12110726643601</v>
      </c>
      <c r="O58" s="67">
        <f t="shared" si="59"/>
        <v>3.9454065620542083</v>
      </c>
      <c r="P58" s="67">
        <f t="shared" si="60"/>
        <v>5.4728601997146926</v>
      </c>
    </row>
    <row r="59" spans="2:29" ht="15.75" customHeight="1" x14ac:dyDescent="0.25">
      <c r="B59" s="55"/>
      <c r="C59" s="57" t="s">
        <v>141</v>
      </c>
      <c r="D59" s="82">
        <v>22195</v>
      </c>
      <c r="E59" s="82">
        <v>2814</v>
      </c>
      <c r="F59" s="82">
        <v>97.2</v>
      </c>
      <c r="G59" s="76">
        <f t="shared" si="61"/>
        <v>0.12678531200720883</v>
      </c>
      <c r="H59" s="64">
        <v>289</v>
      </c>
      <c r="I59" s="64">
        <v>10806</v>
      </c>
      <c r="J59" s="55">
        <v>1844</v>
      </c>
      <c r="K59" s="55">
        <v>2690</v>
      </c>
      <c r="L59" s="82">
        <f t="shared" si="56"/>
        <v>18.97119341563786</v>
      </c>
      <c r="M59" s="82">
        <f t="shared" si="57"/>
        <v>27.674897119341562</v>
      </c>
      <c r="N59" s="79">
        <f t="shared" si="58"/>
        <v>383.91003460207617</v>
      </c>
      <c r="O59" s="67">
        <f t="shared" si="59"/>
        <v>4.8032086525461919</v>
      </c>
      <c r="P59" s="67">
        <f t="shared" si="60"/>
        <v>7.0068499324019822</v>
      </c>
    </row>
    <row r="60" spans="2:29" ht="15.75" customHeight="1" x14ac:dyDescent="0.25">
      <c r="B60" s="55"/>
      <c r="C60" s="81" t="s">
        <v>142</v>
      </c>
      <c r="D60" s="82">
        <v>20856</v>
      </c>
      <c r="E60" s="82">
        <v>3243</v>
      </c>
      <c r="F60" s="82">
        <v>112.1</v>
      </c>
      <c r="G60" s="76">
        <f t="shared" si="61"/>
        <v>0.15549482163406214</v>
      </c>
      <c r="H60" s="64">
        <v>289</v>
      </c>
      <c r="I60" s="64">
        <v>9878</v>
      </c>
      <c r="J60" s="55">
        <v>1658</v>
      </c>
      <c r="K60" s="55">
        <v>2194</v>
      </c>
      <c r="L60" s="82">
        <f t="shared" si="56"/>
        <v>14.790365744870652</v>
      </c>
      <c r="M60" s="82">
        <f t="shared" si="57"/>
        <v>19.571810883140053</v>
      </c>
      <c r="N60" s="79">
        <f t="shared" si="58"/>
        <v>351.79930795847753</v>
      </c>
      <c r="O60" s="67">
        <f t="shared" si="59"/>
        <v>4.7129143306776822</v>
      </c>
      <c r="P60" s="67">
        <f t="shared" si="60"/>
        <v>6.2365102783515294</v>
      </c>
    </row>
    <row r="61" spans="2:29" ht="15.75" customHeight="1" x14ac:dyDescent="0.25">
      <c r="B61" s="55"/>
      <c r="C61" s="57" t="s">
        <v>143</v>
      </c>
      <c r="D61" s="55">
        <v>19998</v>
      </c>
      <c r="E61" s="85">
        <v>3044</v>
      </c>
      <c r="F61" s="82">
        <v>105.2</v>
      </c>
      <c r="G61" s="76">
        <f t="shared" si="61"/>
        <v>0.15221522152215222</v>
      </c>
      <c r="H61" s="64">
        <v>289</v>
      </c>
      <c r="I61" s="64">
        <v>7776</v>
      </c>
      <c r="J61" s="55">
        <v>1423</v>
      </c>
      <c r="K61" s="55">
        <v>2229</v>
      </c>
      <c r="L61" s="82">
        <f t="shared" si="56"/>
        <v>13.526615969581748</v>
      </c>
      <c r="M61" s="82">
        <f t="shared" si="57"/>
        <v>21.188212927756652</v>
      </c>
      <c r="N61" s="79">
        <f t="shared" si="58"/>
        <v>279.06574394463667</v>
      </c>
      <c r="O61" s="67">
        <f t="shared" si="59"/>
        <v>5.0991568505889653</v>
      </c>
      <c r="P61" s="67">
        <f t="shared" si="60"/>
        <v>7.9873651580905145</v>
      </c>
    </row>
    <row r="62" spans="2:29" ht="15.75" customHeight="1" x14ac:dyDescent="0.25">
      <c r="B62" s="55"/>
      <c r="C62" s="57" t="s">
        <v>144</v>
      </c>
      <c r="D62" s="55">
        <v>19529</v>
      </c>
      <c r="E62" s="85">
        <v>3004</v>
      </c>
      <c r="F62" s="82">
        <v>103.8</v>
      </c>
      <c r="G62" s="76">
        <f t="shared" si="61"/>
        <v>0.15382252035434482</v>
      </c>
      <c r="H62" s="64">
        <v>289</v>
      </c>
      <c r="I62" s="64">
        <v>5792</v>
      </c>
      <c r="J62" s="55">
        <v>1260</v>
      </c>
      <c r="K62" s="55">
        <v>1839</v>
      </c>
      <c r="L62" s="82">
        <f t="shared" si="56"/>
        <v>12.138728323699421</v>
      </c>
      <c r="M62" s="82">
        <f t="shared" si="57"/>
        <v>17.716763005780347</v>
      </c>
      <c r="N62" s="79">
        <f t="shared" si="58"/>
        <v>210.41522491349482</v>
      </c>
      <c r="O62" s="67">
        <f t="shared" si="59"/>
        <v>5.9881598421312283</v>
      </c>
      <c r="P62" s="67">
        <f t="shared" si="60"/>
        <v>8.7398618648248636</v>
      </c>
    </row>
    <row r="63" spans="2:29" ht="15.75" customHeight="1" x14ac:dyDescent="0.25">
      <c r="B63" s="55" t="s">
        <v>145</v>
      </c>
      <c r="C63" s="81" t="s">
        <v>146</v>
      </c>
      <c r="D63" s="55">
        <v>16609</v>
      </c>
      <c r="E63" s="85">
        <v>3340</v>
      </c>
      <c r="F63" s="82">
        <v>115.4</v>
      </c>
      <c r="G63" s="76">
        <f t="shared" si="61"/>
        <v>0.20109579143837678</v>
      </c>
      <c r="H63" s="64">
        <v>289</v>
      </c>
      <c r="I63" s="64">
        <v>4518</v>
      </c>
      <c r="J63" s="55">
        <v>994</v>
      </c>
      <c r="K63" s="55">
        <v>1665</v>
      </c>
      <c r="L63" s="82">
        <f t="shared" si="56"/>
        <v>8.6135181975736561</v>
      </c>
      <c r="M63" s="82">
        <f t="shared" si="57"/>
        <v>14.428076256499132</v>
      </c>
      <c r="N63" s="79">
        <f t="shared" si="58"/>
        <v>166.33217993079586</v>
      </c>
      <c r="O63" s="67">
        <f t="shared" si="59"/>
        <v>5.9759933430413978</v>
      </c>
      <c r="P63" s="67">
        <f t="shared" si="60"/>
        <v>10.010089452881214</v>
      </c>
    </row>
    <row r="64" spans="2:29" ht="15.75" customHeight="1" x14ac:dyDescent="0.25">
      <c r="B64" s="55"/>
      <c r="C64" s="57" t="s">
        <v>147</v>
      </c>
      <c r="D64" s="55">
        <v>11543</v>
      </c>
      <c r="E64" s="85">
        <v>1598</v>
      </c>
      <c r="F64" s="82">
        <v>145</v>
      </c>
      <c r="G64" s="76">
        <f t="shared" si="61"/>
        <v>0.13843888070692195</v>
      </c>
      <c r="H64" s="79">
        <v>144.68</v>
      </c>
      <c r="I64" s="64">
        <v>2572</v>
      </c>
      <c r="J64" s="55">
        <v>591</v>
      </c>
      <c r="K64" s="55">
        <v>2055</v>
      </c>
      <c r="L64" s="82">
        <f t="shared" si="56"/>
        <v>4.0758620689655176</v>
      </c>
      <c r="M64" s="82">
        <f t="shared" si="57"/>
        <v>14.172413793103448</v>
      </c>
      <c r="N64" s="79">
        <f t="shared" si="58"/>
        <v>187.77163395078793</v>
      </c>
      <c r="O64" s="67">
        <f t="shared" si="59"/>
        <v>3.1474402579619243</v>
      </c>
      <c r="P64" s="67">
        <f t="shared" si="60"/>
        <v>10.944145059410753</v>
      </c>
    </row>
    <row r="65" spans="2:16" ht="15.75" customHeight="1" x14ac:dyDescent="0.25">
      <c r="B65" s="55" t="s">
        <v>148</v>
      </c>
      <c r="C65" s="57" t="s">
        <v>149</v>
      </c>
      <c r="D65" s="55">
        <v>8810</v>
      </c>
      <c r="E65" s="85">
        <v>655</v>
      </c>
      <c r="F65" s="82">
        <v>45.2</v>
      </c>
      <c r="G65" s="76">
        <f t="shared" si="61"/>
        <v>7.4347332576617478E-2</v>
      </c>
      <c r="H65" s="79">
        <v>144.68</v>
      </c>
      <c r="I65" s="64">
        <v>1725</v>
      </c>
      <c r="J65" s="55">
        <f>147*2</f>
        <v>294</v>
      </c>
      <c r="K65" s="55">
        <f>473*2</f>
        <v>946</v>
      </c>
      <c r="L65" s="82">
        <f t="shared" si="56"/>
        <v>6.5044247787610612</v>
      </c>
      <c r="M65" s="82">
        <f t="shared" si="57"/>
        <v>20.929203539823007</v>
      </c>
      <c r="N65" s="79">
        <f t="shared" si="58"/>
        <v>129.22864252142659</v>
      </c>
      <c r="O65" s="67">
        <f t="shared" si="59"/>
        <v>2.2750374395618502</v>
      </c>
      <c r="P65" s="67">
        <f t="shared" si="60"/>
        <v>7.3203585640323476</v>
      </c>
    </row>
    <row r="66" spans="2:16" ht="15.75" customHeight="1" x14ac:dyDescent="0.25">
      <c r="B66" s="55"/>
      <c r="C66" s="81" t="s">
        <v>150</v>
      </c>
      <c r="D66" s="55">
        <v>9164</v>
      </c>
      <c r="E66" s="85">
        <v>726</v>
      </c>
      <c r="F66" s="82">
        <v>53.7</v>
      </c>
      <c r="G66" s="76">
        <f t="shared" si="61"/>
        <v>7.9223046704495856E-2</v>
      </c>
      <c r="H66" s="64"/>
      <c r="I66" s="64"/>
      <c r="J66" s="5"/>
      <c r="K66" s="5"/>
      <c r="L66" s="5"/>
      <c r="M66" s="5"/>
      <c r="N66" s="64"/>
      <c r="O66" s="64"/>
      <c r="P66" s="64"/>
    </row>
    <row r="67" spans="2:16" ht="15.75" customHeight="1" x14ac:dyDescent="0.25">
      <c r="B67" s="55"/>
      <c r="C67" s="57" t="s">
        <v>151</v>
      </c>
      <c r="D67" s="55">
        <v>9520</v>
      </c>
      <c r="E67" s="85">
        <v>1238</v>
      </c>
      <c r="F67" s="82">
        <f t="shared" ref="F67:F68" si="62">(E67*F66)/E66</f>
        <v>91.5710743801653</v>
      </c>
      <c r="G67" s="76">
        <f t="shared" si="61"/>
        <v>0.1300420168067227</v>
      </c>
      <c r="H67" s="64"/>
      <c r="I67" s="64"/>
      <c r="J67" s="5"/>
      <c r="K67" s="5"/>
      <c r="L67" s="5"/>
      <c r="M67" s="5"/>
      <c r="N67" s="64"/>
      <c r="O67" s="64"/>
      <c r="P67" s="64"/>
    </row>
    <row r="68" spans="2:16" ht="15.75" customHeight="1" x14ac:dyDescent="0.25">
      <c r="B68" s="64"/>
      <c r="C68" s="81" t="s">
        <v>152</v>
      </c>
      <c r="D68" s="55">
        <v>7668</v>
      </c>
      <c r="E68" s="85">
        <v>1102</v>
      </c>
      <c r="F68" s="82">
        <f t="shared" si="62"/>
        <v>81.511570247933889</v>
      </c>
      <c r="G68" s="76">
        <f t="shared" si="61"/>
        <v>0.14371413667188315</v>
      </c>
      <c r="H68" s="64"/>
      <c r="I68" s="64"/>
      <c r="J68" s="5"/>
      <c r="K68" s="5"/>
      <c r="L68" s="5"/>
      <c r="M68" s="5"/>
      <c r="N68" s="64"/>
      <c r="O68" s="64"/>
      <c r="P68" s="64"/>
    </row>
    <row r="69" spans="2:16" ht="15.75" customHeight="1" x14ac:dyDescent="0.3">
      <c r="B69" s="64"/>
      <c r="C69" s="57" t="s">
        <v>153</v>
      </c>
      <c r="D69" s="86">
        <v>5743</v>
      </c>
      <c r="E69" s="86">
        <v>801</v>
      </c>
      <c r="F69" s="86">
        <v>78.72</v>
      </c>
      <c r="G69" s="76">
        <f t="shared" si="61"/>
        <v>0.13947414243426781</v>
      </c>
      <c r="H69" s="64"/>
      <c r="I69" s="64"/>
      <c r="N69" s="64"/>
      <c r="O69" s="64"/>
      <c r="P69" s="64"/>
    </row>
    <row r="70" spans="2:16" ht="15.75" customHeight="1" x14ac:dyDescent="0.3">
      <c r="B70" s="64"/>
      <c r="C70" s="57" t="s">
        <v>154</v>
      </c>
      <c r="D70" s="86">
        <v>4763</v>
      </c>
      <c r="E70" s="86">
        <v>744</v>
      </c>
      <c r="F70" s="86">
        <v>74.2</v>
      </c>
      <c r="G70" s="76">
        <f t="shared" si="61"/>
        <v>0.15620407306319548</v>
      </c>
      <c r="H70" s="64"/>
      <c r="I70" s="64"/>
      <c r="N70" s="64"/>
      <c r="O70" s="64"/>
      <c r="P70" s="64"/>
    </row>
    <row r="71" spans="2:16" ht="15.75" customHeight="1" x14ac:dyDescent="0.3">
      <c r="B71" s="64"/>
      <c r="C71" s="81" t="s">
        <v>155</v>
      </c>
      <c r="D71" s="86">
        <v>4155</v>
      </c>
      <c r="E71" s="86">
        <v>539</v>
      </c>
      <c r="F71" s="86">
        <v>52.87</v>
      </c>
      <c r="G71" s="76">
        <f t="shared" si="61"/>
        <v>0.12972322503008424</v>
      </c>
      <c r="H71" s="64"/>
      <c r="I71" s="64"/>
      <c r="N71" s="64"/>
      <c r="O71" s="64"/>
      <c r="P71" s="64"/>
    </row>
    <row r="72" spans="2:16" ht="15.75" customHeight="1" x14ac:dyDescent="0.3">
      <c r="B72" s="64"/>
      <c r="C72" s="57" t="s">
        <v>156</v>
      </c>
      <c r="D72" s="86">
        <v>3600</v>
      </c>
      <c r="E72" s="86">
        <v>496</v>
      </c>
      <c r="F72" s="86">
        <v>49.37</v>
      </c>
      <c r="G72" s="76">
        <f t="shared" si="61"/>
        <v>0.13777777777777778</v>
      </c>
      <c r="H72" s="64"/>
      <c r="I72" s="64"/>
      <c r="N72" s="64"/>
      <c r="O72" s="64"/>
      <c r="P72" s="64"/>
    </row>
    <row r="73" spans="2:16" ht="15.75" customHeight="1" x14ac:dyDescent="0.3">
      <c r="B73" s="64"/>
      <c r="C73" s="57" t="s">
        <v>157</v>
      </c>
      <c r="D73" s="87">
        <v>3026</v>
      </c>
      <c r="E73" s="87">
        <v>263</v>
      </c>
      <c r="F73" s="79">
        <f t="shared" ref="F73:F74" si="63">(E73*F72)/E72</f>
        <v>26.178044354838708</v>
      </c>
      <c r="G73" s="76">
        <f t="shared" si="61"/>
        <v>8.6913417052214142E-2</v>
      </c>
      <c r="H73" s="64"/>
      <c r="I73" s="64"/>
      <c r="N73" s="64"/>
      <c r="O73" s="64"/>
      <c r="P73" s="64"/>
    </row>
    <row r="74" spans="2:16" ht="15.75" customHeight="1" x14ac:dyDescent="0.3">
      <c r="B74" s="64"/>
      <c r="C74" s="81" t="s">
        <v>158</v>
      </c>
      <c r="D74" s="86">
        <v>3097</v>
      </c>
      <c r="E74" s="86">
        <v>614</v>
      </c>
      <c r="F74" s="79">
        <f t="shared" si="63"/>
        <v>61.115282258064511</v>
      </c>
      <c r="G74" s="76">
        <f t="shared" si="61"/>
        <v>0.19825637713916694</v>
      </c>
      <c r="H74" s="64"/>
      <c r="I74" s="64"/>
      <c r="N74" s="64"/>
      <c r="O74" s="64"/>
      <c r="P74" s="64"/>
    </row>
    <row r="80" spans="2:16" ht="15.75" customHeight="1" x14ac:dyDescent="0.25">
      <c r="B80" s="88" t="s">
        <v>159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</row>
    <row r="81" spans="2:14" ht="15.75" customHeight="1" x14ac:dyDescent="0.2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9" spans="2:14" ht="15.75" customHeight="1" x14ac:dyDescent="0.25">
      <c r="E89" s="89"/>
    </row>
    <row r="90" spans="2:14" ht="15.75" customHeight="1" x14ac:dyDescent="0.25">
      <c r="E90" s="90"/>
    </row>
    <row r="91" spans="2:14" ht="15.75" customHeight="1" x14ac:dyDescent="0.25">
      <c r="E91" s="90"/>
    </row>
    <row r="92" spans="2:14" ht="15.75" customHeight="1" x14ac:dyDescent="0.25">
      <c r="E92" s="89"/>
    </row>
    <row r="93" spans="2:14" ht="15.75" customHeight="1" x14ac:dyDescent="0.25">
      <c r="E93" s="90"/>
    </row>
    <row r="94" spans="2:14" ht="15.75" customHeight="1" x14ac:dyDescent="0.25">
      <c r="E94" s="90"/>
    </row>
    <row r="95" spans="2:14" ht="15.75" customHeight="1" x14ac:dyDescent="0.25">
      <c r="E95" s="89"/>
    </row>
    <row r="96" spans="2:14" ht="15.75" customHeight="1" x14ac:dyDescent="0.25">
      <c r="E96" s="89"/>
    </row>
    <row r="97" spans="5:5" ht="15.75" customHeight="1" x14ac:dyDescent="0.25">
      <c r="E97" s="90"/>
    </row>
    <row r="98" spans="5:5" ht="15.75" customHeight="1" x14ac:dyDescent="0.25">
      <c r="E98" s="90"/>
    </row>
    <row r="99" spans="5:5" ht="15.75" customHeight="1" x14ac:dyDescent="0.25">
      <c r="E99" s="90"/>
    </row>
    <row r="100" spans="5:5" ht="15.75" customHeight="1" x14ac:dyDescent="0.25">
      <c r="E100" s="89"/>
    </row>
    <row r="101" spans="5:5" ht="15.75" customHeight="1" x14ac:dyDescent="0.25">
      <c r="E101" s="90"/>
    </row>
    <row r="102" spans="5:5" ht="15.75" customHeight="1" x14ac:dyDescent="0.25">
      <c r="E102" s="90"/>
    </row>
    <row r="103" spans="5:5" ht="15.75" customHeight="1" x14ac:dyDescent="0.25">
      <c r="E103" s="89"/>
    </row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</sheetData>
  <mergeCells count="2">
    <mergeCell ref="T14:T16"/>
    <mergeCell ref="B80:N81"/>
  </mergeCells>
  <conditionalFormatting sqref="B37:F37 I2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8:F38">
    <cfRule type="colorScale" priority="5">
      <colorScale>
        <cfvo type="min"/>
        <cfvo type="max"/>
        <color rgb="FFFFFFFF"/>
        <color rgb="FF57BB8A"/>
      </colorScale>
    </cfRule>
  </conditionalFormatting>
  <conditionalFormatting sqref="B36:G36 I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:C4">
    <cfRule type="colorScale" priority="7">
      <colorScale>
        <cfvo type="min"/>
        <cfvo type="max"/>
        <color rgb="FFFFFFFF"/>
        <color rgb="FF57BB8A"/>
      </colorScale>
    </cfRule>
  </conditionalFormatting>
  <conditionalFormatting sqref="D3:D4">
    <cfRule type="colorScale" priority="8">
      <colorScale>
        <cfvo type="min"/>
        <cfvo type="max"/>
        <color rgb="FFFFFFFF"/>
        <color rgb="FF57BB8A"/>
      </colorScale>
    </cfRule>
  </conditionalFormatting>
  <conditionalFormatting sqref="D35:D74">
    <cfRule type="colorScale" priority="3">
      <colorScale>
        <cfvo type="min"/>
        <cfvo type="max"/>
        <color rgb="FFFFFFFF"/>
        <color rgb="FF57BB8A"/>
      </colorScale>
    </cfRule>
  </conditionalFormatting>
  <conditionalFormatting sqref="D20:F21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1:F45 H41:K45 N41:N45">
    <cfRule type="colorScale" priority="3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5:E74">
    <cfRule type="colorScale" priority="4">
      <colorScale>
        <cfvo type="min"/>
        <cfvo type="max"/>
        <color rgb="FFFFFFFF"/>
        <color rgb="FF57BB8A"/>
      </colorScale>
    </cfRule>
  </conditionalFormatting>
  <conditionalFormatting sqref="E3:G4">
    <cfRule type="colorScale" priority="9">
      <colorScale>
        <cfvo type="min"/>
        <cfvo type="max"/>
        <color rgb="FFFFFFFF"/>
        <color rgb="FF57BB8A"/>
      </colorScale>
    </cfRule>
  </conditionalFormatting>
  <conditionalFormatting sqref="F35:F72 F30">
    <cfRule type="colorScale" priority="19">
      <colorScale>
        <cfvo type="min"/>
        <cfvo type="max"/>
        <color rgb="FFFFFFFF"/>
        <color rgb="FF57BB8A"/>
      </colorScale>
    </cfRule>
  </conditionalFormatting>
  <conditionalFormatting sqref="F3:G4">
    <cfRule type="colorScale" priority="10">
      <colorScale>
        <cfvo type="min"/>
        <cfvo type="max"/>
        <color rgb="FFFFFFFF"/>
        <color rgb="FF57BB8A"/>
      </colorScale>
    </cfRule>
  </conditionalFormatting>
  <conditionalFormatting sqref="G3:G4">
    <cfRule type="colorScale" priority="11">
      <colorScale>
        <cfvo type="min"/>
        <cfvo type="max"/>
        <color rgb="FFFFFFFF"/>
        <color rgb="FF57BB8A"/>
      </colorScale>
    </cfRule>
  </conditionalFormatting>
  <conditionalFormatting sqref="G20:G21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5:G74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1:G45">
    <cfRule type="colorScale" priority="3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5:H65">
    <cfRule type="colorScale" priority="32">
      <colorScale>
        <cfvo type="min"/>
        <cfvo type="max"/>
        <color rgb="FFFFFFFF"/>
        <color rgb="FF57BB8A"/>
      </colorScale>
    </cfRule>
  </conditionalFormatting>
  <conditionalFormatting sqref="I3:I4">
    <cfRule type="colorScale" priority="12">
      <colorScale>
        <cfvo type="min"/>
        <cfvo type="max"/>
        <color rgb="FF57BB8A"/>
        <color rgb="FFFFFFFF"/>
      </colorScale>
    </cfRule>
  </conditionalFormatting>
  <conditionalFormatting sqref="I35:I65">
    <cfRule type="colorScale" priority="33">
      <colorScale>
        <cfvo type="min"/>
        <cfvo type="max"/>
        <color rgb="FFFFFFFF"/>
        <color rgb="FF57BB8A"/>
      </colorScale>
    </cfRule>
  </conditionalFormatting>
  <conditionalFormatting sqref="J3:J4">
    <cfRule type="colorScale" priority="13">
      <colorScale>
        <cfvo type="min"/>
        <cfvo type="max"/>
        <color rgb="FFFFFFFF"/>
        <color rgb="FF57BB8A"/>
      </colorScale>
    </cfRule>
  </conditionalFormatting>
  <conditionalFormatting sqref="J21:J30 L21 O21:O30 AE22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1:J31 L21 O21:O31 E22:E33 AE22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5:K65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6:M36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5:M65">
    <cfRule type="colorScale" priority="2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41:M45">
    <cfRule type="colorScale" priority="3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3:M4">
    <cfRule type="colorScale" priority="14">
      <colorScale>
        <cfvo type="min"/>
        <cfvo type="max"/>
        <color rgb="FFFFFFFF"/>
        <color rgb="FF57BB8A"/>
      </colorScale>
    </cfRule>
  </conditionalFormatting>
  <conditionalFormatting sqref="N3:N4">
    <cfRule type="colorScale" priority="15">
      <colorScale>
        <cfvo type="min"/>
        <cfvo type="max"/>
        <color rgb="FFFFFFFF"/>
        <color rgb="FFE67C73"/>
      </colorScale>
    </cfRule>
  </conditionalFormatting>
  <conditionalFormatting sqref="N35:N65">
    <cfRule type="colorScale" priority="3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:O4">
    <cfRule type="colorScale" priority="16">
      <colorScale>
        <cfvo type="min"/>
        <cfvo type="max"/>
        <color rgb="FFFFFFFF"/>
        <color rgb="FF57BB8A"/>
      </colorScale>
    </cfRule>
  </conditionalFormatting>
  <conditionalFormatting sqref="O30:P65">
    <cfRule type="colorScale" priority="3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41:P45">
    <cfRule type="colorScale" priority="3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3:P4">
    <cfRule type="colorScale" priority="17">
      <colorScale>
        <cfvo type="min"/>
        <cfvo type="max"/>
        <color rgb="FFFFFFFF"/>
        <color rgb="FFE67C73"/>
      </colorScale>
    </cfRule>
  </conditionalFormatting>
  <conditionalFormatting sqref="Q3:Q4">
    <cfRule type="colorScale" priority="18">
      <colorScale>
        <cfvo type="min"/>
        <cfvo type="max"/>
        <color rgb="FFFFFFFF"/>
        <color rgb="FF57BB8A"/>
      </colorScale>
    </cfRule>
  </conditionalFormatting>
  <conditionalFormatting sqref="Q14:S14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16:S16">
    <cfRule type="colorScale" priority="2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20:T30 E30 U32 E33 U34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0:U32 V28:V34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21:AA34 U30 U32 AC42:AC43 V43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80" r:id="rId1" xr:uid="{C407DB97-013E-4520-8DCA-7ED7D1A060A1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BAJAJ-AUTO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2025-08-29T09:28:09Z</dcterms:created>
  <dcterms:modified xsi:type="dcterms:W3CDTF">2025-08-29T09:28:25Z</dcterms:modified>
</cp:coreProperties>
</file>