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Annual Result\FY_24\"/>
    </mc:Choice>
  </mc:AlternateContent>
  <xr:revisionPtr revIDLastSave="0" documentId="8_{1335AD44-955B-4158-A5AC-4F6098E89250}" xr6:coauthVersionLast="47" xr6:coauthVersionMax="47" xr10:uidLastSave="{00000000-0000-0000-0000-000000000000}"/>
  <bookViews>
    <workbookView xWindow="-108" yWindow="-108" windowWidth="23256" windowHeight="12456" xr2:uid="{2739CE7B-C0E5-4440-BC8F-750B61257318}"/>
  </bookViews>
  <sheets>
    <sheet name="Aerospace &amp; Defense" sheetId="1" r:id="rId1"/>
  </sheets>
  <externalReferences>
    <externalReference r:id="rId2"/>
  </externalReferences>
  <definedNames>
    <definedName name="_xlnm._FilterDatabase" localSheetId="0" hidden="1">'Aerospace &amp; Defense'!$A$1:$AO$19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  <c r="G46" i="1"/>
  <c r="C46" i="1"/>
  <c r="X22" i="1"/>
  <c r="W22" i="1"/>
  <c r="V22" i="1"/>
  <c r="U22" i="1"/>
  <c r="Z22" i="1" s="1"/>
  <c r="T22" i="1"/>
  <c r="S22" i="1"/>
  <c r="Y22" i="1" s="1"/>
  <c r="R22" i="1"/>
  <c r="AJ22" i="1" s="1"/>
  <c r="Q22" i="1"/>
  <c r="AA22" i="1" s="1"/>
  <c r="P22" i="1"/>
  <c r="M22" i="1"/>
  <c r="L22" i="1"/>
  <c r="AF22" i="1" s="1"/>
  <c r="K22" i="1"/>
  <c r="AG22" i="1" s="1"/>
  <c r="J22" i="1"/>
  <c r="AN22" i="1" s="1"/>
  <c r="I22" i="1"/>
  <c r="H22" i="1"/>
  <c r="G22" i="1"/>
  <c r="F22" i="1"/>
  <c r="E22" i="1"/>
  <c r="AH22" i="1" s="1"/>
  <c r="D19" i="1"/>
  <c r="C19" i="1"/>
  <c r="D18" i="1"/>
  <c r="C18" i="1"/>
  <c r="D17" i="1"/>
  <c r="C17" i="1"/>
  <c r="D16" i="1"/>
  <c r="C16" i="1"/>
  <c r="AO15" i="1"/>
  <c r="AN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N15" i="1"/>
  <c r="AM15" i="1" s="1"/>
  <c r="D15" i="1"/>
  <c r="C15" i="1"/>
  <c r="AL15" i="1" s="1"/>
  <c r="AN14" i="1"/>
  <c r="AO14" i="1" s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N14" i="1"/>
  <c r="D14" i="1"/>
  <c r="C14" i="1"/>
  <c r="AL14" i="1" s="1"/>
  <c r="AN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D13" i="1"/>
  <c r="C13" i="1"/>
  <c r="AM13" i="1" s="1"/>
  <c r="AO12" i="1"/>
  <c r="AN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N12" i="1"/>
  <c r="AM12" i="1" s="1"/>
  <c r="D12" i="1"/>
  <c r="C12" i="1"/>
  <c r="AN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N11" i="1"/>
  <c r="AM11" i="1" s="1"/>
  <c r="D11" i="1"/>
  <c r="C11" i="1"/>
  <c r="AO11" i="1" s="1"/>
  <c r="AN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N10" i="1"/>
  <c r="AM10" i="1" s="1"/>
  <c r="D10" i="1"/>
  <c r="C10" i="1"/>
  <c r="AN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N9" i="1"/>
  <c r="D9" i="1"/>
  <c r="C9" i="1"/>
  <c r="AO9" i="1" s="1"/>
  <c r="AN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N8" i="1"/>
  <c r="AM8" i="1" s="1"/>
  <c r="D8" i="1"/>
  <c r="C8" i="1"/>
  <c r="AL8" i="1" s="1"/>
  <c r="AN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N7" i="1"/>
  <c r="AM7" i="1" s="1"/>
  <c r="D7" i="1"/>
  <c r="C7" i="1"/>
  <c r="AO7" i="1" s="1"/>
  <c r="AN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N6" i="1"/>
  <c r="AM6" i="1" s="1"/>
  <c r="D6" i="1"/>
  <c r="C6" i="1"/>
  <c r="AO6" i="1" s="1"/>
  <c r="AN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N5" i="1"/>
  <c r="D5" i="1"/>
  <c r="C5" i="1"/>
  <c r="AL5" i="1" s="1"/>
  <c r="AN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N4" i="1"/>
  <c r="D4" i="1"/>
  <c r="C4" i="1"/>
  <c r="AL4" i="1" s="1"/>
  <c r="AN3" i="1"/>
  <c r="AO3" i="1" s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N3" i="1"/>
  <c r="D3" i="1"/>
  <c r="C3" i="1"/>
  <c r="AL3" i="1" s="1"/>
  <c r="AN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N2" i="1"/>
  <c r="N22" i="1" s="1"/>
  <c r="D2" i="1"/>
  <c r="C2" i="1"/>
  <c r="AM3" i="1" l="1"/>
  <c r="AL10" i="1"/>
  <c r="AO10" i="1"/>
  <c r="AM14" i="1"/>
  <c r="AO4" i="1"/>
  <c r="AM9" i="1"/>
  <c r="AL11" i="1"/>
  <c r="AM4" i="1"/>
  <c r="AO5" i="1"/>
  <c r="AM5" i="1"/>
  <c r="AL12" i="1"/>
  <c r="AL2" i="1"/>
  <c r="AO13" i="1"/>
  <c r="D22" i="1"/>
  <c r="O8" i="1" s="1"/>
  <c r="AL22" i="1"/>
  <c r="O13" i="1"/>
  <c r="O12" i="1"/>
  <c r="O10" i="1"/>
  <c r="O2" i="1"/>
  <c r="O11" i="1"/>
  <c r="O4" i="1"/>
  <c r="O15" i="1"/>
  <c r="AM2" i="1"/>
  <c r="AL7" i="1"/>
  <c r="AO8" i="1"/>
  <c r="AC22" i="1"/>
  <c r="AK22" i="1"/>
  <c r="AD22" i="1"/>
  <c r="AO2" i="1"/>
  <c r="AO22" i="1" s="1"/>
  <c r="AL9" i="1"/>
  <c r="AE22" i="1"/>
  <c r="AL6" i="1"/>
  <c r="AL13" i="1"/>
  <c r="AI22" i="1"/>
  <c r="AB22" i="1"/>
  <c r="O18" i="1" l="1"/>
  <c r="O9" i="1"/>
  <c r="O3" i="1"/>
  <c r="O22" i="1" s="1"/>
  <c r="O14" i="1"/>
  <c r="O5" i="1"/>
  <c r="O16" i="1"/>
  <c r="AM22" i="1"/>
  <c r="O17" i="1"/>
  <c r="O6" i="1"/>
  <c r="O19" i="1"/>
  <c r="O7" i="1"/>
</calcChain>
</file>

<file path=xl/sharedStrings.xml><?xml version="1.0" encoding="utf-8"?>
<sst xmlns="http://schemas.openxmlformats.org/spreadsheetml/2006/main" count="312" uniqueCount="66">
  <si>
    <t>Security Code</t>
  </si>
  <si>
    <t>COMPANY</t>
  </si>
  <si>
    <t>CMP</t>
  </si>
  <si>
    <t>MARKETCAP</t>
  </si>
  <si>
    <t>CUR ASSET</t>
  </si>
  <si>
    <t>CUR LIABILITY</t>
  </si>
  <si>
    <t>TOT. ASSET</t>
  </si>
  <si>
    <t>TOT. LIABILITY</t>
  </si>
  <si>
    <t>EQUITY</t>
  </si>
  <si>
    <t>TOT. EQUITY</t>
  </si>
  <si>
    <t>BORROWING</t>
  </si>
  <si>
    <t xml:space="preserve">TRADE REC. </t>
  </si>
  <si>
    <t>FV</t>
  </si>
  <si>
    <t>TRAIL_EPS</t>
  </si>
  <si>
    <t>Companies weightage</t>
  </si>
  <si>
    <t>SALES_18</t>
  </si>
  <si>
    <t>SALES_23</t>
  </si>
  <si>
    <t>PROFIT_23</t>
  </si>
  <si>
    <t>9M_FY24_SALES</t>
  </si>
  <si>
    <t>9M_FY23_SALES</t>
  </si>
  <si>
    <t>9M_FY24_PROFIT</t>
  </si>
  <si>
    <t>9M_FY23_PROFIT</t>
  </si>
  <si>
    <t>FINANCE</t>
  </si>
  <si>
    <t>EXPENSE</t>
  </si>
  <si>
    <t>CY_SALES GR</t>
  </si>
  <si>
    <t>CY_PRPFIT_GR</t>
  </si>
  <si>
    <t>SALES_5Y_GR</t>
  </si>
  <si>
    <t>MARGIN_23</t>
  </si>
  <si>
    <t>CY_MARGIN</t>
  </si>
  <si>
    <t>ICR</t>
  </si>
  <si>
    <t>CUR. RATIO</t>
  </si>
  <si>
    <t>TR.DAYS</t>
  </si>
  <si>
    <t>DEBT2EQUITY</t>
  </si>
  <si>
    <t>DEBTRATIO</t>
  </si>
  <si>
    <t>ROE</t>
  </si>
  <si>
    <t>ROPE</t>
  </si>
  <si>
    <t>ROA</t>
  </si>
  <si>
    <t>TRAIL_PE</t>
  </si>
  <si>
    <t>YIELD</t>
  </si>
  <si>
    <t>BOOKVALUE</t>
  </si>
  <si>
    <t>PBV</t>
  </si>
  <si>
    <t>HAL</t>
  </si>
  <si>
    <t>BEL</t>
  </si>
  <si>
    <t>BDL</t>
  </si>
  <si>
    <t>DATAPATTNS</t>
  </si>
  <si>
    <t>GRSE</t>
  </si>
  <si>
    <t>MIDHANI</t>
  </si>
  <si>
    <t>ZENTEC</t>
  </si>
  <si>
    <t>MTARTECH</t>
  </si>
  <si>
    <t>ASTRAMICRO</t>
  </si>
  <si>
    <t>APOLLO</t>
  </si>
  <si>
    <t>DCXINDIA</t>
  </si>
  <si>
    <t>IDEAFORGE*</t>
  </si>
  <si>
    <t>PARAS</t>
  </si>
  <si>
    <t>ROSSELLIND</t>
  </si>
  <si>
    <t>NIBE</t>
  </si>
  <si>
    <t>TANAA</t>
  </si>
  <si>
    <t>CFF</t>
  </si>
  <si>
    <t>SIKA</t>
  </si>
  <si>
    <t>INDUSTRY</t>
  </si>
  <si>
    <t>GROWTH</t>
  </si>
  <si>
    <t>QUALITY</t>
  </si>
  <si>
    <t>SOLVENCY</t>
  </si>
  <si>
    <t>PROFITABILITY</t>
  </si>
  <si>
    <t>VALUATIONS</t>
  </si>
  <si>
    <t>WWW.PROFITFROMIT.IN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</si>
</sst>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0" x14ac:knownFonts="1">
    <font>
      <sz val="11"/>
      <color theme="1"/>
      <name val="Calibri"/>
      <scheme val="minor"/>
    </font>
    <font>
      <sz val="11"/>
      <color rgb="FFFFFFFF"/>
      <name val="Arial"/>
    </font>
    <font>
      <b/>
      <sz val="11"/>
      <color rgb="FFFFFFFF"/>
      <name val="Arial"/>
    </font>
    <font>
      <sz val="11"/>
      <color rgb="FF000000"/>
      <name val="Calibri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</font>
    <font>
      <b/>
      <i/>
      <u/>
      <sz val="11"/>
      <color theme="1"/>
      <name val="Arial"/>
    </font>
    <font>
      <b/>
      <u/>
      <sz val="11"/>
      <color rgb="FF0000FF"/>
      <name val="Arial"/>
    </font>
    <font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4C1130"/>
        <bgColor rgb="FF4C1130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1" fontId="4" fillId="0" borderId="1" xfId="0" applyNumberFormat="1" applyFont="1" applyBorder="1"/>
    <xf numFmtId="10" fontId="4" fillId="0" borderId="1" xfId="0" applyNumberFormat="1" applyFont="1" applyBorder="1"/>
    <xf numFmtId="1" fontId="4" fillId="0" borderId="1" xfId="0" applyNumberFormat="1" applyFont="1" applyBorder="1" applyAlignment="1">
      <alignment horizontal="right"/>
    </xf>
    <xf numFmtId="10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/>
    <xf numFmtId="0" fontId="5" fillId="0" borderId="1" xfId="0" applyFont="1" applyBorder="1"/>
    <xf numFmtId="1" fontId="5" fillId="0" borderId="1" xfId="0" applyNumberFormat="1" applyFont="1" applyBorder="1"/>
    <xf numFmtId="10" fontId="5" fillId="0" borderId="1" xfId="0" applyNumberFormat="1" applyFont="1" applyBorder="1"/>
    <xf numFmtId="0" fontId="2" fillId="2" borderId="1" xfId="0" applyFont="1" applyFill="1" applyBorder="1"/>
    <xf numFmtId="0" fontId="2" fillId="2" borderId="0" xfId="0" applyFont="1" applyFill="1"/>
    <xf numFmtId="0" fontId="6" fillId="0" borderId="0" xfId="0" applyFont="1"/>
    <xf numFmtId="1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2" xfId="0" applyFont="1" applyBorder="1"/>
    <xf numFmtId="0" fontId="4" fillId="0" borderId="2" xfId="0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7" fillId="4" borderId="3" xfId="0" applyFont="1" applyFill="1" applyBorder="1"/>
    <xf numFmtId="1" fontId="7" fillId="4" borderId="3" xfId="0" applyNumberFormat="1" applyFont="1" applyFill="1" applyBorder="1"/>
    <xf numFmtId="164" fontId="2" fillId="2" borderId="1" xfId="0" applyNumberFormat="1" applyFont="1" applyFill="1" applyBorder="1"/>
    <xf numFmtId="0" fontId="6" fillId="0" borderId="4" xfId="0" applyFont="1" applyBorder="1"/>
    <xf numFmtId="164" fontId="4" fillId="0" borderId="5" xfId="0" applyNumberFormat="1" applyFont="1" applyBorder="1" applyAlignment="1">
      <alignment horizontal="right"/>
    </xf>
    <xf numFmtId="164" fontId="6" fillId="0" borderId="4" xfId="0" applyNumberFormat="1" applyFont="1" applyBorder="1"/>
    <xf numFmtId="164" fontId="4" fillId="0" borderId="0" xfId="0" applyNumberFormat="1" applyFont="1"/>
    <xf numFmtId="164" fontId="7" fillId="4" borderId="3" xfId="0" applyNumberFormat="1" applyFont="1" applyFill="1" applyBorder="1"/>
    <xf numFmtId="165" fontId="4" fillId="0" borderId="5" xfId="0" applyNumberFormat="1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2" fontId="4" fillId="0" borderId="5" xfId="0" applyNumberFormat="1" applyFont="1" applyBorder="1" applyAlignment="1">
      <alignment horizontal="right"/>
    </xf>
    <xf numFmtId="0" fontId="4" fillId="0" borderId="0" xfId="0" applyFont="1"/>
    <xf numFmtId="1" fontId="4" fillId="0" borderId="0" xfId="0" applyNumberFormat="1" applyFont="1"/>
    <xf numFmtId="0" fontId="4" fillId="0" borderId="2" xfId="0" applyFont="1" applyBorder="1"/>
    <xf numFmtId="1" fontId="4" fillId="0" borderId="2" xfId="0" applyNumberFormat="1" applyFont="1" applyBorder="1"/>
    <xf numFmtId="164" fontId="4" fillId="0" borderId="2" xfId="0" applyNumberFormat="1" applyFont="1" applyBorder="1"/>
    <xf numFmtId="0" fontId="8" fillId="5" borderId="6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2" xfId="0" applyFont="1" applyBorder="1"/>
    <xf numFmtId="0" fontId="9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MARKETCAP: 4.4 lakh cr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'Aerospace &amp; Defense'!$C$26</c:f>
              <c:strCache>
                <c:ptCount val="1"/>
                <c:pt idx="0">
                  <c:v>MARKETCAP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FCEF-4D6D-B566-14F2D70E5B25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FCEF-4D6D-B566-14F2D70E5B25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FCEF-4D6D-B566-14F2D70E5B25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FCEF-4D6D-B566-14F2D70E5B25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FCEF-4D6D-B566-14F2D70E5B25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FCEF-4D6D-B566-14F2D70E5B25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FCEF-4D6D-B566-14F2D70E5B25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FCEF-4D6D-B566-14F2D70E5B25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FCEF-4D6D-B566-14F2D70E5B25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</c:spPr>
            <c:extLst>
              <c:ext xmlns:c16="http://schemas.microsoft.com/office/drawing/2014/chart" uri="{C3380CC4-5D6E-409C-BE32-E72D297353CC}">
                <c16:uniqueId val="{00000013-FCEF-4D6D-B566-14F2D70E5B25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</c:spPr>
            <c:extLst>
              <c:ext xmlns:c16="http://schemas.microsoft.com/office/drawing/2014/chart" uri="{C3380CC4-5D6E-409C-BE32-E72D297353CC}">
                <c16:uniqueId val="{00000015-FCEF-4D6D-B566-14F2D70E5B25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</c:spPr>
            <c:extLst>
              <c:ext xmlns:c16="http://schemas.microsoft.com/office/drawing/2014/chart" uri="{C3380CC4-5D6E-409C-BE32-E72D297353CC}">
                <c16:uniqueId val="{00000017-FCEF-4D6D-B566-14F2D70E5B25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</c:spPr>
            <c:extLst>
              <c:ext xmlns:c16="http://schemas.microsoft.com/office/drawing/2014/chart" uri="{C3380CC4-5D6E-409C-BE32-E72D297353CC}">
                <c16:uniqueId val="{00000019-FCEF-4D6D-B566-14F2D70E5B25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</c:spPr>
            <c:extLst>
              <c:ext xmlns:c16="http://schemas.microsoft.com/office/drawing/2014/chart" uri="{C3380CC4-5D6E-409C-BE32-E72D297353CC}">
                <c16:uniqueId val="{0000001B-FCEF-4D6D-B566-14F2D70E5B25}"/>
              </c:ext>
            </c:extLst>
          </c:dPt>
          <c:dPt>
            <c:idx val="14"/>
            <c:bubble3D val="0"/>
            <c:spPr>
              <a:solidFill>
                <a:srgbClr val="FDE49B"/>
              </a:solidFill>
            </c:spPr>
            <c:extLst>
              <c:ext xmlns:c16="http://schemas.microsoft.com/office/drawing/2014/chart" uri="{C3380CC4-5D6E-409C-BE32-E72D297353CC}">
                <c16:uniqueId val="{0000001D-FCEF-4D6D-B566-14F2D70E5B25}"/>
              </c:ext>
            </c:extLst>
          </c:dPt>
          <c:dPt>
            <c:idx val="15"/>
            <c:bubble3D val="0"/>
            <c:spPr>
              <a:solidFill>
                <a:srgbClr val="AEDCBA"/>
              </a:solidFill>
            </c:spPr>
            <c:extLst>
              <c:ext xmlns:c16="http://schemas.microsoft.com/office/drawing/2014/chart" uri="{C3380CC4-5D6E-409C-BE32-E72D297353CC}">
                <c16:uniqueId val="{0000001F-FCEF-4D6D-B566-14F2D70E5B25}"/>
              </c:ext>
            </c:extLst>
          </c:dPt>
          <c:dPt>
            <c:idx val="16"/>
            <c:bubble3D val="0"/>
            <c:spPr>
              <a:solidFill>
                <a:srgbClr val="FFC599"/>
              </a:solidFill>
            </c:spPr>
            <c:extLst>
              <c:ext xmlns:c16="http://schemas.microsoft.com/office/drawing/2014/chart" uri="{C3380CC4-5D6E-409C-BE32-E72D297353CC}">
                <c16:uniqueId val="{00000021-FCEF-4D6D-B566-14F2D70E5B25}"/>
              </c:ext>
            </c:extLst>
          </c:dPt>
          <c:dPt>
            <c:idx val="17"/>
            <c:bubble3D val="0"/>
            <c:spPr>
              <a:solidFill>
                <a:srgbClr val="B5E5E8"/>
              </a:solidFill>
            </c:spPr>
            <c:extLst>
              <c:ext xmlns:c16="http://schemas.microsoft.com/office/drawing/2014/chart" uri="{C3380CC4-5D6E-409C-BE32-E72D297353CC}">
                <c16:uniqueId val="{00000023-FCEF-4D6D-B566-14F2D70E5B2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'Aerospace &amp; Defense'!$B$27:$B$44</c:f>
              <c:strCache>
                <c:ptCount val="18"/>
                <c:pt idx="0">
                  <c:v>HAL</c:v>
                </c:pt>
                <c:pt idx="1">
                  <c:v>BEL</c:v>
                </c:pt>
                <c:pt idx="2">
                  <c:v>BDL</c:v>
                </c:pt>
                <c:pt idx="3">
                  <c:v>DATAPATTNS</c:v>
                </c:pt>
                <c:pt idx="4">
                  <c:v>GRSE</c:v>
                </c:pt>
                <c:pt idx="5">
                  <c:v>MIDHANI</c:v>
                </c:pt>
                <c:pt idx="6">
                  <c:v>ZENTEC</c:v>
                </c:pt>
                <c:pt idx="7">
                  <c:v>MTARTECH</c:v>
                </c:pt>
                <c:pt idx="8">
                  <c:v>ASTRAMICRO</c:v>
                </c:pt>
                <c:pt idx="9">
                  <c:v>APOLLO</c:v>
                </c:pt>
                <c:pt idx="10">
                  <c:v>DCXINDIA</c:v>
                </c:pt>
                <c:pt idx="11">
                  <c:v>IDEAFORGE*</c:v>
                </c:pt>
                <c:pt idx="12">
                  <c:v>PARAS</c:v>
                </c:pt>
                <c:pt idx="13">
                  <c:v>ROSSELLIND</c:v>
                </c:pt>
                <c:pt idx="14">
                  <c:v>NIBE</c:v>
                </c:pt>
                <c:pt idx="15">
                  <c:v>TANAA</c:v>
                </c:pt>
                <c:pt idx="16">
                  <c:v>CFF</c:v>
                </c:pt>
                <c:pt idx="17">
                  <c:v>SIKA</c:v>
                </c:pt>
              </c:strCache>
            </c:strRef>
          </c:cat>
          <c:val>
            <c:numRef>
              <c:f>'Aerospace &amp; Defense'!$C$27:$C$44</c:f>
              <c:numCache>
                <c:formatCode>0</c:formatCode>
                <c:ptCount val="18"/>
                <c:pt idx="0">
                  <c:v>200672.54698069999</c:v>
                </c:pt>
                <c:pt idx="1">
                  <c:v>141444.71819859999</c:v>
                </c:pt>
                <c:pt idx="2">
                  <c:v>32089.788454500002</c:v>
                </c:pt>
                <c:pt idx="3">
                  <c:v>12486.098411499999</c:v>
                </c:pt>
                <c:pt idx="4">
                  <c:v>9341.1100425000004</c:v>
                </c:pt>
                <c:pt idx="5">
                  <c:v>8269.3141885999994</c:v>
                </c:pt>
                <c:pt idx="6">
                  <c:v>6703.3046823000004</c:v>
                </c:pt>
                <c:pt idx="7">
                  <c:v>6204.2072859999998</c:v>
                </c:pt>
                <c:pt idx="8">
                  <c:v>6106.5264496999998</c:v>
                </c:pt>
                <c:pt idx="9">
                  <c:v>3662.1935497999998</c:v>
                </c:pt>
                <c:pt idx="10">
                  <c:v>3620.058</c:v>
                </c:pt>
                <c:pt idx="11">
                  <c:v>3119.9063025</c:v>
                </c:pt>
                <c:pt idx="12">
                  <c:v>2913.3402086999999</c:v>
                </c:pt>
                <c:pt idx="13">
                  <c:v>1719.1474682999999</c:v>
                </c:pt>
                <c:pt idx="14">
                  <c:v>1581.2460000000001</c:v>
                </c:pt>
                <c:pt idx="15">
                  <c:v>1204.1542589999999</c:v>
                </c:pt>
                <c:pt idx="16">
                  <c:v>1026.2850699999999</c:v>
                </c:pt>
                <c:pt idx="17">
                  <c:v>711.92538249999996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FCEF-4D6D-B566-14F2D70E5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ICR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'Aerospace &amp; Defense'!$G$136</c:f>
              <c:strCache>
                <c:ptCount val="1"/>
                <c:pt idx="0">
                  <c:v>ICR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4FA-4B5E-AE58-13371C59D308}"/>
              </c:ext>
            </c:extLst>
          </c:dPt>
          <c:dPt>
            <c:idx val="1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4FA-4B5E-AE58-13371C59D308}"/>
              </c:ext>
            </c:extLst>
          </c:dPt>
          <c:dPt>
            <c:idx val="2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4FA-4B5E-AE58-13371C59D3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'Aerospace &amp; Defense'!$F$137:$F$150</c:f>
              <c:strCache>
                <c:ptCount val="14"/>
                <c:pt idx="0">
                  <c:v>HAL</c:v>
                </c:pt>
                <c:pt idx="1">
                  <c:v>BEL</c:v>
                </c:pt>
                <c:pt idx="2">
                  <c:v>BDL</c:v>
                </c:pt>
                <c:pt idx="3">
                  <c:v>DATAPATTNS</c:v>
                </c:pt>
                <c:pt idx="4">
                  <c:v>GRSE</c:v>
                </c:pt>
                <c:pt idx="5">
                  <c:v>MIDHANI</c:v>
                </c:pt>
                <c:pt idx="6">
                  <c:v>ZENTEC</c:v>
                </c:pt>
                <c:pt idx="7">
                  <c:v>MTARTECH</c:v>
                </c:pt>
                <c:pt idx="8">
                  <c:v>ASTRAMICRO</c:v>
                </c:pt>
                <c:pt idx="9">
                  <c:v>APOLLO</c:v>
                </c:pt>
                <c:pt idx="10">
                  <c:v>DCXINDIA</c:v>
                </c:pt>
                <c:pt idx="11">
                  <c:v>IDEAFORGE*</c:v>
                </c:pt>
                <c:pt idx="12">
                  <c:v>PARAS</c:v>
                </c:pt>
                <c:pt idx="13">
                  <c:v>ROSSELLIND</c:v>
                </c:pt>
              </c:strCache>
            </c:strRef>
          </c:cat>
          <c:val>
            <c:numRef>
              <c:f>'Aerospace &amp; Defense'!$G$137:$G$150</c:f>
              <c:numCache>
                <c:formatCode>0</c:formatCode>
                <c:ptCount val="14"/>
                <c:pt idx="0">
                  <c:v>84.379310344827587</c:v>
                </c:pt>
                <c:pt idx="1">
                  <c:v>243.8</c:v>
                </c:pt>
                <c:pt idx="2">
                  <c:v>73.444444444444443</c:v>
                </c:pt>
                <c:pt idx="3">
                  <c:v>20.375</c:v>
                </c:pt>
                <c:pt idx="4">
                  <c:v>16.89506172839506</c:v>
                </c:pt>
                <c:pt idx="5">
                  <c:v>7.884615384615385</c:v>
                </c:pt>
                <c:pt idx="6">
                  <c:v>16.75</c:v>
                </c:pt>
                <c:pt idx="7">
                  <c:v>9.3064460767488164</c:v>
                </c:pt>
                <c:pt idx="8">
                  <c:v>4.0999999999999996</c:v>
                </c:pt>
                <c:pt idx="9">
                  <c:v>2.347826086956522</c:v>
                </c:pt>
                <c:pt idx="10">
                  <c:v>3.1153846153846154</c:v>
                </c:pt>
                <c:pt idx="11">
                  <c:v>1.3604651162790697</c:v>
                </c:pt>
                <c:pt idx="12">
                  <c:v>6.5714285714285712</c:v>
                </c:pt>
                <c:pt idx="13">
                  <c:v>3.3333333333333335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74FA-4B5E-AE58-13371C59D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631550"/>
        <c:axId val="915401241"/>
      </c:barChart>
      <c:catAx>
        <c:axId val="716315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15401241"/>
        <c:crosses val="autoZero"/>
        <c:auto val="1"/>
        <c:lblAlgn val="ctr"/>
        <c:lblOffset val="100"/>
        <c:noMultiLvlLbl val="1"/>
      </c:catAx>
      <c:valAx>
        <c:axId val="9154012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ICR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163155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DEBTRATIO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'Aerospace &amp; Defense'!$K$136</c:f>
              <c:strCache>
                <c:ptCount val="1"/>
                <c:pt idx="0">
                  <c:v>DEBTRATIO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2E5-4763-AC94-363CF76265D4}"/>
              </c:ext>
            </c:extLst>
          </c:dPt>
          <c:dPt>
            <c:idx val="3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2E5-4763-AC94-363CF76265D4}"/>
              </c:ext>
            </c:extLst>
          </c:dPt>
          <c:dPt>
            <c:idx val="4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2E5-4763-AC94-363CF76265D4}"/>
              </c:ext>
            </c:extLst>
          </c:dPt>
          <c:dPt>
            <c:idx val="11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2E5-4763-AC94-363CF76265D4}"/>
              </c:ext>
            </c:extLst>
          </c:dPt>
          <c:dPt>
            <c:idx val="13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2E5-4763-AC94-363CF76265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'Aerospace &amp; Defense'!$J$137:$J$150</c:f>
              <c:strCache>
                <c:ptCount val="14"/>
                <c:pt idx="0">
                  <c:v>HAL</c:v>
                </c:pt>
                <c:pt idx="1">
                  <c:v>BEL</c:v>
                </c:pt>
                <c:pt idx="2">
                  <c:v>BDL</c:v>
                </c:pt>
                <c:pt idx="3">
                  <c:v>DATAPATTNS</c:v>
                </c:pt>
                <c:pt idx="4">
                  <c:v>GRSE</c:v>
                </c:pt>
                <c:pt idx="5">
                  <c:v>MIDHANI</c:v>
                </c:pt>
                <c:pt idx="6">
                  <c:v>ZENTEC</c:v>
                </c:pt>
                <c:pt idx="7">
                  <c:v>MTARTECH</c:v>
                </c:pt>
                <c:pt idx="8">
                  <c:v>ASTRAMICRO</c:v>
                </c:pt>
                <c:pt idx="9">
                  <c:v>APOLLO</c:v>
                </c:pt>
                <c:pt idx="10">
                  <c:v>DCXINDIA</c:v>
                </c:pt>
                <c:pt idx="11">
                  <c:v>IDEAFORGE*</c:v>
                </c:pt>
                <c:pt idx="12">
                  <c:v>PARAS</c:v>
                </c:pt>
                <c:pt idx="13">
                  <c:v>ROSSELLIND</c:v>
                </c:pt>
              </c:strCache>
            </c:strRef>
          </c:cat>
          <c:val>
            <c:numRef>
              <c:f>'Aerospace &amp; Defense'!$K$137:$K$150</c:f>
              <c:numCache>
                <c:formatCode>0.00</c:formatCode>
                <c:ptCount val="14"/>
                <c:pt idx="0">
                  <c:v>0.61162471721975809</c:v>
                </c:pt>
                <c:pt idx="1">
                  <c:v>0.66269531250000002</c:v>
                </c:pt>
                <c:pt idx="2">
                  <c:v>0.22677529182879377</c:v>
                </c:pt>
                <c:pt idx="3">
                  <c:v>0.19592476489028213</c:v>
                </c:pt>
                <c:pt idx="4">
                  <c:v>0.9149158179942265</c:v>
                </c:pt>
                <c:pt idx="5">
                  <c:v>0.49393326592517695</c:v>
                </c:pt>
                <c:pt idx="6">
                  <c:v>0.51362683438155132</c:v>
                </c:pt>
                <c:pt idx="7">
                  <c:v>0.43805309734513276</c:v>
                </c:pt>
                <c:pt idx="8">
                  <c:v>0.26638917793964623</c:v>
                </c:pt>
                <c:pt idx="9">
                  <c:v>0.50897226753670477</c:v>
                </c:pt>
                <c:pt idx="10">
                  <c:v>0.47373358348968103</c:v>
                </c:pt>
                <c:pt idx="11">
                  <c:v>0.10756302521008404</c:v>
                </c:pt>
                <c:pt idx="12">
                  <c:v>0.34097421203438394</c:v>
                </c:pt>
                <c:pt idx="13">
                  <c:v>0.85436893203883491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A-52E5-4763-AC94-363CF7626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5532470"/>
        <c:axId val="591959741"/>
      </c:barChart>
      <c:catAx>
        <c:axId val="13655324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91959741"/>
        <c:crosses val="autoZero"/>
        <c:auto val="1"/>
        <c:lblAlgn val="ctr"/>
        <c:lblOffset val="100"/>
        <c:noMultiLvlLbl val="1"/>
      </c:catAx>
      <c:valAx>
        <c:axId val="5919597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DEBTRATIO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6553247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ROE and ROA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'Aerospace &amp; Defense'!$C$171</c:f>
              <c:strCache>
                <c:ptCount val="1"/>
                <c:pt idx="0">
                  <c:v>ROE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'Aerospace &amp; Defense'!$B$172:$B$185</c:f>
              <c:strCache>
                <c:ptCount val="14"/>
                <c:pt idx="0">
                  <c:v>HAL</c:v>
                </c:pt>
                <c:pt idx="1">
                  <c:v>BEL</c:v>
                </c:pt>
                <c:pt idx="2">
                  <c:v>BDL</c:v>
                </c:pt>
                <c:pt idx="3">
                  <c:v>DATAPATTNS</c:v>
                </c:pt>
                <c:pt idx="4">
                  <c:v>GRSE</c:v>
                </c:pt>
                <c:pt idx="5">
                  <c:v>MIDHANI</c:v>
                </c:pt>
                <c:pt idx="6">
                  <c:v>ZENTEC</c:v>
                </c:pt>
                <c:pt idx="7">
                  <c:v>MTARTECH</c:v>
                </c:pt>
                <c:pt idx="8">
                  <c:v>ASTRAMICRO</c:v>
                </c:pt>
                <c:pt idx="9">
                  <c:v>APOLLO</c:v>
                </c:pt>
                <c:pt idx="10">
                  <c:v>DCXINDIA</c:v>
                </c:pt>
                <c:pt idx="11">
                  <c:v>IDEAFORGE*</c:v>
                </c:pt>
                <c:pt idx="12">
                  <c:v>PARAS</c:v>
                </c:pt>
                <c:pt idx="13">
                  <c:v>ROSSELLIND</c:v>
                </c:pt>
              </c:strCache>
            </c:strRef>
          </c:cat>
          <c:val>
            <c:numRef>
              <c:f>'Aerospace &amp; Defense'!$C$172:$C$185</c:f>
              <c:numCache>
                <c:formatCode>0.0%</c:formatCode>
                <c:ptCount val="14"/>
                <c:pt idx="0">
                  <c:v>0.23164672681744108</c:v>
                </c:pt>
                <c:pt idx="1">
                  <c:v>0.19820670127418594</c:v>
                </c:pt>
                <c:pt idx="2">
                  <c:v>0.10435813815594426</c:v>
                </c:pt>
                <c:pt idx="3">
                  <c:v>0.10324729392173189</c:v>
                </c:pt>
                <c:pt idx="4">
                  <c:v>0.14578005115089515</c:v>
                </c:pt>
                <c:pt idx="5">
                  <c:v>0.11836115326251896</c:v>
                </c:pt>
                <c:pt idx="6">
                  <c:v>0.1272264631043257</c:v>
                </c:pt>
                <c:pt idx="7">
                  <c:v>0.15582450832072617</c:v>
                </c:pt>
                <c:pt idx="8">
                  <c:v>8.0552359033371698E-2</c:v>
                </c:pt>
                <c:pt idx="9">
                  <c:v>4.449648711943794E-2</c:v>
                </c:pt>
                <c:pt idx="10">
                  <c:v>0.12182741116751269</c:v>
                </c:pt>
                <c:pt idx="11">
                  <c:v>5.0713153724247229E-2</c:v>
                </c:pt>
                <c:pt idx="12">
                  <c:v>8.4112149532710276E-2</c:v>
                </c:pt>
                <c:pt idx="13">
                  <c:v>9.0032154340836015E-2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2A8-4E41-9EC3-3CF7B182F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9012953"/>
        <c:axId val="718617487"/>
      </c:barChart>
      <c:lineChart>
        <c:grouping val="standard"/>
        <c:varyColors val="0"/>
        <c:ser>
          <c:idx val="1"/>
          <c:order val="1"/>
          <c:tx>
            <c:strRef>
              <c:f>'Aerospace &amp; Defense'!$D$171</c:f>
              <c:strCache>
                <c:ptCount val="1"/>
                <c:pt idx="0">
                  <c:v>ROA</c:v>
                </c:pt>
              </c:strCache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'Aerospace &amp; Defense'!$B$172:$B$185</c:f>
              <c:strCache>
                <c:ptCount val="14"/>
                <c:pt idx="0">
                  <c:v>HAL</c:v>
                </c:pt>
                <c:pt idx="1">
                  <c:v>BEL</c:v>
                </c:pt>
                <c:pt idx="2">
                  <c:v>BDL</c:v>
                </c:pt>
                <c:pt idx="3">
                  <c:v>DATAPATTNS</c:v>
                </c:pt>
                <c:pt idx="4">
                  <c:v>GRSE</c:v>
                </c:pt>
                <c:pt idx="5">
                  <c:v>MIDHANI</c:v>
                </c:pt>
                <c:pt idx="6">
                  <c:v>ZENTEC</c:v>
                </c:pt>
                <c:pt idx="7">
                  <c:v>MTARTECH</c:v>
                </c:pt>
                <c:pt idx="8">
                  <c:v>ASTRAMICRO</c:v>
                </c:pt>
                <c:pt idx="9">
                  <c:v>APOLLO</c:v>
                </c:pt>
                <c:pt idx="10">
                  <c:v>DCXINDIA</c:v>
                </c:pt>
                <c:pt idx="11">
                  <c:v>IDEAFORGE*</c:v>
                </c:pt>
                <c:pt idx="12">
                  <c:v>PARAS</c:v>
                </c:pt>
                <c:pt idx="13">
                  <c:v>ROSSELLIND</c:v>
                </c:pt>
              </c:strCache>
            </c:strRef>
          </c:cat>
          <c:val>
            <c:numRef>
              <c:f>'Aerospace &amp; Defense'!$D$172:$D$185</c:f>
              <c:numCache>
                <c:formatCode>0.0%</c:formatCode>
                <c:ptCount val="14"/>
                <c:pt idx="0">
                  <c:v>8.1107786514508382E-2</c:v>
                </c:pt>
                <c:pt idx="1">
                  <c:v>8.1067666685049361E-2</c:v>
                </c:pt>
                <c:pt idx="2">
                  <c:v>3.7861675809400884E-2</c:v>
                </c:pt>
                <c:pt idx="3">
                  <c:v>8.4124830393487116E-2</c:v>
                </c:pt>
                <c:pt idx="4">
                  <c:v>2.0585048754062838E-2</c:v>
                </c:pt>
                <c:pt idx="5">
                  <c:v>5.019305019305019E-2</c:v>
                </c:pt>
                <c:pt idx="6">
                  <c:v>7.7760497667185069E-2</c:v>
                </c:pt>
                <c:pt idx="7">
                  <c:v>9.662288930581614E-2</c:v>
                </c:pt>
                <c:pt idx="8">
                  <c:v>5.9071729957805907E-2</c:v>
                </c:pt>
                <c:pt idx="9">
                  <c:v>2.464332036316472E-2</c:v>
                </c:pt>
                <c:pt idx="10">
                  <c:v>6.4400715563506267E-2</c:v>
                </c:pt>
                <c:pt idx="11">
                  <c:v>4.5133991537376586E-2</c:v>
                </c:pt>
                <c:pt idx="12">
                  <c:v>6.2937062937062943E-2</c:v>
                </c:pt>
                <c:pt idx="13">
                  <c:v>4.7619047619047616E-2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8-4E41-9EC3-3CF7B182F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012953"/>
        <c:axId val="718617487"/>
      </c:lineChart>
      <c:catAx>
        <c:axId val="10590129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18617487"/>
        <c:crosses val="autoZero"/>
        <c:auto val="1"/>
        <c:lblAlgn val="ctr"/>
        <c:lblOffset val="100"/>
        <c:noMultiLvlLbl val="1"/>
      </c:catAx>
      <c:valAx>
        <c:axId val="71861748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5901295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TRAIL_PE and PBV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'Aerospace &amp; Defense'!$H$171</c:f>
              <c:strCache>
                <c:ptCount val="1"/>
                <c:pt idx="0">
                  <c:v>TRAIL_PE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'Aerospace &amp; Defense'!$G$172:$G$185</c:f>
              <c:strCache>
                <c:ptCount val="14"/>
                <c:pt idx="0">
                  <c:v>HAL</c:v>
                </c:pt>
                <c:pt idx="1">
                  <c:v>BEL</c:v>
                </c:pt>
                <c:pt idx="2">
                  <c:v>BDL</c:v>
                </c:pt>
                <c:pt idx="3">
                  <c:v>DATAPATTNS</c:v>
                </c:pt>
                <c:pt idx="4">
                  <c:v>GRSE</c:v>
                </c:pt>
                <c:pt idx="5">
                  <c:v>MIDHANI</c:v>
                </c:pt>
                <c:pt idx="6">
                  <c:v>ZENTEC</c:v>
                </c:pt>
                <c:pt idx="7">
                  <c:v>MTARTECH</c:v>
                </c:pt>
                <c:pt idx="8">
                  <c:v>ASTRAMICRO</c:v>
                </c:pt>
                <c:pt idx="9">
                  <c:v>APOLLO</c:v>
                </c:pt>
                <c:pt idx="10">
                  <c:v>DCXINDIA</c:v>
                </c:pt>
                <c:pt idx="11">
                  <c:v>IDEAFORGE*</c:v>
                </c:pt>
                <c:pt idx="12">
                  <c:v>PARAS</c:v>
                </c:pt>
                <c:pt idx="13">
                  <c:v>ROSSELLIND</c:v>
                </c:pt>
              </c:strCache>
            </c:strRef>
          </c:cat>
          <c:val>
            <c:numRef>
              <c:f>'Aerospace &amp; Defense'!$H$172:$H$185</c:f>
              <c:numCache>
                <c:formatCode>0</c:formatCode>
                <c:ptCount val="14"/>
                <c:pt idx="0">
                  <c:v>32.707380796864797</c:v>
                </c:pt>
                <c:pt idx="1">
                  <c:v>39.86707566462168</c:v>
                </c:pt>
                <c:pt idx="2">
                  <c:v>67.239984591679502</c:v>
                </c:pt>
                <c:pt idx="3">
                  <c:v>74.027777777777786</c:v>
                </c:pt>
                <c:pt idx="4">
                  <c:v>31.035795887281033</c:v>
                </c:pt>
                <c:pt idx="5">
                  <c:v>74.036850921273029</c:v>
                </c:pt>
                <c:pt idx="6">
                  <c:v>59.43911439114391</c:v>
                </c:pt>
                <c:pt idx="7">
                  <c:v>75.330717488789233</c:v>
                </c:pt>
                <c:pt idx="8">
                  <c:v>74.818925233644862</c:v>
                </c:pt>
                <c:pt idx="9">
                  <c:v>179.51388888888889</c:v>
                </c:pt>
                <c:pt idx="10">
                  <c:v>37.035755478662054</c:v>
                </c:pt>
                <c:pt idx="11">
                  <c:v>103.39943342776205</c:v>
                </c:pt>
                <c:pt idx="12">
                  <c:v>88.309608540925282</c:v>
                </c:pt>
                <c:pt idx="13">
                  <c:v>133.4795321637427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0EB-4956-BEB8-4E000E40861A}"/>
            </c:ext>
          </c:extLst>
        </c:ser>
        <c:ser>
          <c:idx val="1"/>
          <c:order val="1"/>
          <c:tx>
            <c:strRef>
              <c:f>'Aerospace &amp; Defense'!$I$171</c:f>
              <c:strCache>
                <c:ptCount val="1"/>
                <c:pt idx="0">
                  <c:v>PBV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'Aerospace &amp; Defense'!$G$172:$G$185</c:f>
              <c:strCache>
                <c:ptCount val="14"/>
                <c:pt idx="0">
                  <c:v>HAL</c:v>
                </c:pt>
                <c:pt idx="1">
                  <c:v>BEL</c:v>
                </c:pt>
                <c:pt idx="2">
                  <c:v>BDL</c:v>
                </c:pt>
                <c:pt idx="3">
                  <c:v>DATAPATTNS</c:v>
                </c:pt>
                <c:pt idx="4">
                  <c:v>GRSE</c:v>
                </c:pt>
                <c:pt idx="5">
                  <c:v>MIDHANI</c:v>
                </c:pt>
                <c:pt idx="6">
                  <c:v>ZENTEC</c:v>
                </c:pt>
                <c:pt idx="7">
                  <c:v>MTARTECH</c:v>
                </c:pt>
                <c:pt idx="8">
                  <c:v>ASTRAMICRO</c:v>
                </c:pt>
                <c:pt idx="9">
                  <c:v>APOLLO</c:v>
                </c:pt>
                <c:pt idx="10">
                  <c:v>DCXINDIA</c:v>
                </c:pt>
                <c:pt idx="11">
                  <c:v>IDEAFORGE*</c:v>
                </c:pt>
                <c:pt idx="12">
                  <c:v>PARAS</c:v>
                </c:pt>
                <c:pt idx="13">
                  <c:v>ROSSELLIND</c:v>
                </c:pt>
              </c:strCache>
            </c:strRef>
          </c:cat>
          <c:val>
            <c:numRef>
              <c:f>'Aerospace &amp; Defense'!$I$172:$I$185</c:f>
              <c:numCache>
                <c:formatCode>0</c:formatCode>
                <c:ptCount val="14"/>
                <c:pt idx="0">
                  <c:v>7.8727729180559374</c:v>
                </c:pt>
                <c:pt idx="1">
                  <c:v>9.1443487759429409</c:v>
                </c:pt>
                <c:pt idx="2">
                  <c:v>8.9830047806524185</c:v>
                </c:pt>
                <c:pt idx="3">
                  <c:v>10.158663366336633</c:v>
                </c:pt>
                <c:pt idx="4">
                  <c:v>5.5821917808219181</c:v>
                </c:pt>
                <c:pt idx="5">
                  <c:v>5.4919601328903651</c:v>
                </c:pt>
                <c:pt idx="6">
                  <c:v>16.067830423940148</c:v>
                </c:pt>
                <c:pt idx="7">
                  <c:v>9.0305419075144506</c:v>
                </c:pt>
                <c:pt idx="8">
                  <c:v>6.4983652762119508</c:v>
                </c:pt>
                <c:pt idx="9">
                  <c:v>6.6061111111111108</c:v>
                </c:pt>
                <c:pt idx="10">
                  <c:v>5.0007377049180324</c:v>
                </c:pt>
                <c:pt idx="11">
                  <c:v>4.5557206537890043</c:v>
                </c:pt>
                <c:pt idx="12">
                  <c:v>6.2170342612419702</c:v>
                </c:pt>
                <c:pt idx="13">
                  <c:v>5.02437106918239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0EB-4956-BEB8-4E000E408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8868296"/>
        <c:axId val="1641501079"/>
      </c:barChart>
      <c:catAx>
        <c:axId val="1248868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41501079"/>
        <c:crosses val="autoZero"/>
        <c:auto val="1"/>
        <c:lblAlgn val="ctr"/>
        <c:lblOffset val="100"/>
        <c:noMultiLvlLbl val="1"/>
      </c:catAx>
      <c:valAx>
        <c:axId val="16415010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4886829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YIELD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'Aerospace &amp; Defense'!$M$171</c:f>
              <c:strCache>
                <c:ptCount val="1"/>
                <c:pt idx="0">
                  <c:v>YIELD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3C8-484D-A00B-F75721D05897}"/>
              </c:ext>
            </c:extLst>
          </c:dPt>
          <c:dPt>
            <c:idx val="4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3C8-484D-A00B-F75721D05897}"/>
              </c:ext>
            </c:extLst>
          </c:dPt>
          <c:dPt>
            <c:idx val="9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3C8-484D-A00B-F75721D058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'Aerospace &amp; Defense'!$L$172:$L$185</c:f>
              <c:strCache>
                <c:ptCount val="14"/>
                <c:pt idx="0">
                  <c:v>HAL</c:v>
                </c:pt>
                <c:pt idx="1">
                  <c:v>BEL</c:v>
                </c:pt>
                <c:pt idx="2">
                  <c:v>BDL</c:v>
                </c:pt>
                <c:pt idx="3">
                  <c:v>DATAPATTNS</c:v>
                </c:pt>
                <c:pt idx="4">
                  <c:v>GRSE</c:v>
                </c:pt>
                <c:pt idx="5">
                  <c:v>MIDHANI</c:v>
                </c:pt>
                <c:pt idx="6">
                  <c:v>ZENTEC</c:v>
                </c:pt>
                <c:pt idx="7">
                  <c:v>MTARTECH</c:v>
                </c:pt>
                <c:pt idx="8">
                  <c:v>ASTRAMICRO</c:v>
                </c:pt>
                <c:pt idx="9">
                  <c:v>APOLLO</c:v>
                </c:pt>
                <c:pt idx="10">
                  <c:v>DCXINDIA</c:v>
                </c:pt>
                <c:pt idx="11">
                  <c:v>IDEAFORGE*</c:v>
                </c:pt>
                <c:pt idx="12">
                  <c:v>PARAS</c:v>
                </c:pt>
                <c:pt idx="13">
                  <c:v>ROSSELLIND</c:v>
                </c:pt>
              </c:strCache>
            </c:strRef>
          </c:cat>
          <c:val>
            <c:numRef>
              <c:f>'Aerospace &amp; Defense'!$M$172:$M$185</c:f>
              <c:numCache>
                <c:formatCode>0.0%</c:formatCode>
                <c:ptCount val="14"/>
                <c:pt idx="0">
                  <c:v>3.0574138791812283E-2</c:v>
                </c:pt>
                <c:pt idx="1">
                  <c:v>2.5083354706334958E-2</c:v>
                </c:pt>
                <c:pt idx="2">
                  <c:v>1.4872103348514796E-2</c:v>
                </c:pt>
                <c:pt idx="3">
                  <c:v>1.350844277673546E-2</c:v>
                </c:pt>
                <c:pt idx="4">
                  <c:v>3.2220858895705522E-2</c:v>
                </c:pt>
                <c:pt idx="5">
                  <c:v>1.3506787330316742E-2</c:v>
                </c:pt>
                <c:pt idx="6">
                  <c:v>1.6823938415694066E-2</c:v>
                </c:pt>
                <c:pt idx="7">
                  <c:v>1.3274797231936902E-2</c:v>
                </c:pt>
                <c:pt idx="8">
                  <c:v>1.3365602310875165E-2</c:v>
                </c:pt>
                <c:pt idx="9">
                  <c:v>5.5705996131528044E-3</c:v>
                </c:pt>
                <c:pt idx="10">
                  <c:v>2.7000934288383679E-2</c:v>
                </c:pt>
                <c:pt idx="11">
                  <c:v>9.6712328767123278E-3</c:v>
                </c:pt>
                <c:pt idx="12">
                  <c:v>1.1323796091073946E-2</c:v>
                </c:pt>
                <c:pt idx="13">
                  <c:v>7.4917853231106241E-3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73C8-484D-A00B-F75721D05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050177"/>
        <c:axId val="347260298"/>
      </c:barChart>
      <c:catAx>
        <c:axId val="1350501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47260298"/>
        <c:crosses val="autoZero"/>
        <c:auto val="1"/>
        <c:lblAlgn val="ctr"/>
        <c:lblOffset val="100"/>
        <c:noMultiLvlLbl val="1"/>
      </c:catAx>
      <c:valAx>
        <c:axId val="3472602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YIELD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505017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SALES_23: 55k cr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'Aerospace &amp; Defense'!$G$26</c:f>
              <c:strCache>
                <c:ptCount val="1"/>
                <c:pt idx="0">
                  <c:v>SALES_23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B231-4F19-82D2-E72271992149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B231-4F19-82D2-E72271992149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B231-4F19-82D2-E72271992149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B231-4F19-82D2-E72271992149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B231-4F19-82D2-E72271992149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B231-4F19-82D2-E72271992149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B231-4F19-82D2-E72271992149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B231-4F19-82D2-E72271992149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B231-4F19-82D2-E72271992149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</c:spPr>
            <c:extLst>
              <c:ext xmlns:c16="http://schemas.microsoft.com/office/drawing/2014/chart" uri="{C3380CC4-5D6E-409C-BE32-E72D297353CC}">
                <c16:uniqueId val="{00000013-B231-4F19-82D2-E72271992149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</c:spPr>
            <c:extLst>
              <c:ext xmlns:c16="http://schemas.microsoft.com/office/drawing/2014/chart" uri="{C3380CC4-5D6E-409C-BE32-E72D297353CC}">
                <c16:uniqueId val="{00000015-B231-4F19-82D2-E72271992149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</c:spPr>
            <c:extLst>
              <c:ext xmlns:c16="http://schemas.microsoft.com/office/drawing/2014/chart" uri="{C3380CC4-5D6E-409C-BE32-E72D297353CC}">
                <c16:uniqueId val="{00000017-B231-4F19-82D2-E72271992149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</c:spPr>
            <c:extLst>
              <c:ext xmlns:c16="http://schemas.microsoft.com/office/drawing/2014/chart" uri="{C3380CC4-5D6E-409C-BE32-E72D297353CC}">
                <c16:uniqueId val="{00000019-B231-4F19-82D2-E72271992149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</c:spPr>
            <c:extLst>
              <c:ext xmlns:c16="http://schemas.microsoft.com/office/drawing/2014/chart" uri="{C3380CC4-5D6E-409C-BE32-E72D297353CC}">
                <c16:uniqueId val="{0000001B-B231-4F19-82D2-E7227199214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'Aerospace &amp; Defense'!$F$27:$F$40</c:f>
              <c:strCache>
                <c:ptCount val="14"/>
                <c:pt idx="0">
                  <c:v>HAL</c:v>
                </c:pt>
                <c:pt idx="1">
                  <c:v>BEL</c:v>
                </c:pt>
                <c:pt idx="2">
                  <c:v>BDL</c:v>
                </c:pt>
                <c:pt idx="3">
                  <c:v>DATAPATTNS</c:v>
                </c:pt>
                <c:pt idx="4">
                  <c:v>GRSE</c:v>
                </c:pt>
                <c:pt idx="5">
                  <c:v>MIDHANI</c:v>
                </c:pt>
                <c:pt idx="6">
                  <c:v>ZENTEC</c:v>
                </c:pt>
                <c:pt idx="7">
                  <c:v>MTARTECH</c:v>
                </c:pt>
                <c:pt idx="8">
                  <c:v>ASTRAMICRO</c:v>
                </c:pt>
                <c:pt idx="9">
                  <c:v>APOLLO</c:v>
                </c:pt>
                <c:pt idx="10">
                  <c:v>DCXINDIA</c:v>
                </c:pt>
                <c:pt idx="11">
                  <c:v>IDEAFORGE*</c:v>
                </c:pt>
                <c:pt idx="12">
                  <c:v>PARAS</c:v>
                </c:pt>
                <c:pt idx="13">
                  <c:v>ROSSELLIND</c:v>
                </c:pt>
              </c:strCache>
            </c:strRef>
          </c:cat>
          <c:val>
            <c:numRef>
              <c:f>'Aerospace &amp; Defense'!$G$27:$G$40</c:f>
              <c:numCache>
                <c:formatCode>General</c:formatCode>
                <c:ptCount val="14"/>
                <c:pt idx="0">
                  <c:v>26927</c:v>
                </c:pt>
                <c:pt idx="1">
                  <c:v>17734</c:v>
                </c:pt>
                <c:pt idx="2">
                  <c:v>2489</c:v>
                </c:pt>
                <c:pt idx="3">
                  <c:v>453</c:v>
                </c:pt>
                <c:pt idx="4">
                  <c:v>2561</c:v>
                </c:pt>
                <c:pt idx="5">
                  <c:v>872</c:v>
                </c:pt>
                <c:pt idx="6">
                  <c:v>219</c:v>
                </c:pt>
                <c:pt idx="7">
                  <c:v>574</c:v>
                </c:pt>
                <c:pt idx="8">
                  <c:v>815</c:v>
                </c:pt>
                <c:pt idx="9">
                  <c:v>297</c:v>
                </c:pt>
                <c:pt idx="10">
                  <c:v>1252</c:v>
                </c:pt>
                <c:pt idx="11">
                  <c:v>186</c:v>
                </c:pt>
                <c:pt idx="12">
                  <c:v>222</c:v>
                </c:pt>
                <c:pt idx="13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231-4F19-82D2-E72271992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PROFIT_23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'Aerospace &amp; Defense'!$K$26</c:f>
              <c:strCache>
                <c:ptCount val="1"/>
                <c:pt idx="0">
                  <c:v>PROFIT_23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B558-4359-A0CD-10D87F90BF72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B558-4359-A0CD-10D87F90BF72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B558-4359-A0CD-10D87F90BF72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B558-4359-A0CD-10D87F90BF72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B558-4359-A0CD-10D87F90BF72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B558-4359-A0CD-10D87F90BF72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B558-4359-A0CD-10D87F90BF72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B558-4359-A0CD-10D87F90BF72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B558-4359-A0CD-10D87F90BF72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</c:spPr>
            <c:extLst>
              <c:ext xmlns:c16="http://schemas.microsoft.com/office/drawing/2014/chart" uri="{C3380CC4-5D6E-409C-BE32-E72D297353CC}">
                <c16:uniqueId val="{00000013-B558-4359-A0CD-10D87F90BF72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</c:spPr>
            <c:extLst>
              <c:ext xmlns:c16="http://schemas.microsoft.com/office/drawing/2014/chart" uri="{C3380CC4-5D6E-409C-BE32-E72D297353CC}">
                <c16:uniqueId val="{00000015-B558-4359-A0CD-10D87F90BF72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</c:spPr>
            <c:extLst>
              <c:ext xmlns:c16="http://schemas.microsoft.com/office/drawing/2014/chart" uri="{C3380CC4-5D6E-409C-BE32-E72D297353CC}">
                <c16:uniqueId val="{00000017-B558-4359-A0CD-10D87F90BF72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</c:spPr>
            <c:extLst>
              <c:ext xmlns:c16="http://schemas.microsoft.com/office/drawing/2014/chart" uri="{C3380CC4-5D6E-409C-BE32-E72D297353CC}">
                <c16:uniqueId val="{00000019-B558-4359-A0CD-10D87F90BF72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</c:spPr>
            <c:extLst>
              <c:ext xmlns:c16="http://schemas.microsoft.com/office/drawing/2014/chart" uri="{C3380CC4-5D6E-409C-BE32-E72D297353CC}">
                <c16:uniqueId val="{0000001B-B558-4359-A0CD-10D87F90BF72}"/>
              </c:ext>
            </c:extLst>
          </c:dPt>
          <c:cat>
            <c:strRef>
              <c:f>'Aerospace &amp; Defense'!$J$27:$J$40</c:f>
              <c:strCache>
                <c:ptCount val="14"/>
                <c:pt idx="0">
                  <c:v>HAL</c:v>
                </c:pt>
                <c:pt idx="1">
                  <c:v>BEL</c:v>
                </c:pt>
                <c:pt idx="2">
                  <c:v>BDL</c:v>
                </c:pt>
                <c:pt idx="3">
                  <c:v>DATAPATTNS</c:v>
                </c:pt>
                <c:pt idx="4">
                  <c:v>GRSE</c:v>
                </c:pt>
                <c:pt idx="5">
                  <c:v>MIDHANI</c:v>
                </c:pt>
                <c:pt idx="6">
                  <c:v>ZENTEC</c:v>
                </c:pt>
                <c:pt idx="7">
                  <c:v>MTARTECH</c:v>
                </c:pt>
                <c:pt idx="8">
                  <c:v>ASTRAMICRO</c:v>
                </c:pt>
                <c:pt idx="9">
                  <c:v>APOLLO</c:v>
                </c:pt>
                <c:pt idx="10">
                  <c:v>DCXINDIA</c:v>
                </c:pt>
                <c:pt idx="11">
                  <c:v>IDEAFORGE*</c:v>
                </c:pt>
                <c:pt idx="12">
                  <c:v>PARAS</c:v>
                </c:pt>
                <c:pt idx="13">
                  <c:v>ROSSELLIND</c:v>
                </c:pt>
              </c:strCache>
            </c:strRef>
          </c:cat>
          <c:val>
            <c:numRef>
              <c:f>'Aerospace &amp; Defense'!$K$27:$K$40</c:f>
              <c:numCache>
                <c:formatCode>General</c:formatCode>
                <c:ptCount val="14"/>
                <c:pt idx="0">
                  <c:v>5828</c:v>
                </c:pt>
                <c:pt idx="1">
                  <c:v>2940</c:v>
                </c:pt>
                <c:pt idx="2">
                  <c:v>352</c:v>
                </c:pt>
                <c:pt idx="3">
                  <c:v>124</c:v>
                </c:pt>
                <c:pt idx="4">
                  <c:v>228</c:v>
                </c:pt>
                <c:pt idx="5">
                  <c:v>156</c:v>
                </c:pt>
                <c:pt idx="6">
                  <c:v>50</c:v>
                </c:pt>
                <c:pt idx="7">
                  <c:v>103</c:v>
                </c:pt>
                <c:pt idx="8">
                  <c:v>70</c:v>
                </c:pt>
                <c:pt idx="9">
                  <c:v>19</c:v>
                </c:pt>
                <c:pt idx="10">
                  <c:v>72</c:v>
                </c:pt>
                <c:pt idx="11">
                  <c:v>32</c:v>
                </c:pt>
                <c:pt idx="12">
                  <c:v>36</c:v>
                </c:pt>
                <c:pt idx="1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558-4359-A0CD-10D87F90B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SALES_5Y_GR: 8.13% GROWTH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'Aerospace &amp; Defense'!$C$66</c:f>
              <c:strCache>
                <c:ptCount val="1"/>
                <c:pt idx="0">
                  <c:v>SALES_5Y_GR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515-4956-8B00-66F0475D04FB}"/>
              </c:ext>
            </c:extLst>
          </c:dPt>
          <c:dPt>
            <c:idx val="3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515-4956-8B00-66F0475D04FB}"/>
              </c:ext>
            </c:extLst>
          </c:dPt>
          <c:dPt>
            <c:idx val="6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515-4956-8B00-66F0475D04FB}"/>
              </c:ext>
            </c:extLst>
          </c:dPt>
          <c:dPt>
            <c:idx val="11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515-4956-8B00-66F0475D04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'Aerospace &amp; Defense'!$B$67:$B$80</c:f>
              <c:strCache>
                <c:ptCount val="14"/>
                <c:pt idx="0">
                  <c:v>HAL</c:v>
                </c:pt>
                <c:pt idx="1">
                  <c:v>BEL</c:v>
                </c:pt>
                <c:pt idx="2">
                  <c:v>BDL</c:v>
                </c:pt>
                <c:pt idx="3">
                  <c:v>DATAPATTNS</c:v>
                </c:pt>
                <c:pt idx="4">
                  <c:v>GRSE</c:v>
                </c:pt>
                <c:pt idx="5">
                  <c:v>MIDHANI</c:v>
                </c:pt>
                <c:pt idx="6">
                  <c:v>ZENTEC</c:v>
                </c:pt>
                <c:pt idx="7">
                  <c:v>MTARTECH</c:v>
                </c:pt>
                <c:pt idx="8">
                  <c:v>ASTRAMICRO</c:v>
                </c:pt>
                <c:pt idx="9">
                  <c:v>APOLLO</c:v>
                </c:pt>
                <c:pt idx="10">
                  <c:v>DCXINDIA</c:v>
                </c:pt>
                <c:pt idx="11">
                  <c:v>IDEAFORGE*</c:v>
                </c:pt>
                <c:pt idx="12">
                  <c:v>PARAS</c:v>
                </c:pt>
                <c:pt idx="13">
                  <c:v>ROSSELLIND</c:v>
                </c:pt>
              </c:strCache>
            </c:strRef>
          </c:cat>
          <c:val>
            <c:numRef>
              <c:f>'Aerospace &amp; Defense'!$C$67:$C$80</c:f>
              <c:numCache>
                <c:formatCode>0.0%</c:formatCode>
                <c:ptCount val="14"/>
                <c:pt idx="0">
                  <c:v>7.6522227808349497E-2</c:v>
                </c:pt>
                <c:pt idx="1">
                  <c:v>0.11083013737953062</c:v>
                </c:pt>
                <c:pt idx="2">
                  <c:v>-0.11396655562474201</c:v>
                </c:pt>
                <c:pt idx="3">
                  <c:v>0.51371693346807001</c:v>
                </c:pt>
                <c:pt idx="4">
                  <c:v>0.13797157087261258</c:v>
                </c:pt>
                <c:pt idx="5">
                  <c:v>5.5379006914187956E-2</c:v>
                </c:pt>
                <c:pt idx="6">
                  <c:v>0.41213397362029625</c:v>
                </c:pt>
                <c:pt idx="7">
                  <c:v>0.29271549247162909</c:v>
                </c:pt>
                <c:pt idx="8">
                  <c:v>0.17364108625028796</c:v>
                </c:pt>
                <c:pt idx="9">
                  <c:v>6.1858758794934632E-2</c:v>
                </c:pt>
                <c:pt idx="10">
                  <c:v>0.33075042894076834</c:v>
                </c:pt>
                <c:pt idx="11">
                  <c:v>1.3684359044831225</c:v>
                </c:pt>
                <c:pt idx="12">
                  <c:v>9.1951595988549517E-2</c:v>
                </c:pt>
                <c:pt idx="13">
                  <c:v>0.12322720670278753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1515-4956-8B00-66F0475D0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1261227"/>
        <c:axId val="799181403"/>
      </c:barChart>
      <c:catAx>
        <c:axId val="19112612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99181403"/>
        <c:crosses val="autoZero"/>
        <c:auto val="1"/>
        <c:lblAlgn val="ctr"/>
        <c:lblOffset val="100"/>
        <c:noMultiLvlLbl val="1"/>
      </c:catAx>
      <c:valAx>
        <c:axId val="7991814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SALES_5Y_GR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1126122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CY_SALES GR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'Aerospace &amp; Defense'!$G$66</c:f>
              <c:strCache>
                <c:ptCount val="1"/>
                <c:pt idx="0">
                  <c:v>CY_SALES GR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6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B90-4FE2-AC76-258B10DBA767}"/>
              </c:ext>
            </c:extLst>
          </c:dPt>
          <c:dPt>
            <c:idx val="11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B90-4FE2-AC76-258B10DBA7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'Aerospace &amp; Defense'!$F$67:$F$80</c:f>
              <c:strCache>
                <c:ptCount val="14"/>
                <c:pt idx="0">
                  <c:v>HAL</c:v>
                </c:pt>
                <c:pt idx="1">
                  <c:v>BEL</c:v>
                </c:pt>
                <c:pt idx="2">
                  <c:v>BDL</c:v>
                </c:pt>
                <c:pt idx="3">
                  <c:v>DATAPATTNS</c:v>
                </c:pt>
                <c:pt idx="4">
                  <c:v>GRSE</c:v>
                </c:pt>
                <c:pt idx="5">
                  <c:v>MIDHANI</c:v>
                </c:pt>
                <c:pt idx="6">
                  <c:v>ZENTEC</c:v>
                </c:pt>
                <c:pt idx="7">
                  <c:v>MTARTECH</c:v>
                </c:pt>
                <c:pt idx="8">
                  <c:v>ASTRAMICRO</c:v>
                </c:pt>
                <c:pt idx="9">
                  <c:v>APOLLO</c:v>
                </c:pt>
                <c:pt idx="10">
                  <c:v>DCXINDIA</c:v>
                </c:pt>
                <c:pt idx="11">
                  <c:v>IDEAFORGE*</c:v>
                </c:pt>
                <c:pt idx="12">
                  <c:v>PARAS</c:v>
                </c:pt>
                <c:pt idx="13">
                  <c:v>ROSSELLIND</c:v>
                </c:pt>
              </c:strCache>
            </c:strRef>
          </c:cat>
          <c:val>
            <c:numRef>
              <c:f>'Aerospace &amp; Defense'!$G$67:$G$80</c:f>
              <c:numCache>
                <c:formatCode>0.0%</c:formatCode>
                <c:ptCount val="14"/>
                <c:pt idx="0">
                  <c:v>8.1762749445676297E-2</c:v>
                </c:pt>
                <c:pt idx="1">
                  <c:v>4.3218806509945695E-2</c:v>
                </c:pt>
                <c:pt idx="2">
                  <c:v>-0.10167464114832536</c:v>
                </c:pt>
                <c:pt idx="3">
                  <c:v>0.25746268656716409</c:v>
                </c:pt>
                <c:pt idx="4">
                  <c:v>0.31479591836734699</c:v>
                </c:pt>
                <c:pt idx="5">
                  <c:v>0.29013539651837528</c:v>
                </c:pt>
                <c:pt idx="6">
                  <c:v>1.4227642276422765</c:v>
                </c:pt>
                <c:pt idx="7">
                  <c:v>0.15915119363395225</c:v>
                </c:pt>
                <c:pt idx="8">
                  <c:v>-5.3859964093356805E-3</c:v>
                </c:pt>
                <c:pt idx="9">
                  <c:v>0.23560209424083767</c:v>
                </c:pt>
                <c:pt idx="10">
                  <c:v>-8.8829071332436116E-2</c:v>
                </c:pt>
                <c:pt idx="11">
                  <c:v>0.44217687074829937</c:v>
                </c:pt>
                <c:pt idx="12">
                  <c:v>0.10828025477707004</c:v>
                </c:pt>
                <c:pt idx="13">
                  <c:v>4.2402826855123754E-2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1B90-4FE2-AC76-258B10DBA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6290724"/>
        <c:axId val="592132413"/>
      </c:barChart>
      <c:catAx>
        <c:axId val="7162907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92132413"/>
        <c:crosses val="autoZero"/>
        <c:auto val="1"/>
        <c:lblAlgn val="ctr"/>
        <c:lblOffset val="100"/>
        <c:noMultiLvlLbl val="1"/>
      </c:catAx>
      <c:valAx>
        <c:axId val="5921324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CY_SALES GR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1629072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MARGIN_23 and CY_MARGIN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'Aerospace &amp; Defense'!$C$101</c:f>
              <c:strCache>
                <c:ptCount val="1"/>
                <c:pt idx="0">
                  <c:v>MARGIN_23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'Aerospace &amp; Defense'!$B$102:$B$115</c:f>
              <c:strCache>
                <c:ptCount val="14"/>
                <c:pt idx="0">
                  <c:v>HAL</c:v>
                </c:pt>
                <c:pt idx="1">
                  <c:v>BEL</c:v>
                </c:pt>
                <c:pt idx="2">
                  <c:v>BDL</c:v>
                </c:pt>
                <c:pt idx="3">
                  <c:v>DATAPATTNS</c:v>
                </c:pt>
                <c:pt idx="4">
                  <c:v>GRSE</c:v>
                </c:pt>
                <c:pt idx="5">
                  <c:v>MIDHANI</c:v>
                </c:pt>
                <c:pt idx="6">
                  <c:v>ZENTEC</c:v>
                </c:pt>
                <c:pt idx="7">
                  <c:v>MTARTECH</c:v>
                </c:pt>
                <c:pt idx="8">
                  <c:v>ASTRAMICRO</c:v>
                </c:pt>
                <c:pt idx="9">
                  <c:v>APOLLO</c:v>
                </c:pt>
                <c:pt idx="10">
                  <c:v>DCXINDIA</c:v>
                </c:pt>
                <c:pt idx="11">
                  <c:v>IDEAFORGE*</c:v>
                </c:pt>
                <c:pt idx="12">
                  <c:v>PARAS</c:v>
                </c:pt>
                <c:pt idx="13">
                  <c:v>ROSSELLIND</c:v>
                </c:pt>
              </c:strCache>
            </c:strRef>
          </c:cat>
          <c:val>
            <c:numRef>
              <c:f>'Aerospace &amp; Defense'!$C$102:$C$115</c:f>
              <c:numCache>
                <c:formatCode>0.0%</c:formatCode>
                <c:ptCount val="14"/>
                <c:pt idx="0">
                  <c:v>0.21643703346083856</c:v>
                </c:pt>
                <c:pt idx="1">
                  <c:v>0.16578324123153265</c:v>
                </c:pt>
                <c:pt idx="2">
                  <c:v>0.14142225793491361</c:v>
                </c:pt>
                <c:pt idx="3">
                  <c:v>0.27373068432671083</c:v>
                </c:pt>
                <c:pt idx="4">
                  <c:v>8.9027723545490045E-2</c:v>
                </c:pt>
                <c:pt idx="5">
                  <c:v>0.17889908256880735</c:v>
                </c:pt>
                <c:pt idx="6">
                  <c:v>0.22831050228310501</c:v>
                </c:pt>
                <c:pt idx="7">
                  <c:v>0.17944250871080139</c:v>
                </c:pt>
                <c:pt idx="8">
                  <c:v>8.5889570552147243E-2</c:v>
                </c:pt>
                <c:pt idx="9">
                  <c:v>6.3973063973063973E-2</c:v>
                </c:pt>
                <c:pt idx="10">
                  <c:v>5.7507987220447282E-2</c:v>
                </c:pt>
                <c:pt idx="11">
                  <c:v>0.17204301075268819</c:v>
                </c:pt>
                <c:pt idx="12">
                  <c:v>0.16216216216216217</c:v>
                </c:pt>
                <c:pt idx="13">
                  <c:v>7.909604519774012E-2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1EB-4845-BAB6-ABAB6A26AEC7}"/>
            </c:ext>
          </c:extLst>
        </c:ser>
        <c:ser>
          <c:idx val="1"/>
          <c:order val="1"/>
          <c:tx>
            <c:strRef>
              <c:f>'Aerospace &amp; Defense'!$D$101</c:f>
              <c:strCache>
                <c:ptCount val="1"/>
                <c:pt idx="0">
                  <c:v>CY_MARGIN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'Aerospace &amp; Defense'!$B$102:$B$115</c:f>
              <c:strCache>
                <c:ptCount val="14"/>
                <c:pt idx="0">
                  <c:v>HAL</c:v>
                </c:pt>
                <c:pt idx="1">
                  <c:v>BEL</c:v>
                </c:pt>
                <c:pt idx="2">
                  <c:v>BDL</c:v>
                </c:pt>
                <c:pt idx="3">
                  <c:v>DATAPATTNS</c:v>
                </c:pt>
                <c:pt idx="4">
                  <c:v>GRSE</c:v>
                </c:pt>
                <c:pt idx="5">
                  <c:v>MIDHANI</c:v>
                </c:pt>
                <c:pt idx="6">
                  <c:v>ZENTEC</c:v>
                </c:pt>
                <c:pt idx="7">
                  <c:v>MTARTECH</c:v>
                </c:pt>
                <c:pt idx="8">
                  <c:v>ASTRAMICRO</c:v>
                </c:pt>
                <c:pt idx="9">
                  <c:v>APOLLO</c:v>
                </c:pt>
                <c:pt idx="10">
                  <c:v>DCXINDIA</c:v>
                </c:pt>
                <c:pt idx="11">
                  <c:v>IDEAFORGE*</c:v>
                </c:pt>
                <c:pt idx="12">
                  <c:v>PARAS</c:v>
                </c:pt>
                <c:pt idx="13">
                  <c:v>ROSSELLIND</c:v>
                </c:pt>
              </c:strCache>
            </c:strRef>
          </c:cat>
          <c:val>
            <c:numRef>
              <c:f>'Aerospace &amp; Defense'!$D$102:$D$115</c:f>
              <c:numCache>
                <c:formatCode>0.0%</c:formatCode>
                <c:ptCount val="14"/>
                <c:pt idx="0">
                  <c:v>0.21214450422751729</c:v>
                </c:pt>
                <c:pt idx="1">
                  <c:v>0.18963425203674814</c:v>
                </c:pt>
                <c:pt idx="2">
                  <c:v>0.21504660452729693</c:v>
                </c:pt>
                <c:pt idx="3">
                  <c:v>0.32640949554896143</c:v>
                </c:pt>
                <c:pt idx="4">
                  <c:v>9.5071788901823828E-2</c:v>
                </c:pt>
                <c:pt idx="5">
                  <c:v>6.7466266866566718E-2</c:v>
                </c:pt>
                <c:pt idx="6">
                  <c:v>0.44966442953020136</c:v>
                </c:pt>
                <c:pt idx="7">
                  <c:v>0.11670480549199085</c:v>
                </c:pt>
                <c:pt idx="8">
                  <c:v>0.11913357400722022</c:v>
                </c:pt>
                <c:pt idx="9">
                  <c:v>7.6271186440677971E-2</c:v>
                </c:pt>
                <c:pt idx="10">
                  <c:v>6.2038404726735601E-2</c:v>
                </c:pt>
                <c:pt idx="11">
                  <c:v>0.1650943396226415</c:v>
                </c:pt>
                <c:pt idx="12">
                  <c:v>0.11494252873563218</c:v>
                </c:pt>
                <c:pt idx="13">
                  <c:v>0.10847457627118644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1EB-4845-BAB6-ABAB6A26A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155868"/>
        <c:axId val="2089885080"/>
      </c:barChart>
      <c:catAx>
        <c:axId val="1291558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89885080"/>
        <c:crosses val="autoZero"/>
        <c:auto val="1"/>
        <c:lblAlgn val="ctr"/>
        <c:lblOffset val="100"/>
        <c:noMultiLvlLbl val="1"/>
      </c:catAx>
      <c:valAx>
        <c:axId val="20898850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915586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CUR. RATIO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'Aerospace &amp; Defense'!$H$101</c:f>
              <c:strCache>
                <c:ptCount val="1"/>
                <c:pt idx="0">
                  <c:v>CUR. 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3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89B-4E66-9A88-0CE2F393C655}"/>
              </c:ext>
            </c:extLst>
          </c:dPt>
          <c:dPt>
            <c:idx val="4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89B-4E66-9A88-0CE2F393C655}"/>
              </c:ext>
            </c:extLst>
          </c:dPt>
          <c:dPt>
            <c:idx val="11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89B-4E66-9A88-0CE2F393C655}"/>
              </c:ext>
            </c:extLst>
          </c:dPt>
          <c:dPt>
            <c:idx val="13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89B-4E66-9A88-0CE2F393C6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'Aerospace &amp; Defense'!$G$102:$G$115</c:f>
              <c:strCache>
                <c:ptCount val="14"/>
                <c:pt idx="0">
                  <c:v>HAL</c:v>
                </c:pt>
                <c:pt idx="1">
                  <c:v>BEL</c:v>
                </c:pt>
                <c:pt idx="2">
                  <c:v>BDL</c:v>
                </c:pt>
                <c:pt idx="3">
                  <c:v>DATAPATTNS</c:v>
                </c:pt>
                <c:pt idx="4">
                  <c:v>GRSE</c:v>
                </c:pt>
                <c:pt idx="5">
                  <c:v>MIDHANI</c:v>
                </c:pt>
                <c:pt idx="6">
                  <c:v>ZENTEC</c:v>
                </c:pt>
                <c:pt idx="7">
                  <c:v>MTARTECH</c:v>
                </c:pt>
                <c:pt idx="8">
                  <c:v>ASTRAMICRO</c:v>
                </c:pt>
                <c:pt idx="9">
                  <c:v>APOLLO</c:v>
                </c:pt>
                <c:pt idx="10">
                  <c:v>DCXINDIA</c:v>
                </c:pt>
                <c:pt idx="11">
                  <c:v>IDEAFORGE*</c:v>
                </c:pt>
                <c:pt idx="12">
                  <c:v>PARAS</c:v>
                </c:pt>
                <c:pt idx="13">
                  <c:v>ROSSELLIND</c:v>
                </c:pt>
              </c:strCache>
            </c:strRef>
          </c:cat>
          <c:val>
            <c:numRef>
              <c:f>'Aerospace &amp; Defense'!$H$102:$H$115</c:f>
              <c:numCache>
                <c:formatCode>0.0</c:formatCode>
                <c:ptCount val="14"/>
                <c:pt idx="0">
                  <c:v>1.6349895153774465</c:v>
                </c:pt>
                <c:pt idx="1">
                  <c:v>1.5089890951959917</c:v>
                </c:pt>
                <c:pt idx="2">
                  <c:v>4.4096514745308308</c:v>
                </c:pt>
                <c:pt idx="3">
                  <c:v>5.1040000000000001</c:v>
                </c:pt>
                <c:pt idx="4">
                  <c:v>1.0929967329587806</c:v>
                </c:pt>
                <c:pt idx="5">
                  <c:v>2.0245649948822928</c:v>
                </c:pt>
                <c:pt idx="6">
                  <c:v>1.9469387755102041</c:v>
                </c:pt>
                <c:pt idx="7">
                  <c:v>2.2828282828282829</c:v>
                </c:pt>
                <c:pt idx="8">
                  <c:v>3.75390625</c:v>
                </c:pt>
                <c:pt idx="9">
                  <c:v>1.9647435897435896</c:v>
                </c:pt>
                <c:pt idx="10">
                  <c:v>2.110891089108911</c:v>
                </c:pt>
                <c:pt idx="11">
                  <c:v>9.296875</c:v>
                </c:pt>
                <c:pt idx="12">
                  <c:v>2.9327731092436973</c:v>
                </c:pt>
                <c:pt idx="13">
                  <c:v>1.1704545454545454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C89B-4E66-9A88-0CE2F393C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674597"/>
        <c:axId val="1125521514"/>
      </c:barChart>
      <c:catAx>
        <c:axId val="4936745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25521514"/>
        <c:crosses val="autoZero"/>
        <c:auto val="1"/>
        <c:lblAlgn val="ctr"/>
        <c:lblOffset val="100"/>
        <c:noMultiLvlLbl val="1"/>
      </c:catAx>
      <c:valAx>
        <c:axId val="11255215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CUR. RATIO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9367459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TR.DAYS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'Aerospace &amp; Defense'!$L$101</c:f>
              <c:strCache>
                <c:ptCount val="1"/>
                <c:pt idx="0">
                  <c:v>TR.DAYS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3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DAC-4A24-8AD4-933D84B32DD1}"/>
              </c:ext>
            </c:extLst>
          </c:dPt>
          <c:dPt>
            <c:idx val="4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DAC-4A24-8AD4-933D84B32DD1}"/>
              </c:ext>
            </c:extLst>
          </c:dPt>
          <c:dPt>
            <c:idx val="11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DAC-4A24-8AD4-933D84B32DD1}"/>
              </c:ext>
            </c:extLst>
          </c:dPt>
          <c:dPt>
            <c:idx val="1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DAC-4A24-8AD4-933D84B32D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'Aerospace &amp; Defense'!$K$102:$K$115</c:f>
              <c:strCache>
                <c:ptCount val="14"/>
                <c:pt idx="0">
                  <c:v>HAL</c:v>
                </c:pt>
                <c:pt idx="1">
                  <c:v>BEL</c:v>
                </c:pt>
                <c:pt idx="2">
                  <c:v>BDL</c:v>
                </c:pt>
                <c:pt idx="3">
                  <c:v>DATAPATTNS</c:v>
                </c:pt>
                <c:pt idx="4">
                  <c:v>GRSE</c:v>
                </c:pt>
                <c:pt idx="5">
                  <c:v>MIDHANI</c:v>
                </c:pt>
                <c:pt idx="6">
                  <c:v>ZENTEC</c:v>
                </c:pt>
                <c:pt idx="7">
                  <c:v>MTARTECH</c:v>
                </c:pt>
                <c:pt idx="8">
                  <c:v>ASTRAMICRO</c:v>
                </c:pt>
                <c:pt idx="9">
                  <c:v>APOLLO</c:v>
                </c:pt>
                <c:pt idx="10">
                  <c:v>DCXINDIA</c:v>
                </c:pt>
                <c:pt idx="11">
                  <c:v>IDEAFORGE*</c:v>
                </c:pt>
                <c:pt idx="12">
                  <c:v>PARAS</c:v>
                </c:pt>
                <c:pt idx="13">
                  <c:v>ROSSELLIND</c:v>
                </c:pt>
              </c:strCache>
            </c:strRef>
          </c:cat>
          <c:val>
            <c:numRef>
              <c:f>'Aerospace &amp; Defense'!$L$102:$L$115</c:f>
              <c:numCache>
                <c:formatCode>0</c:formatCode>
                <c:ptCount val="14"/>
                <c:pt idx="0">
                  <c:v>68.819586288855049</c:v>
                </c:pt>
                <c:pt idx="1">
                  <c:v>150.96847862862299</c:v>
                </c:pt>
                <c:pt idx="2">
                  <c:v>81.828043390920044</c:v>
                </c:pt>
                <c:pt idx="3">
                  <c:v>277.98013245033115</c:v>
                </c:pt>
                <c:pt idx="4">
                  <c:v>16.675126903553299</c:v>
                </c:pt>
                <c:pt idx="5">
                  <c:v>136.875</c:v>
                </c:pt>
                <c:pt idx="6">
                  <c:v>215</c:v>
                </c:pt>
                <c:pt idx="7">
                  <c:v>118.27526132404181</c:v>
                </c:pt>
                <c:pt idx="8">
                  <c:v>126.74233128834355</c:v>
                </c:pt>
                <c:pt idx="9">
                  <c:v>180.65656565656568</c:v>
                </c:pt>
                <c:pt idx="10">
                  <c:v>62.096645367412137</c:v>
                </c:pt>
                <c:pt idx="11">
                  <c:v>51.021505376344081</c:v>
                </c:pt>
                <c:pt idx="12">
                  <c:v>287.72522522522524</c:v>
                </c:pt>
                <c:pt idx="13">
                  <c:v>71.144067796610173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2DAC-4A24-8AD4-933D84B32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1004321"/>
        <c:axId val="714721958"/>
      </c:barChart>
      <c:catAx>
        <c:axId val="20210043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14721958"/>
        <c:crosses val="autoZero"/>
        <c:auto val="1"/>
        <c:lblAlgn val="ctr"/>
        <c:lblOffset val="100"/>
        <c:noMultiLvlLbl val="1"/>
      </c:catAx>
      <c:valAx>
        <c:axId val="71472195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TR.DAYS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2100432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DEBT2EQUITY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'Aerospace &amp; Defense'!$C$136</c:f>
              <c:strCache>
                <c:ptCount val="1"/>
                <c:pt idx="0">
                  <c:v>DEBT2EQUITY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0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BED-4801-8049-D69BAF3C835B}"/>
              </c:ext>
            </c:extLst>
          </c:dPt>
          <c:dPt>
            <c:idx val="13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BED-4801-8049-D69BAF3C83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'Aerospace &amp; Defense'!$B$137:$B$150</c:f>
              <c:strCache>
                <c:ptCount val="14"/>
                <c:pt idx="0">
                  <c:v>HAL</c:v>
                </c:pt>
                <c:pt idx="1">
                  <c:v>BEL</c:v>
                </c:pt>
                <c:pt idx="2">
                  <c:v>BDL</c:v>
                </c:pt>
                <c:pt idx="3">
                  <c:v>DATAPATTNS</c:v>
                </c:pt>
                <c:pt idx="4">
                  <c:v>GRSE</c:v>
                </c:pt>
                <c:pt idx="5">
                  <c:v>MIDHANI</c:v>
                </c:pt>
                <c:pt idx="6">
                  <c:v>ZENTEC</c:v>
                </c:pt>
                <c:pt idx="7">
                  <c:v>MTARTECH</c:v>
                </c:pt>
                <c:pt idx="8">
                  <c:v>ASTRAMICRO</c:v>
                </c:pt>
                <c:pt idx="9">
                  <c:v>APOLLO</c:v>
                </c:pt>
                <c:pt idx="10">
                  <c:v>DCXINDIA</c:v>
                </c:pt>
                <c:pt idx="11">
                  <c:v>IDEAFORGE*</c:v>
                </c:pt>
                <c:pt idx="12">
                  <c:v>PARAS</c:v>
                </c:pt>
                <c:pt idx="13">
                  <c:v>ROSSELLIND</c:v>
                </c:pt>
              </c:strCache>
            </c:strRef>
          </c:cat>
          <c:val>
            <c:numRef>
              <c:f>'Aerospace &amp; Defense'!$C$137:$C$150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0.29742033383915023</c:v>
                </c:pt>
                <c:pt idx="6">
                  <c:v>1.1959287531806615E-3</c:v>
                </c:pt>
                <c:pt idx="7">
                  <c:v>0.37670196671709533</c:v>
                </c:pt>
                <c:pt idx="8">
                  <c:v>7.8250863060989648E-2</c:v>
                </c:pt>
                <c:pt idx="9">
                  <c:v>0.39578454332552693</c:v>
                </c:pt>
                <c:pt idx="10">
                  <c:v>0.73265651438240276</c:v>
                </c:pt>
                <c:pt idx="11">
                  <c:v>0</c:v>
                </c:pt>
                <c:pt idx="12">
                  <c:v>9.3457943925233641E-2</c:v>
                </c:pt>
                <c:pt idx="13">
                  <c:v>0.63987138263665599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3BED-4801-8049-D69BAF3C8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974348"/>
        <c:axId val="818184175"/>
      </c:barChart>
      <c:catAx>
        <c:axId val="2089743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18184175"/>
        <c:crosses val="autoZero"/>
        <c:auto val="1"/>
        <c:lblAlgn val="ctr"/>
        <c:lblOffset val="100"/>
        <c:noMultiLvlLbl val="1"/>
      </c:catAx>
      <c:valAx>
        <c:axId val="81818417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DEBT2EQUITY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897434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46</xdr:row>
      <xdr:rowOff>85725</xdr:rowOff>
    </xdr:from>
    <xdr:ext cx="4572000" cy="282892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70245E82-28DE-4A04-ADAF-525433882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885825</xdr:colOff>
      <xdr:row>46</xdr:row>
      <xdr:rowOff>85725</xdr:rowOff>
    </xdr:from>
    <xdr:ext cx="4572000" cy="282892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164C8235-FE10-466D-AE9E-890276D0CA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9</xdr:col>
      <xdr:colOff>657225</xdr:colOff>
      <xdr:row>46</xdr:row>
      <xdr:rowOff>85725</xdr:rowOff>
    </xdr:from>
    <xdr:ext cx="4572000" cy="2828925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6090AB51-79B5-44EE-9DF4-FCD6CF08BF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152400</xdr:colOff>
      <xdr:row>82</xdr:row>
      <xdr:rowOff>85725</xdr:rowOff>
    </xdr:from>
    <xdr:ext cx="4629150" cy="2828925"/>
    <xdr:graphicFrame macro="">
      <xdr:nvGraphicFramePr>
        <xdr:cNvPr id="5" name="Chart 4" title="Chart">
          <a:extLst>
            <a:ext uri="{FF2B5EF4-FFF2-40B4-BE49-F238E27FC236}">
              <a16:creationId xmlns:a16="http://schemas.microsoft.com/office/drawing/2014/main" id="{5CD2BA8E-FD66-42EF-AA5A-39B362210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4</xdr:col>
      <xdr:colOff>942975</xdr:colOff>
      <xdr:row>82</xdr:row>
      <xdr:rowOff>85725</xdr:rowOff>
    </xdr:from>
    <xdr:ext cx="4514850" cy="2828925"/>
    <xdr:graphicFrame macro="">
      <xdr:nvGraphicFramePr>
        <xdr:cNvPr id="6" name="Chart 5" title="Chart">
          <a:extLst>
            <a:ext uri="{FF2B5EF4-FFF2-40B4-BE49-F238E27FC236}">
              <a16:creationId xmlns:a16="http://schemas.microsoft.com/office/drawing/2014/main" id="{C6CC2AA8-2313-4BDF-A374-0097DC2FE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0</xdr:col>
      <xdr:colOff>152400</xdr:colOff>
      <xdr:row>117</xdr:row>
      <xdr:rowOff>57150</xdr:rowOff>
    </xdr:from>
    <xdr:ext cx="4629150" cy="2886075"/>
    <xdr:graphicFrame macro="">
      <xdr:nvGraphicFramePr>
        <xdr:cNvPr id="7" name="Chart 6" title="Chart">
          <a:extLst>
            <a:ext uri="{FF2B5EF4-FFF2-40B4-BE49-F238E27FC236}">
              <a16:creationId xmlns:a16="http://schemas.microsoft.com/office/drawing/2014/main" id="{E2D9FC7A-89CB-435B-BF16-637BF53E6F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4</xdr:col>
      <xdr:colOff>942975</xdr:colOff>
      <xdr:row>117</xdr:row>
      <xdr:rowOff>57150</xdr:rowOff>
    </xdr:from>
    <xdr:ext cx="4629150" cy="2886075"/>
    <xdr:graphicFrame macro="">
      <xdr:nvGraphicFramePr>
        <xdr:cNvPr id="8" name="Chart 7" title="Chart">
          <a:extLst>
            <a:ext uri="{FF2B5EF4-FFF2-40B4-BE49-F238E27FC236}">
              <a16:creationId xmlns:a16="http://schemas.microsoft.com/office/drawing/2014/main" id="{50CF22C2-7C23-45AC-898A-1B27465C9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9</xdr:col>
      <xdr:colOff>771525</xdr:colOff>
      <xdr:row>117</xdr:row>
      <xdr:rowOff>57150</xdr:rowOff>
    </xdr:from>
    <xdr:ext cx="4733925" cy="2886075"/>
    <xdr:graphicFrame macro="">
      <xdr:nvGraphicFramePr>
        <xdr:cNvPr id="9" name="Chart 8" title="Chart">
          <a:extLst>
            <a:ext uri="{FF2B5EF4-FFF2-40B4-BE49-F238E27FC236}">
              <a16:creationId xmlns:a16="http://schemas.microsoft.com/office/drawing/2014/main" id="{04313ABA-087C-43D9-BC5D-7DE3D044B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0</xdr:col>
      <xdr:colOff>104775</xdr:colOff>
      <xdr:row>152</xdr:row>
      <xdr:rowOff>85725</xdr:rowOff>
    </xdr:from>
    <xdr:ext cx="4676775" cy="2886075"/>
    <xdr:graphicFrame macro="">
      <xdr:nvGraphicFramePr>
        <xdr:cNvPr id="10" name="Chart 9" title="Chart">
          <a:extLst>
            <a:ext uri="{FF2B5EF4-FFF2-40B4-BE49-F238E27FC236}">
              <a16:creationId xmlns:a16="http://schemas.microsoft.com/office/drawing/2014/main" id="{F52BB9DB-B65B-4A1C-86E2-55C3DA87FC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4</xdr:col>
      <xdr:colOff>942975</xdr:colOff>
      <xdr:row>152</xdr:row>
      <xdr:rowOff>85725</xdr:rowOff>
    </xdr:from>
    <xdr:ext cx="4629150" cy="2886075"/>
    <xdr:graphicFrame macro="">
      <xdr:nvGraphicFramePr>
        <xdr:cNvPr id="11" name="Chart 10" title="Chart">
          <a:extLst>
            <a:ext uri="{FF2B5EF4-FFF2-40B4-BE49-F238E27FC236}">
              <a16:creationId xmlns:a16="http://schemas.microsoft.com/office/drawing/2014/main" id="{794D0F7B-7B3F-42DC-B9B4-116529199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9</xdr:col>
      <xdr:colOff>771525</xdr:colOff>
      <xdr:row>152</xdr:row>
      <xdr:rowOff>85725</xdr:rowOff>
    </xdr:from>
    <xdr:ext cx="4733925" cy="2886075"/>
    <xdr:graphicFrame macro="">
      <xdr:nvGraphicFramePr>
        <xdr:cNvPr id="12" name="Chart 11" title="Chart">
          <a:extLst>
            <a:ext uri="{FF2B5EF4-FFF2-40B4-BE49-F238E27FC236}">
              <a16:creationId xmlns:a16="http://schemas.microsoft.com/office/drawing/2014/main" id="{7CCEF2A3-D867-4397-A250-1740765C5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0</xdr:col>
      <xdr:colOff>57150</xdr:colOff>
      <xdr:row>187</xdr:row>
      <xdr:rowOff>114300</xdr:rowOff>
    </xdr:from>
    <xdr:ext cx="4676775" cy="2886075"/>
    <xdr:graphicFrame macro="">
      <xdr:nvGraphicFramePr>
        <xdr:cNvPr id="13" name="Chart 12" title="Chart">
          <a:extLst>
            <a:ext uri="{FF2B5EF4-FFF2-40B4-BE49-F238E27FC236}">
              <a16:creationId xmlns:a16="http://schemas.microsoft.com/office/drawing/2014/main" id="{2CC4076E-1DB4-47CF-90A8-05457A2C7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4</xdr:col>
      <xdr:colOff>885825</xdr:colOff>
      <xdr:row>187</xdr:row>
      <xdr:rowOff>114300</xdr:rowOff>
    </xdr:from>
    <xdr:ext cx="4629150" cy="2886075"/>
    <xdr:graphicFrame macro="">
      <xdr:nvGraphicFramePr>
        <xdr:cNvPr id="14" name="Chart 13" title="Chart">
          <a:extLst>
            <a:ext uri="{FF2B5EF4-FFF2-40B4-BE49-F238E27FC236}">
              <a16:creationId xmlns:a16="http://schemas.microsoft.com/office/drawing/2014/main" id="{F9CC054D-E0B7-48AB-ABCE-944592621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9</xdr:col>
      <xdr:colOff>714375</xdr:colOff>
      <xdr:row>187</xdr:row>
      <xdr:rowOff>114300</xdr:rowOff>
    </xdr:from>
    <xdr:ext cx="4676775" cy="2886075"/>
    <xdr:graphicFrame macro="">
      <xdr:nvGraphicFramePr>
        <xdr:cNvPr id="15" name="Chart 14" title="Chart">
          <a:extLst>
            <a:ext uri="{FF2B5EF4-FFF2-40B4-BE49-F238E27FC236}">
              <a16:creationId xmlns:a16="http://schemas.microsoft.com/office/drawing/2014/main" id="{53D5B205-3581-447F-A7B6-4F3885FC0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fi\Desktop\Documents\Annual%20Result\FY_24\BEL.xlsx" TargetMode="External"/><Relationship Id="rId1" Type="http://schemas.openxmlformats.org/officeDocument/2006/relationships/externalLinkPath" Target="B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IRVALUE BEL"/>
      <sheetName val="Aerospace &amp; Defense"/>
    </sheetNames>
    <sheetDataSet>
      <sheetData sheetId="0"/>
      <sheetData sheetId="1">
        <row r="26">
          <cell r="C26" t="str">
            <v>MARKETCAP</v>
          </cell>
          <cell r="G26" t="str">
            <v>SALES_23</v>
          </cell>
          <cell r="K26" t="str">
            <v>PROFIT_23</v>
          </cell>
        </row>
        <row r="27">
          <cell r="B27" t="str">
            <v>HAL</v>
          </cell>
          <cell r="C27">
            <v>200672.54698069999</v>
          </cell>
          <cell r="F27" t="str">
            <v>HAL</v>
          </cell>
          <cell r="G27">
            <v>26927</v>
          </cell>
          <cell r="J27" t="str">
            <v>HAL</v>
          </cell>
          <cell r="K27">
            <v>5828</v>
          </cell>
        </row>
        <row r="28">
          <cell r="B28" t="str">
            <v>BEL</v>
          </cell>
          <cell r="C28">
            <v>141444.71819859999</v>
          </cell>
          <cell r="F28" t="str">
            <v>BEL</v>
          </cell>
          <cell r="G28">
            <v>17734</v>
          </cell>
          <cell r="J28" t="str">
            <v>BEL</v>
          </cell>
          <cell r="K28">
            <v>2940</v>
          </cell>
        </row>
        <row r="29">
          <cell r="B29" t="str">
            <v>BDL</v>
          </cell>
          <cell r="C29">
            <v>32089.788454500002</v>
          </cell>
          <cell r="F29" t="str">
            <v>BDL</v>
          </cell>
          <cell r="G29">
            <v>2489</v>
          </cell>
          <cell r="J29" t="str">
            <v>BDL</v>
          </cell>
          <cell r="K29">
            <v>352</v>
          </cell>
        </row>
        <row r="30">
          <cell r="B30" t="str">
            <v>DATAPATTNS</v>
          </cell>
          <cell r="C30">
            <v>12486.098411499999</v>
          </cell>
          <cell r="F30" t="str">
            <v>DATAPATTNS</v>
          </cell>
          <cell r="G30">
            <v>453</v>
          </cell>
          <cell r="J30" t="str">
            <v>DATAPATTNS</v>
          </cell>
          <cell r="K30">
            <v>124</v>
          </cell>
        </row>
        <row r="31">
          <cell r="B31" t="str">
            <v>GRSE</v>
          </cell>
          <cell r="C31">
            <v>9341.1100425000004</v>
          </cell>
          <cell r="F31" t="str">
            <v>GRSE</v>
          </cell>
          <cell r="G31">
            <v>2561</v>
          </cell>
          <cell r="J31" t="str">
            <v>GRSE</v>
          </cell>
          <cell r="K31">
            <v>228</v>
          </cell>
        </row>
        <row r="32">
          <cell r="B32" t="str">
            <v>MIDHANI</v>
          </cell>
          <cell r="C32">
            <v>8269.3141885999994</v>
          </cell>
          <cell r="F32" t="str">
            <v>MIDHANI</v>
          </cell>
          <cell r="G32">
            <v>872</v>
          </cell>
          <cell r="J32" t="str">
            <v>MIDHANI</v>
          </cell>
          <cell r="K32">
            <v>156</v>
          </cell>
        </row>
        <row r="33">
          <cell r="B33" t="str">
            <v>ZENTEC</v>
          </cell>
          <cell r="C33">
            <v>6703.3046823000004</v>
          </cell>
          <cell r="F33" t="str">
            <v>ZENTEC</v>
          </cell>
          <cell r="G33">
            <v>219</v>
          </cell>
          <cell r="J33" t="str">
            <v>ZENTEC</v>
          </cell>
          <cell r="K33">
            <v>50</v>
          </cell>
        </row>
        <row r="34">
          <cell r="B34" t="str">
            <v>MTARTECH</v>
          </cell>
          <cell r="C34">
            <v>6204.2072859999998</v>
          </cell>
          <cell r="F34" t="str">
            <v>MTARTECH</v>
          </cell>
          <cell r="G34">
            <v>574</v>
          </cell>
          <cell r="J34" t="str">
            <v>MTARTECH</v>
          </cell>
          <cell r="K34">
            <v>103</v>
          </cell>
        </row>
        <row r="35">
          <cell r="B35" t="str">
            <v>ASTRAMICRO</v>
          </cell>
          <cell r="C35">
            <v>6106.5264496999998</v>
          </cell>
          <cell r="F35" t="str">
            <v>ASTRAMICRO</v>
          </cell>
          <cell r="G35">
            <v>815</v>
          </cell>
          <cell r="J35" t="str">
            <v>ASTRAMICRO</v>
          </cell>
          <cell r="K35">
            <v>70</v>
          </cell>
        </row>
        <row r="36">
          <cell r="B36" t="str">
            <v>APOLLO</v>
          </cell>
          <cell r="C36">
            <v>3662.1935497999998</v>
          </cell>
          <cell r="F36" t="str">
            <v>APOLLO</v>
          </cell>
          <cell r="G36">
            <v>297</v>
          </cell>
          <cell r="J36" t="str">
            <v>APOLLO</v>
          </cell>
          <cell r="K36">
            <v>19</v>
          </cell>
        </row>
        <row r="37">
          <cell r="B37" t="str">
            <v>DCXINDIA</v>
          </cell>
          <cell r="C37">
            <v>3620.058</v>
          </cell>
          <cell r="F37" t="str">
            <v>DCXINDIA</v>
          </cell>
          <cell r="G37">
            <v>1252</v>
          </cell>
          <cell r="J37" t="str">
            <v>DCXINDIA</v>
          </cell>
          <cell r="K37">
            <v>72</v>
          </cell>
        </row>
        <row r="38">
          <cell r="B38" t="str">
            <v>IDEAFORGE*</v>
          </cell>
          <cell r="C38">
            <v>3119.9063025</v>
          </cell>
          <cell r="F38" t="str">
            <v>IDEAFORGE*</v>
          </cell>
          <cell r="G38">
            <v>186</v>
          </cell>
          <cell r="J38" t="str">
            <v>IDEAFORGE*</v>
          </cell>
          <cell r="K38">
            <v>32</v>
          </cell>
        </row>
        <row r="39">
          <cell r="B39" t="str">
            <v>PARAS</v>
          </cell>
          <cell r="C39">
            <v>2913.3402086999999</v>
          </cell>
          <cell r="F39" t="str">
            <v>PARAS</v>
          </cell>
          <cell r="G39">
            <v>222</v>
          </cell>
          <cell r="J39" t="str">
            <v>PARAS</v>
          </cell>
          <cell r="K39">
            <v>36</v>
          </cell>
        </row>
        <row r="40">
          <cell r="B40" t="str">
            <v>ROSSELLIND</v>
          </cell>
          <cell r="C40">
            <v>1719.1474682999999</v>
          </cell>
          <cell r="F40" t="str">
            <v>ROSSELLIND</v>
          </cell>
          <cell r="G40">
            <v>354</v>
          </cell>
          <cell r="J40" t="str">
            <v>ROSSELLIND</v>
          </cell>
          <cell r="K40">
            <v>28</v>
          </cell>
        </row>
        <row r="41">
          <cell r="B41" t="str">
            <v>NIBE</v>
          </cell>
          <cell r="C41">
            <v>1581.2460000000001</v>
          </cell>
        </row>
        <row r="42">
          <cell r="B42" t="str">
            <v>TANAA</v>
          </cell>
          <cell r="C42">
            <v>1204.1542589999999</v>
          </cell>
        </row>
        <row r="43">
          <cell r="B43" t="str">
            <v>CFF</v>
          </cell>
          <cell r="C43">
            <v>1026.2850699999999</v>
          </cell>
        </row>
        <row r="44">
          <cell r="B44" t="str">
            <v>SIKA</v>
          </cell>
          <cell r="C44">
            <v>711.92538249999996</v>
          </cell>
        </row>
        <row r="66">
          <cell r="C66" t="str">
            <v>SALES_5Y_GR</v>
          </cell>
          <cell r="G66" t="str">
            <v>CY_SALES GR</v>
          </cell>
        </row>
        <row r="67">
          <cell r="B67" t="str">
            <v>HAL</v>
          </cell>
          <cell r="C67">
            <v>7.6522227808349497E-2</v>
          </cell>
          <cell r="F67" t="str">
            <v>HAL</v>
          </cell>
          <cell r="G67">
            <v>8.1762749445676297E-2</v>
          </cell>
        </row>
        <row r="68">
          <cell r="B68" t="str">
            <v>BEL</v>
          </cell>
          <cell r="C68">
            <v>0.11083013737953062</v>
          </cell>
          <cell r="F68" t="str">
            <v>BEL</v>
          </cell>
          <cell r="G68">
            <v>4.3218806509945695E-2</v>
          </cell>
        </row>
        <row r="69">
          <cell r="B69" t="str">
            <v>BDL</v>
          </cell>
          <cell r="C69">
            <v>-0.11396655562474201</v>
          </cell>
          <cell r="F69" t="str">
            <v>BDL</v>
          </cell>
          <cell r="G69">
            <v>-0.10167464114832536</v>
          </cell>
        </row>
        <row r="70">
          <cell r="B70" t="str">
            <v>DATAPATTNS</v>
          </cell>
          <cell r="C70">
            <v>0.51371693346807001</v>
          </cell>
          <cell r="F70" t="str">
            <v>DATAPATTNS</v>
          </cell>
          <cell r="G70">
            <v>0.25746268656716409</v>
          </cell>
        </row>
        <row r="71">
          <cell r="B71" t="str">
            <v>GRSE</v>
          </cell>
          <cell r="C71">
            <v>0.13797157087261258</v>
          </cell>
          <cell r="F71" t="str">
            <v>GRSE</v>
          </cell>
          <cell r="G71">
            <v>0.31479591836734699</v>
          </cell>
        </row>
        <row r="72">
          <cell r="B72" t="str">
            <v>MIDHANI</v>
          </cell>
          <cell r="C72">
            <v>5.5379006914187956E-2</v>
          </cell>
          <cell r="F72" t="str">
            <v>MIDHANI</v>
          </cell>
          <cell r="G72">
            <v>0.29013539651837528</v>
          </cell>
        </row>
        <row r="73">
          <cell r="B73" t="str">
            <v>ZENTEC</v>
          </cell>
          <cell r="C73">
            <v>0.41213397362029625</v>
          </cell>
          <cell r="F73" t="str">
            <v>ZENTEC</v>
          </cell>
          <cell r="G73">
            <v>1.4227642276422765</v>
          </cell>
        </row>
        <row r="74">
          <cell r="B74" t="str">
            <v>MTARTECH</v>
          </cell>
          <cell r="C74">
            <v>0.29271549247162909</v>
          </cell>
          <cell r="F74" t="str">
            <v>MTARTECH</v>
          </cell>
          <cell r="G74">
            <v>0.15915119363395225</v>
          </cell>
        </row>
        <row r="75">
          <cell r="B75" t="str">
            <v>ASTRAMICRO</v>
          </cell>
          <cell r="C75">
            <v>0.17364108625028796</v>
          </cell>
          <cell r="F75" t="str">
            <v>ASTRAMICRO</v>
          </cell>
          <cell r="G75">
            <v>-5.3859964093356805E-3</v>
          </cell>
        </row>
        <row r="76">
          <cell r="B76" t="str">
            <v>APOLLO</v>
          </cell>
          <cell r="C76">
            <v>6.1858758794934632E-2</v>
          </cell>
          <cell r="F76" t="str">
            <v>APOLLO</v>
          </cell>
          <cell r="G76">
            <v>0.23560209424083767</v>
          </cell>
        </row>
        <row r="77">
          <cell r="B77" t="str">
            <v>DCXINDIA</v>
          </cell>
          <cell r="C77">
            <v>0.33075042894076834</v>
          </cell>
          <cell r="F77" t="str">
            <v>DCXINDIA</v>
          </cell>
          <cell r="G77">
            <v>-8.8829071332436116E-2</v>
          </cell>
        </row>
        <row r="78">
          <cell r="B78" t="str">
            <v>IDEAFORGE*</v>
          </cell>
          <cell r="C78">
            <v>1.3684359044831225</v>
          </cell>
          <cell r="F78" t="str">
            <v>IDEAFORGE*</v>
          </cell>
          <cell r="G78">
            <v>0.44217687074829937</v>
          </cell>
        </row>
        <row r="79">
          <cell r="B79" t="str">
            <v>PARAS</v>
          </cell>
          <cell r="C79">
            <v>9.1951595988549517E-2</v>
          </cell>
          <cell r="F79" t="str">
            <v>PARAS</v>
          </cell>
          <cell r="G79">
            <v>0.10828025477707004</v>
          </cell>
        </row>
        <row r="80">
          <cell r="B80" t="str">
            <v>ROSSELLIND</v>
          </cell>
          <cell r="C80">
            <v>0.12322720670278753</v>
          </cell>
          <cell r="F80" t="str">
            <v>ROSSELLIND</v>
          </cell>
          <cell r="G80">
            <v>4.2402826855123754E-2</v>
          </cell>
        </row>
        <row r="101">
          <cell r="C101" t="str">
            <v>MARGIN_23</v>
          </cell>
          <cell r="D101" t="str">
            <v>CY_MARGIN</v>
          </cell>
          <cell r="H101" t="str">
            <v>CUR. RATIO</v>
          </cell>
          <cell r="L101" t="str">
            <v>TR.DAYS</v>
          </cell>
        </row>
        <row r="102">
          <cell r="B102" t="str">
            <v>HAL</v>
          </cell>
          <cell r="C102">
            <v>0.21643703346083856</v>
          </cell>
          <cell r="D102">
            <v>0.21214450422751729</v>
          </cell>
          <cell r="G102" t="str">
            <v>HAL</v>
          </cell>
          <cell r="H102">
            <v>1.6349895153774465</v>
          </cell>
          <cell r="K102" t="str">
            <v>HAL</v>
          </cell>
          <cell r="L102">
            <v>68.819586288855049</v>
          </cell>
        </row>
        <row r="103">
          <cell r="B103" t="str">
            <v>BEL</v>
          </cell>
          <cell r="C103">
            <v>0.16578324123153265</v>
          </cell>
          <cell r="D103">
            <v>0.18963425203674814</v>
          </cell>
          <cell r="G103" t="str">
            <v>BEL</v>
          </cell>
          <cell r="H103">
            <v>1.5089890951959917</v>
          </cell>
          <cell r="K103" t="str">
            <v>BEL</v>
          </cell>
          <cell r="L103">
            <v>150.96847862862299</v>
          </cell>
        </row>
        <row r="104">
          <cell r="B104" t="str">
            <v>BDL</v>
          </cell>
          <cell r="C104">
            <v>0.14142225793491361</v>
          </cell>
          <cell r="D104">
            <v>0.21504660452729693</v>
          </cell>
          <cell r="G104" t="str">
            <v>BDL</v>
          </cell>
          <cell r="H104">
            <v>4.4096514745308308</v>
          </cell>
          <cell r="K104" t="str">
            <v>BDL</v>
          </cell>
          <cell r="L104">
            <v>81.828043390920044</v>
          </cell>
        </row>
        <row r="105">
          <cell r="B105" t="str">
            <v>DATAPATTNS</v>
          </cell>
          <cell r="C105">
            <v>0.27373068432671083</v>
          </cell>
          <cell r="D105">
            <v>0.32640949554896143</v>
          </cell>
          <cell r="G105" t="str">
            <v>DATAPATTNS</v>
          </cell>
          <cell r="H105">
            <v>5.1040000000000001</v>
          </cell>
          <cell r="K105" t="str">
            <v>DATAPATTNS</v>
          </cell>
          <cell r="L105">
            <v>277.98013245033115</v>
          </cell>
        </row>
        <row r="106">
          <cell r="B106" t="str">
            <v>GRSE</v>
          </cell>
          <cell r="C106">
            <v>8.9027723545490045E-2</v>
          </cell>
          <cell r="D106">
            <v>9.5071788901823828E-2</v>
          </cell>
          <cell r="G106" t="str">
            <v>GRSE</v>
          </cell>
          <cell r="H106">
            <v>1.0929967329587806</v>
          </cell>
          <cell r="K106" t="str">
            <v>GRSE</v>
          </cell>
          <cell r="L106">
            <v>16.675126903553299</v>
          </cell>
        </row>
        <row r="107">
          <cell r="B107" t="str">
            <v>MIDHANI</v>
          </cell>
          <cell r="C107">
            <v>0.17889908256880735</v>
          </cell>
          <cell r="D107">
            <v>6.7466266866566718E-2</v>
          </cell>
          <cell r="G107" t="str">
            <v>MIDHANI</v>
          </cell>
          <cell r="H107">
            <v>2.0245649948822928</v>
          </cell>
          <cell r="K107" t="str">
            <v>MIDHANI</v>
          </cell>
          <cell r="L107">
            <v>136.875</v>
          </cell>
        </row>
        <row r="108">
          <cell r="B108" t="str">
            <v>ZENTEC</v>
          </cell>
          <cell r="C108">
            <v>0.22831050228310501</v>
          </cell>
          <cell r="D108">
            <v>0.44966442953020136</v>
          </cell>
          <cell r="G108" t="str">
            <v>ZENTEC</v>
          </cell>
          <cell r="H108">
            <v>1.9469387755102041</v>
          </cell>
          <cell r="K108" t="str">
            <v>ZENTEC</v>
          </cell>
          <cell r="L108">
            <v>215</v>
          </cell>
        </row>
        <row r="109">
          <cell r="B109" t="str">
            <v>MTARTECH</v>
          </cell>
          <cell r="C109">
            <v>0.17944250871080139</v>
          </cell>
          <cell r="D109">
            <v>0.11670480549199085</v>
          </cell>
          <cell r="G109" t="str">
            <v>MTARTECH</v>
          </cell>
          <cell r="H109">
            <v>2.2828282828282829</v>
          </cell>
          <cell r="K109" t="str">
            <v>MTARTECH</v>
          </cell>
          <cell r="L109">
            <v>118.27526132404181</v>
          </cell>
        </row>
        <row r="110">
          <cell r="B110" t="str">
            <v>ASTRAMICRO</v>
          </cell>
          <cell r="C110">
            <v>8.5889570552147243E-2</v>
          </cell>
          <cell r="D110">
            <v>0.11913357400722022</v>
          </cell>
          <cell r="G110" t="str">
            <v>ASTRAMICRO</v>
          </cell>
          <cell r="H110">
            <v>3.75390625</v>
          </cell>
          <cell r="K110" t="str">
            <v>ASTRAMICRO</v>
          </cell>
          <cell r="L110">
            <v>126.74233128834355</v>
          </cell>
        </row>
        <row r="111">
          <cell r="B111" t="str">
            <v>APOLLO</v>
          </cell>
          <cell r="C111">
            <v>6.3973063973063973E-2</v>
          </cell>
          <cell r="D111">
            <v>7.6271186440677971E-2</v>
          </cell>
          <cell r="G111" t="str">
            <v>APOLLO</v>
          </cell>
          <cell r="H111">
            <v>1.9647435897435896</v>
          </cell>
          <cell r="K111" t="str">
            <v>APOLLO</v>
          </cell>
          <cell r="L111">
            <v>180.65656565656568</v>
          </cell>
        </row>
        <row r="112">
          <cell r="B112" t="str">
            <v>DCXINDIA</v>
          </cell>
          <cell r="C112">
            <v>5.7507987220447282E-2</v>
          </cell>
          <cell r="D112">
            <v>6.2038404726735601E-2</v>
          </cell>
          <cell r="G112" t="str">
            <v>DCXINDIA</v>
          </cell>
          <cell r="H112">
            <v>2.110891089108911</v>
          </cell>
          <cell r="K112" t="str">
            <v>DCXINDIA</v>
          </cell>
          <cell r="L112">
            <v>62.096645367412137</v>
          </cell>
        </row>
        <row r="113">
          <cell r="B113" t="str">
            <v>IDEAFORGE*</v>
          </cell>
          <cell r="C113">
            <v>0.17204301075268819</v>
          </cell>
          <cell r="D113">
            <v>0.1650943396226415</v>
          </cell>
          <cell r="G113" t="str">
            <v>IDEAFORGE*</v>
          </cell>
          <cell r="H113">
            <v>9.296875</v>
          </cell>
          <cell r="K113" t="str">
            <v>IDEAFORGE*</v>
          </cell>
          <cell r="L113">
            <v>51.021505376344081</v>
          </cell>
        </row>
        <row r="114">
          <cell r="B114" t="str">
            <v>PARAS</v>
          </cell>
          <cell r="C114">
            <v>0.16216216216216217</v>
          </cell>
          <cell r="D114">
            <v>0.11494252873563218</v>
          </cell>
          <cell r="G114" t="str">
            <v>PARAS</v>
          </cell>
          <cell r="H114">
            <v>2.9327731092436973</v>
          </cell>
          <cell r="K114" t="str">
            <v>PARAS</v>
          </cell>
          <cell r="L114">
            <v>287.72522522522524</v>
          </cell>
        </row>
        <row r="115">
          <cell r="B115" t="str">
            <v>ROSSELLIND</v>
          </cell>
          <cell r="C115">
            <v>7.909604519774012E-2</v>
          </cell>
          <cell r="D115">
            <v>0.10847457627118644</v>
          </cell>
          <cell r="G115" t="str">
            <v>ROSSELLIND</v>
          </cell>
          <cell r="H115">
            <v>1.1704545454545454</v>
          </cell>
          <cell r="K115" t="str">
            <v>ROSSELLIND</v>
          </cell>
          <cell r="L115">
            <v>71.144067796610173</v>
          </cell>
        </row>
        <row r="136">
          <cell r="C136" t="str">
            <v>DEBT2EQUITY</v>
          </cell>
          <cell r="G136" t="str">
            <v>ICR</v>
          </cell>
          <cell r="K136" t="str">
            <v>DEBTRATIO</v>
          </cell>
        </row>
        <row r="137">
          <cell r="B137" t="str">
            <v>HAL</v>
          </cell>
          <cell r="C137">
            <v>0</v>
          </cell>
          <cell r="F137" t="str">
            <v>HAL</v>
          </cell>
          <cell r="G137">
            <v>84.379310344827587</v>
          </cell>
          <cell r="J137" t="str">
            <v>HAL</v>
          </cell>
          <cell r="K137">
            <v>0.61162471721975809</v>
          </cell>
        </row>
        <row r="138">
          <cell r="B138" t="str">
            <v>BEL</v>
          </cell>
          <cell r="C138">
            <v>0</v>
          </cell>
          <cell r="F138" t="str">
            <v>BEL</v>
          </cell>
          <cell r="G138">
            <v>243.8</v>
          </cell>
          <cell r="J138" t="str">
            <v>BEL</v>
          </cell>
          <cell r="K138">
            <v>0.66269531250000002</v>
          </cell>
        </row>
        <row r="139">
          <cell r="B139" t="str">
            <v>BDL</v>
          </cell>
          <cell r="C139">
            <v>0</v>
          </cell>
          <cell r="F139" t="str">
            <v>BDL</v>
          </cell>
          <cell r="G139">
            <v>73.444444444444443</v>
          </cell>
          <cell r="J139" t="str">
            <v>BDL</v>
          </cell>
          <cell r="K139">
            <v>0.22677529182879377</v>
          </cell>
        </row>
        <row r="140">
          <cell r="B140" t="str">
            <v>DATAPATTNS</v>
          </cell>
          <cell r="C140">
            <v>0</v>
          </cell>
          <cell r="F140" t="str">
            <v>DATAPATTNS</v>
          </cell>
          <cell r="G140">
            <v>20.375</v>
          </cell>
          <cell r="J140" t="str">
            <v>DATAPATTNS</v>
          </cell>
          <cell r="K140">
            <v>0.19592476489028213</v>
          </cell>
        </row>
        <row r="141">
          <cell r="B141" t="str">
            <v>GRSE</v>
          </cell>
          <cell r="C141">
            <v>0</v>
          </cell>
          <cell r="F141" t="str">
            <v>GRSE</v>
          </cell>
          <cell r="G141">
            <v>16.89506172839506</v>
          </cell>
          <cell r="J141" t="str">
            <v>GRSE</v>
          </cell>
          <cell r="K141">
            <v>0.9149158179942265</v>
          </cell>
        </row>
        <row r="142">
          <cell r="B142" t="str">
            <v>MIDHANI</v>
          </cell>
          <cell r="C142">
            <v>0.29742033383915023</v>
          </cell>
          <cell r="F142" t="str">
            <v>MIDHANI</v>
          </cell>
          <cell r="G142">
            <v>7.884615384615385</v>
          </cell>
          <cell r="J142" t="str">
            <v>MIDHANI</v>
          </cell>
          <cell r="K142">
            <v>0.49393326592517695</v>
          </cell>
        </row>
        <row r="143">
          <cell r="B143" t="str">
            <v>ZENTEC</v>
          </cell>
          <cell r="C143">
            <v>1.1959287531806615E-3</v>
          </cell>
          <cell r="F143" t="str">
            <v>ZENTEC</v>
          </cell>
          <cell r="G143">
            <v>16.75</v>
          </cell>
          <cell r="J143" t="str">
            <v>ZENTEC</v>
          </cell>
          <cell r="K143">
            <v>0.51362683438155132</v>
          </cell>
        </row>
        <row r="144">
          <cell r="B144" t="str">
            <v>MTARTECH</v>
          </cell>
          <cell r="C144">
            <v>0.37670196671709533</v>
          </cell>
          <cell r="F144" t="str">
            <v>MTARTECH</v>
          </cell>
          <cell r="G144">
            <v>9.3064460767488164</v>
          </cell>
          <cell r="J144" t="str">
            <v>MTARTECH</v>
          </cell>
          <cell r="K144">
            <v>0.43805309734513276</v>
          </cell>
        </row>
        <row r="145">
          <cell r="B145" t="str">
            <v>ASTRAMICRO</v>
          </cell>
          <cell r="C145">
            <v>7.8250863060989648E-2</v>
          </cell>
          <cell r="F145" t="str">
            <v>ASTRAMICRO</v>
          </cell>
          <cell r="G145">
            <v>4.0999999999999996</v>
          </cell>
          <cell r="J145" t="str">
            <v>ASTRAMICRO</v>
          </cell>
          <cell r="K145">
            <v>0.26638917793964623</v>
          </cell>
        </row>
        <row r="146">
          <cell r="B146" t="str">
            <v>APOLLO</v>
          </cell>
          <cell r="C146">
            <v>0.39578454332552693</v>
          </cell>
          <cell r="F146" t="str">
            <v>APOLLO</v>
          </cell>
          <cell r="G146">
            <v>2.347826086956522</v>
          </cell>
          <cell r="J146" t="str">
            <v>APOLLO</v>
          </cell>
          <cell r="K146">
            <v>0.50897226753670477</v>
          </cell>
        </row>
        <row r="147">
          <cell r="B147" t="str">
            <v>DCXINDIA</v>
          </cell>
          <cell r="C147">
            <v>0.73265651438240276</v>
          </cell>
          <cell r="F147" t="str">
            <v>DCXINDIA</v>
          </cell>
          <cell r="G147">
            <v>3.1153846153846154</v>
          </cell>
          <cell r="J147" t="str">
            <v>DCXINDIA</v>
          </cell>
          <cell r="K147">
            <v>0.47373358348968103</v>
          </cell>
        </row>
        <row r="148">
          <cell r="B148" t="str">
            <v>IDEAFORGE*</v>
          </cell>
          <cell r="C148">
            <v>0</v>
          </cell>
          <cell r="F148" t="str">
            <v>IDEAFORGE*</v>
          </cell>
          <cell r="G148">
            <v>1.3604651162790697</v>
          </cell>
          <cell r="J148" t="str">
            <v>IDEAFORGE*</v>
          </cell>
          <cell r="K148">
            <v>0.10756302521008404</v>
          </cell>
        </row>
        <row r="149">
          <cell r="B149" t="str">
            <v>PARAS</v>
          </cell>
          <cell r="C149">
            <v>9.3457943925233641E-2</v>
          </cell>
          <cell r="F149" t="str">
            <v>PARAS</v>
          </cell>
          <cell r="G149">
            <v>6.5714285714285712</v>
          </cell>
          <cell r="J149" t="str">
            <v>PARAS</v>
          </cell>
          <cell r="K149">
            <v>0.34097421203438394</v>
          </cell>
        </row>
        <row r="150">
          <cell r="B150" t="str">
            <v>ROSSELLIND</v>
          </cell>
          <cell r="C150">
            <v>0.63987138263665599</v>
          </cell>
          <cell r="F150" t="str">
            <v>ROSSELLIND</v>
          </cell>
          <cell r="G150">
            <v>3.3333333333333335</v>
          </cell>
          <cell r="J150" t="str">
            <v>ROSSELLIND</v>
          </cell>
          <cell r="K150">
            <v>0.85436893203883491</v>
          </cell>
        </row>
        <row r="171">
          <cell r="C171" t="str">
            <v>ROE</v>
          </cell>
          <cell r="D171" t="str">
            <v>ROA</v>
          </cell>
          <cell r="H171" t="str">
            <v>TRAIL_PE</v>
          </cell>
          <cell r="I171" t="str">
            <v>PBV</v>
          </cell>
          <cell r="M171" t="str">
            <v>YIELD</v>
          </cell>
        </row>
        <row r="172">
          <cell r="B172" t="str">
            <v>HAL</v>
          </cell>
          <cell r="C172">
            <v>0.23164672681744108</v>
          </cell>
          <cell r="D172">
            <v>8.1107786514508382E-2</v>
          </cell>
          <cell r="G172" t="str">
            <v>HAL</v>
          </cell>
          <cell r="H172">
            <v>32.707380796864797</v>
          </cell>
          <cell r="I172">
            <v>7.8727729180559374</v>
          </cell>
          <cell r="L172" t="str">
            <v>HAL</v>
          </cell>
          <cell r="M172">
            <v>3.0574138791812283E-2</v>
          </cell>
        </row>
        <row r="173">
          <cell r="B173" t="str">
            <v>BEL</v>
          </cell>
          <cell r="C173">
            <v>0.19820670127418594</v>
          </cell>
          <cell r="D173">
            <v>8.1067666685049361E-2</v>
          </cell>
          <cell r="G173" t="str">
            <v>BEL</v>
          </cell>
          <cell r="H173">
            <v>39.86707566462168</v>
          </cell>
          <cell r="I173">
            <v>9.1443487759429409</v>
          </cell>
          <cell r="L173" t="str">
            <v>BEL</v>
          </cell>
          <cell r="M173">
            <v>2.5083354706334958E-2</v>
          </cell>
        </row>
        <row r="174">
          <cell r="B174" t="str">
            <v>BDL</v>
          </cell>
          <cell r="C174">
            <v>0.10435813815594426</v>
          </cell>
          <cell r="D174">
            <v>3.7861675809400884E-2</v>
          </cell>
          <cell r="G174" t="str">
            <v>BDL</v>
          </cell>
          <cell r="H174">
            <v>67.239984591679502</v>
          </cell>
          <cell r="I174">
            <v>8.9830047806524185</v>
          </cell>
          <cell r="L174" t="str">
            <v>BDL</v>
          </cell>
          <cell r="M174">
            <v>1.4872103348514796E-2</v>
          </cell>
        </row>
        <row r="175">
          <cell r="B175" t="str">
            <v>DATAPATTNS</v>
          </cell>
          <cell r="C175">
            <v>0.10324729392173189</v>
          </cell>
          <cell r="D175">
            <v>8.4124830393487116E-2</v>
          </cell>
          <cell r="G175" t="str">
            <v>DATAPATTNS</v>
          </cell>
          <cell r="H175">
            <v>74.027777777777786</v>
          </cell>
          <cell r="I175">
            <v>10.158663366336633</v>
          </cell>
          <cell r="L175" t="str">
            <v>DATAPATTNS</v>
          </cell>
          <cell r="M175">
            <v>1.350844277673546E-2</v>
          </cell>
        </row>
        <row r="176">
          <cell r="B176" t="str">
            <v>GRSE</v>
          </cell>
          <cell r="C176">
            <v>0.14578005115089515</v>
          </cell>
          <cell r="D176">
            <v>2.0585048754062838E-2</v>
          </cell>
          <cell r="G176" t="str">
            <v>GRSE</v>
          </cell>
          <cell r="H176">
            <v>31.035795887281033</v>
          </cell>
          <cell r="I176">
            <v>5.5821917808219181</v>
          </cell>
          <cell r="L176" t="str">
            <v>GRSE</v>
          </cell>
          <cell r="M176">
            <v>3.2220858895705522E-2</v>
          </cell>
        </row>
        <row r="177">
          <cell r="B177" t="str">
            <v>MIDHANI</v>
          </cell>
          <cell r="C177">
            <v>0.11836115326251896</v>
          </cell>
          <cell r="D177">
            <v>5.019305019305019E-2</v>
          </cell>
          <cell r="G177" t="str">
            <v>MIDHANI</v>
          </cell>
          <cell r="H177">
            <v>74.036850921273029</v>
          </cell>
          <cell r="I177">
            <v>5.4919601328903651</v>
          </cell>
          <cell r="L177" t="str">
            <v>MIDHANI</v>
          </cell>
          <cell r="M177">
            <v>1.3506787330316742E-2</v>
          </cell>
        </row>
        <row r="178">
          <cell r="B178" t="str">
            <v>ZENTEC</v>
          </cell>
          <cell r="C178">
            <v>0.1272264631043257</v>
          </cell>
          <cell r="D178">
            <v>7.7760497667185069E-2</v>
          </cell>
          <cell r="G178" t="str">
            <v>ZENTEC</v>
          </cell>
          <cell r="H178">
            <v>59.43911439114391</v>
          </cell>
          <cell r="I178">
            <v>16.067830423940148</v>
          </cell>
          <cell r="L178" t="str">
            <v>ZENTEC</v>
          </cell>
          <cell r="M178">
            <v>1.6823938415694066E-2</v>
          </cell>
        </row>
        <row r="179">
          <cell r="B179" t="str">
            <v>MTARTECH</v>
          </cell>
          <cell r="C179">
            <v>0.15582450832072617</v>
          </cell>
          <cell r="D179">
            <v>9.662288930581614E-2</v>
          </cell>
          <cell r="G179" t="str">
            <v>MTARTECH</v>
          </cell>
          <cell r="H179">
            <v>75.330717488789233</v>
          </cell>
          <cell r="I179">
            <v>9.0305419075144506</v>
          </cell>
          <cell r="L179" t="str">
            <v>MTARTECH</v>
          </cell>
          <cell r="M179">
            <v>1.3274797231936902E-2</v>
          </cell>
        </row>
        <row r="180">
          <cell r="B180" t="str">
            <v>ASTRAMICRO</v>
          </cell>
          <cell r="C180">
            <v>8.0552359033371698E-2</v>
          </cell>
          <cell r="D180">
            <v>5.9071729957805907E-2</v>
          </cell>
          <cell r="G180" t="str">
            <v>ASTRAMICRO</v>
          </cell>
          <cell r="H180">
            <v>74.818925233644862</v>
          </cell>
          <cell r="I180">
            <v>6.4983652762119508</v>
          </cell>
          <cell r="L180" t="str">
            <v>ASTRAMICRO</v>
          </cell>
          <cell r="M180">
            <v>1.3365602310875165E-2</v>
          </cell>
        </row>
        <row r="181">
          <cell r="B181" t="str">
            <v>APOLLO</v>
          </cell>
          <cell r="C181">
            <v>4.449648711943794E-2</v>
          </cell>
          <cell r="D181">
            <v>2.464332036316472E-2</v>
          </cell>
          <cell r="G181" t="str">
            <v>APOLLO</v>
          </cell>
          <cell r="H181">
            <v>179.51388888888889</v>
          </cell>
          <cell r="I181">
            <v>6.6061111111111108</v>
          </cell>
          <cell r="L181" t="str">
            <v>APOLLO</v>
          </cell>
          <cell r="M181">
            <v>5.5705996131528044E-3</v>
          </cell>
        </row>
        <row r="182">
          <cell r="B182" t="str">
            <v>DCXINDIA</v>
          </cell>
          <cell r="C182">
            <v>0.12182741116751269</v>
          </cell>
          <cell r="D182">
            <v>6.4400715563506267E-2</v>
          </cell>
          <cell r="G182" t="str">
            <v>DCXINDIA</v>
          </cell>
          <cell r="H182">
            <v>37.035755478662054</v>
          </cell>
          <cell r="I182">
            <v>5.0007377049180324</v>
          </cell>
          <cell r="L182" t="str">
            <v>DCXINDIA</v>
          </cell>
          <cell r="M182">
            <v>2.7000934288383679E-2</v>
          </cell>
        </row>
        <row r="183">
          <cell r="B183" t="str">
            <v>IDEAFORGE*</v>
          </cell>
          <cell r="C183">
            <v>5.0713153724247229E-2</v>
          </cell>
          <cell r="D183">
            <v>4.5133991537376586E-2</v>
          </cell>
          <cell r="G183" t="str">
            <v>IDEAFORGE*</v>
          </cell>
          <cell r="H183">
            <v>103.39943342776205</v>
          </cell>
          <cell r="I183">
            <v>4.5557206537890043</v>
          </cell>
          <cell r="L183" t="str">
            <v>IDEAFORGE*</v>
          </cell>
          <cell r="M183">
            <v>9.6712328767123278E-3</v>
          </cell>
        </row>
        <row r="184">
          <cell r="B184" t="str">
            <v>PARAS</v>
          </cell>
          <cell r="C184">
            <v>8.4112149532710276E-2</v>
          </cell>
          <cell r="D184">
            <v>6.2937062937062943E-2</v>
          </cell>
          <cell r="G184" t="str">
            <v>PARAS</v>
          </cell>
          <cell r="H184">
            <v>88.309608540925282</v>
          </cell>
          <cell r="I184">
            <v>6.2170342612419702</v>
          </cell>
          <cell r="L184" t="str">
            <v>PARAS</v>
          </cell>
          <cell r="M184">
            <v>1.1323796091073946E-2</v>
          </cell>
        </row>
        <row r="185">
          <cell r="B185" t="str">
            <v>ROSSELLIND</v>
          </cell>
          <cell r="C185">
            <v>9.0032154340836015E-2</v>
          </cell>
          <cell r="D185">
            <v>4.7619047619047616E-2</v>
          </cell>
          <cell r="G185" t="str">
            <v>ROSSELLIND</v>
          </cell>
          <cell r="H185">
            <v>133.4795321637427</v>
          </cell>
          <cell r="I185">
            <v>5.02437106918239</v>
          </cell>
          <cell r="L185" t="str">
            <v>ROSSELLIND</v>
          </cell>
          <cell r="M185">
            <v>7.4917853231106241E-3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rofitfromit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FB62E-9F90-4A42-95F4-2FF26CD46787}">
  <sheetPr>
    <outlinePr summaryBelow="0" summaryRight="0"/>
  </sheetPr>
  <dimension ref="A1:AO1000"/>
  <sheetViews>
    <sheetView tabSelected="1" workbookViewId="0">
      <selection activeCell="E20" sqref="E20"/>
    </sheetView>
  </sheetViews>
  <sheetFormatPr defaultColWidth="14" defaultRowHeight="15" customHeight="1" x14ac:dyDescent="0.3"/>
  <cols>
    <col min="1" max="6" width="14" customWidth="1"/>
    <col min="21" max="21" width="17.6640625" customWidth="1"/>
    <col min="22" max="22" width="17.44140625" customWidth="1"/>
    <col min="25" max="25" width="16.5546875" customWidth="1"/>
    <col min="26" max="26" width="18.77734375" customWidth="1"/>
    <col min="27" max="27" width="15.5546875" customWidth="1"/>
    <col min="33" max="33" width="16.5546875" customWidth="1"/>
  </cols>
  <sheetData>
    <row r="1" spans="1:41" ht="15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3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</row>
    <row r="2" spans="1:41" ht="15.75" customHeight="1" x14ac:dyDescent="0.3">
      <c r="A2" s="4">
        <v>541154</v>
      </c>
      <c r="B2" s="5" t="s">
        <v>41</v>
      </c>
      <c r="C2" s="6">
        <f ca="1">IFERROR(__xludf.DUMMYFUNCTION("GOOGLEFINANCE(""bom:""&amp;A2,""price"")"),4949.65)</f>
        <v>4949.6499999999996</v>
      </c>
      <c r="D2" s="7">
        <f ca="1">IFERROR(__xludf.DUMMYFUNCTION("GOOGLEFINANCE(""bom:""&amp;A2,""marketcap"")/10000000"),331224.4833954)</f>
        <v>331224.48339539999</v>
      </c>
      <c r="E2" s="6">
        <v>56139</v>
      </c>
      <c r="F2" s="6">
        <v>34336</v>
      </c>
      <c r="G2" s="6">
        <v>71855</v>
      </c>
      <c r="H2" s="6">
        <v>46696</v>
      </c>
      <c r="I2" s="6">
        <v>334</v>
      </c>
      <c r="J2" s="6">
        <v>25159</v>
      </c>
      <c r="K2" s="6">
        <v>0</v>
      </c>
      <c r="L2" s="6">
        <v>5077</v>
      </c>
      <c r="M2" s="6">
        <v>5</v>
      </c>
      <c r="N2" s="6">
        <f ca="1">IFERROR(__xludf.DUMMYFUNCTION("GOOGLEFINANCE(""bom:""&amp;A2,""EPS"")"),113.95)</f>
        <v>113.95</v>
      </c>
      <c r="O2" s="8">
        <f t="shared" ref="O2:O19" ca="1" si="0">D2/$D$22</f>
        <v>0.48805071676594503</v>
      </c>
      <c r="P2" s="6">
        <v>18624</v>
      </c>
      <c r="Q2" s="6">
        <v>26927</v>
      </c>
      <c r="R2" s="6">
        <v>5828</v>
      </c>
      <c r="S2" s="6">
        <v>15612</v>
      </c>
      <c r="T2" s="6">
        <v>14432</v>
      </c>
      <c r="U2" s="6">
        <v>3312</v>
      </c>
      <c r="V2" s="6">
        <v>2996</v>
      </c>
      <c r="W2" s="9">
        <v>58</v>
      </c>
      <c r="X2" s="9">
        <v>22091</v>
      </c>
      <c r="Y2" s="10">
        <f t="shared" ref="Y2:Y15" si="1">(S2/T2)-1</f>
        <v>8.1762749445676297E-2</v>
      </c>
      <c r="Z2" s="8">
        <f t="shared" ref="Z2:Z15" si="2">(U2/V2)-1</f>
        <v>0.10547396528704933</v>
      </c>
      <c r="AA2" s="8">
        <f t="shared" ref="AA2:AA12" si="3">(Q2/P2)^(1/5)-1</f>
        <v>7.6522227808349497E-2</v>
      </c>
      <c r="AB2" s="8">
        <f t="shared" ref="AB2:AB15" si="4">R2/Q2</f>
        <v>0.21643703346083856</v>
      </c>
      <c r="AC2" s="8">
        <f t="shared" ref="AC2:AC15" si="5">U2/S2</f>
        <v>0.21214450422751729</v>
      </c>
      <c r="AD2" s="7">
        <f t="shared" ref="AD2:AD15" si="6">(Q2-X2+W2)/W2</f>
        <v>84.379310344827587</v>
      </c>
      <c r="AE2" s="11">
        <f t="shared" ref="AE2:AE15" si="7">E2/F2</f>
        <v>1.6349895153774465</v>
      </c>
      <c r="AF2" s="7">
        <f t="shared" ref="AF2:AF15" si="8">(L2/Q2)*365</f>
        <v>68.819586288855049</v>
      </c>
      <c r="AG2" s="11">
        <f t="shared" ref="AG2:AG15" si="9">K2/J2</f>
        <v>0</v>
      </c>
      <c r="AH2" s="11">
        <f t="shared" ref="AH2:AH15" si="10">F2/E2</f>
        <v>0.61162471721975809</v>
      </c>
      <c r="AI2" s="8">
        <f t="shared" ref="AI2:AI15" si="11">R2/J2</f>
        <v>0.23164672681744108</v>
      </c>
      <c r="AJ2" s="7">
        <f t="shared" ref="AJ2:AJ15" si="12">R2/I2</f>
        <v>17.449101796407184</v>
      </c>
      <c r="AK2" s="8">
        <f t="shared" ref="AK2:AK15" si="13">R2/G2</f>
        <v>8.1107786514508382E-2</v>
      </c>
      <c r="AL2" s="7">
        <f t="shared" ref="AL2:AL15" ca="1" si="14">C2/N2</f>
        <v>43.437033786748572</v>
      </c>
      <c r="AM2" s="8">
        <f t="shared" ref="AM2:AM15" ca="1" si="15">N2/C2</f>
        <v>2.3021829826351359E-2</v>
      </c>
      <c r="AN2" s="7">
        <f t="shared" ref="AN2:AN15" si="16">(J2+I2)/(I2/M2)</f>
        <v>381.6317365269461</v>
      </c>
      <c r="AO2" s="7">
        <f t="shared" ref="AO2:AO15" ca="1" si="17">C2/AN2</f>
        <v>12.969702271211705</v>
      </c>
    </row>
    <row r="3" spans="1:41" ht="15.75" customHeight="1" x14ac:dyDescent="0.3">
      <c r="A3" s="4">
        <v>500049</v>
      </c>
      <c r="B3" s="5" t="s">
        <v>42</v>
      </c>
      <c r="C3" s="6">
        <f ca="1">IFERROR(__xludf.DUMMYFUNCTION("GOOGLEFINANCE(""bom:""&amp;A3,""price"")"),288.4)</f>
        <v>288.39999999999998</v>
      </c>
      <c r="D3" s="7">
        <f ca="1">IFERROR(__xludf.DUMMYFUNCTION("GOOGLEFINANCE(""bom:""&amp;A3,""marketcap"")/10000000"),210852.4656176)</f>
        <v>210852.46561760001</v>
      </c>
      <c r="E3" s="6">
        <v>30720</v>
      </c>
      <c r="F3" s="6">
        <v>20358</v>
      </c>
      <c r="G3" s="6">
        <v>36266</v>
      </c>
      <c r="H3" s="6">
        <v>21432</v>
      </c>
      <c r="I3" s="6">
        <v>730</v>
      </c>
      <c r="J3" s="6">
        <v>14833</v>
      </c>
      <c r="K3" s="6">
        <v>0</v>
      </c>
      <c r="L3" s="6">
        <v>7335</v>
      </c>
      <c r="M3" s="6">
        <v>1</v>
      </c>
      <c r="N3" s="6">
        <f ca="1">IFERROR(__xludf.DUMMYFUNCTION("GOOGLEFINANCE(""bom:""&amp;A3,""EPS"")"),5.45)</f>
        <v>5.45</v>
      </c>
      <c r="O3" s="8">
        <f t="shared" ca="1" si="0"/>
        <v>0.31068565922915597</v>
      </c>
      <c r="P3" s="6">
        <v>10485</v>
      </c>
      <c r="Q3" s="6">
        <v>17734</v>
      </c>
      <c r="R3" s="6">
        <v>2940</v>
      </c>
      <c r="S3" s="6">
        <v>11538</v>
      </c>
      <c r="T3" s="6">
        <v>11060</v>
      </c>
      <c r="U3" s="6">
        <v>2188</v>
      </c>
      <c r="V3" s="6">
        <v>1604</v>
      </c>
      <c r="W3" s="9">
        <v>15</v>
      </c>
      <c r="X3" s="9">
        <v>14092</v>
      </c>
      <c r="Y3" s="10">
        <f t="shared" si="1"/>
        <v>4.3218806509945695E-2</v>
      </c>
      <c r="Z3" s="8">
        <f t="shared" si="2"/>
        <v>0.36408977556109723</v>
      </c>
      <c r="AA3" s="8">
        <f t="shared" si="3"/>
        <v>0.11083013737953062</v>
      </c>
      <c r="AB3" s="8">
        <f t="shared" si="4"/>
        <v>0.16578324123153265</v>
      </c>
      <c r="AC3" s="8">
        <f t="shared" si="5"/>
        <v>0.18963425203674814</v>
      </c>
      <c r="AD3" s="7">
        <f t="shared" si="6"/>
        <v>243.8</v>
      </c>
      <c r="AE3" s="11">
        <f t="shared" si="7"/>
        <v>1.5089890951959917</v>
      </c>
      <c r="AF3" s="7">
        <f t="shared" si="8"/>
        <v>150.96847862862299</v>
      </c>
      <c r="AG3" s="11">
        <f t="shared" si="9"/>
        <v>0</v>
      </c>
      <c r="AH3" s="11">
        <f t="shared" si="10"/>
        <v>0.66269531250000002</v>
      </c>
      <c r="AI3" s="8">
        <f t="shared" si="11"/>
        <v>0.19820670127418594</v>
      </c>
      <c r="AJ3" s="7">
        <f t="shared" si="12"/>
        <v>4.0273972602739727</v>
      </c>
      <c r="AK3" s="8">
        <f t="shared" si="13"/>
        <v>8.1067666685049361E-2</v>
      </c>
      <c r="AL3" s="7">
        <f t="shared" ca="1" si="14"/>
        <v>52.917431192660544</v>
      </c>
      <c r="AM3" s="8">
        <f t="shared" ca="1" si="15"/>
        <v>1.8897364771151181E-2</v>
      </c>
      <c r="AN3" s="7">
        <f t="shared" si="16"/>
        <v>21.31917808219178</v>
      </c>
      <c r="AO3" s="7">
        <f t="shared" ca="1" si="17"/>
        <v>13.5277260168348</v>
      </c>
    </row>
    <row r="4" spans="1:41" ht="15.75" customHeight="1" x14ac:dyDescent="0.3">
      <c r="A4" s="4">
        <v>541143</v>
      </c>
      <c r="B4" s="5" t="s">
        <v>43</v>
      </c>
      <c r="C4" s="6">
        <f ca="1">IFERROR(__xludf.DUMMYFUNCTION("GOOGLEFINANCE(""bom:""&amp;A4,""price"")"),2813.4)</f>
        <v>2813.4</v>
      </c>
      <c r="D4" s="7">
        <f ca="1">IFERROR(__xludf.DUMMYFUNCTION("GOOGLEFINANCE(""bom:""&amp;A4,""marketcap"")/10000000"),51581.6052935)</f>
        <v>51581.605293499997</v>
      </c>
      <c r="E4" s="6">
        <v>8224</v>
      </c>
      <c r="F4" s="6">
        <v>1865</v>
      </c>
      <c r="G4" s="6">
        <v>9297</v>
      </c>
      <c r="H4" s="6">
        <v>5923</v>
      </c>
      <c r="I4" s="6">
        <v>183</v>
      </c>
      <c r="J4" s="6">
        <v>3373</v>
      </c>
      <c r="K4" s="6">
        <v>0</v>
      </c>
      <c r="L4" s="6">
        <v>558</v>
      </c>
      <c r="M4" s="6">
        <v>10</v>
      </c>
      <c r="N4" s="6">
        <f ca="1">IFERROR(__xludf.DUMMYFUNCTION("GOOGLEFINANCE(""bom:""&amp;A4,""EPS"")"),25.96)</f>
        <v>25.96</v>
      </c>
      <c r="O4" s="8">
        <f t="shared" ca="1" si="0"/>
        <v>7.600416242593605E-2</v>
      </c>
      <c r="P4" s="6">
        <v>4558</v>
      </c>
      <c r="Q4" s="6">
        <v>2489</v>
      </c>
      <c r="R4" s="6">
        <v>352</v>
      </c>
      <c r="S4" s="6">
        <v>1502</v>
      </c>
      <c r="T4" s="6">
        <v>1672</v>
      </c>
      <c r="U4" s="6">
        <v>323</v>
      </c>
      <c r="V4" s="6">
        <v>199</v>
      </c>
      <c r="W4" s="9">
        <v>5</v>
      </c>
      <c r="X4" s="9">
        <v>2163</v>
      </c>
      <c r="Y4" s="10">
        <f t="shared" si="1"/>
        <v>-0.10167464114832536</v>
      </c>
      <c r="Z4" s="8">
        <f t="shared" si="2"/>
        <v>0.62311557788944727</v>
      </c>
      <c r="AA4" s="8">
        <f t="shared" si="3"/>
        <v>-0.11396655562474189</v>
      </c>
      <c r="AB4" s="8">
        <f t="shared" si="4"/>
        <v>0.14142225793491361</v>
      </c>
      <c r="AC4" s="8">
        <f t="shared" si="5"/>
        <v>0.21504660452729693</v>
      </c>
      <c r="AD4" s="7">
        <f t="shared" si="6"/>
        <v>66.2</v>
      </c>
      <c r="AE4" s="11">
        <f t="shared" si="7"/>
        <v>4.4096514745308308</v>
      </c>
      <c r="AF4" s="7">
        <f t="shared" si="8"/>
        <v>81.828043390920044</v>
      </c>
      <c r="AG4" s="11">
        <f t="shared" si="9"/>
        <v>0</v>
      </c>
      <c r="AH4" s="11">
        <f t="shared" si="10"/>
        <v>0.22677529182879377</v>
      </c>
      <c r="AI4" s="8">
        <f t="shared" si="11"/>
        <v>0.10435813815594426</v>
      </c>
      <c r="AJ4" s="7">
        <f t="shared" si="12"/>
        <v>1.9234972677595628</v>
      </c>
      <c r="AK4" s="8">
        <f t="shared" si="13"/>
        <v>3.7861675809400884E-2</v>
      </c>
      <c r="AL4" s="7">
        <f t="shared" ca="1" si="14"/>
        <v>108.37442218798151</v>
      </c>
      <c r="AM4" s="8">
        <f t="shared" ca="1" si="15"/>
        <v>9.2272694959835075E-3</v>
      </c>
      <c r="AN4" s="7">
        <f t="shared" si="16"/>
        <v>194.31693989071039</v>
      </c>
      <c r="AO4" s="7">
        <f t="shared" ca="1" si="17"/>
        <v>14.478408323959505</v>
      </c>
    </row>
    <row r="5" spans="1:41" ht="15.75" customHeight="1" x14ac:dyDescent="0.3">
      <c r="A5" s="4">
        <v>543428</v>
      </c>
      <c r="B5" s="5" t="s">
        <v>44</v>
      </c>
      <c r="C5" s="6">
        <f ca="1">IFERROR(__xludf.DUMMYFUNCTION("GOOGLEFINANCE(""bom:""&amp;A5,""price"")"),3094.8)</f>
        <v>3094.8</v>
      </c>
      <c r="D5" s="7">
        <f ca="1">IFERROR(__xludf.DUMMYFUNCTION("GOOGLEFINANCE(""bom:""&amp;A5,""marketcap"")/10000000"),17355.0307)</f>
        <v>17355.030699999999</v>
      </c>
      <c r="E5" s="6">
        <v>1276</v>
      </c>
      <c r="F5" s="6">
        <v>250</v>
      </c>
      <c r="G5" s="6">
        <v>1474</v>
      </c>
      <c r="H5" s="6">
        <v>272</v>
      </c>
      <c r="I5" s="6">
        <v>11</v>
      </c>
      <c r="J5" s="6">
        <v>1201</v>
      </c>
      <c r="K5" s="6">
        <v>0</v>
      </c>
      <c r="L5" s="6">
        <v>345</v>
      </c>
      <c r="M5" s="6">
        <v>2</v>
      </c>
      <c r="N5" s="6">
        <f ca="1">IFERROR(__xludf.DUMMYFUNCTION("GOOGLEFINANCE(""bom:""&amp;A5,""EPS"")"),32.45)</f>
        <v>32.450000000000003</v>
      </c>
      <c r="O5" s="8">
        <f t="shared" ca="1" si="0"/>
        <v>2.5572189247009065E-2</v>
      </c>
      <c r="P5" s="6">
        <v>57</v>
      </c>
      <c r="Q5" s="6">
        <v>453</v>
      </c>
      <c r="R5" s="6">
        <v>124</v>
      </c>
      <c r="S5" s="6">
        <v>337</v>
      </c>
      <c r="T5" s="6">
        <v>268</v>
      </c>
      <c r="U5" s="6">
        <v>110</v>
      </c>
      <c r="V5" s="6">
        <v>68</v>
      </c>
      <c r="W5" s="9">
        <v>8</v>
      </c>
      <c r="X5" s="9">
        <v>298</v>
      </c>
      <c r="Y5" s="10">
        <f t="shared" si="1"/>
        <v>0.25746268656716409</v>
      </c>
      <c r="Z5" s="8">
        <f t="shared" si="2"/>
        <v>0.61764705882352944</v>
      </c>
      <c r="AA5" s="8">
        <f t="shared" si="3"/>
        <v>0.51371693346807001</v>
      </c>
      <c r="AB5" s="8">
        <f t="shared" si="4"/>
        <v>0.27373068432671083</v>
      </c>
      <c r="AC5" s="8">
        <f t="shared" si="5"/>
        <v>0.32640949554896143</v>
      </c>
      <c r="AD5" s="7">
        <f t="shared" si="6"/>
        <v>20.375</v>
      </c>
      <c r="AE5" s="11">
        <f t="shared" si="7"/>
        <v>5.1040000000000001</v>
      </c>
      <c r="AF5" s="7">
        <f t="shared" si="8"/>
        <v>277.98013245033115</v>
      </c>
      <c r="AG5" s="11">
        <f t="shared" si="9"/>
        <v>0</v>
      </c>
      <c r="AH5" s="11">
        <f t="shared" si="10"/>
        <v>0.19592476489028213</v>
      </c>
      <c r="AI5" s="8">
        <f t="shared" si="11"/>
        <v>0.10324729392173189</v>
      </c>
      <c r="AJ5" s="7">
        <f t="shared" si="12"/>
        <v>11.272727272727273</v>
      </c>
      <c r="AK5" s="8">
        <f t="shared" si="13"/>
        <v>8.4124830393487116E-2</v>
      </c>
      <c r="AL5" s="7">
        <f t="shared" ca="1" si="14"/>
        <v>95.371340523882893</v>
      </c>
      <c r="AM5" s="8">
        <f t="shared" ca="1" si="15"/>
        <v>1.0485330231355823E-2</v>
      </c>
      <c r="AN5" s="7">
        <f t="shared" si="16"/>
        <v>220.36363636363637</v>
      </c>
      <c r="AO5" s="7">
        <f t="shared" ca="1" si="17"/>
        <v>14.044059405940594</v>
      </c>
    </row>
    <row r="6" spans="1:41" ht="15.75" customHeight="1" x14ac:dyDescent="0.3">
      <c r="A6" s="4">
        <v>542011</v>
      </c>
      <c r="B6" s="5" t="s">
        <v>45</v>
      </c>
      <c r="C6" s="6">
        <f ca="1">IFERROR(__xludf.DUMMYFUNCTION("GOOGLEFINANCE(""bom:""&amp;A6,""price"")"),1426.55)</f>
        <v>1426.55</v>
      </c>
      <c r="D6" s="7">
        <f ca="1">IFERROR(__xludf.DUMMYFUNCTION("GOOGLEFINANCE(""bom:""&amp;A6,""marketcap"")/10000000"),16389.3624664)</f>
        <v>16389.362466400002</v>
      </c>
      <c r="E6" s="7">
        <v>10264</v>
      </c>
      <c r="F6" s="7">
        <v>9391</v>
      </c>
      <c r="G6" s="6">
        <v>11076</v>
      </c>
      <c r="H6" s="7">
        <v>9513</v>
      </c>
      <c r="I6" s="6">
        <v>115</v>
      </c>
      <c r="J6" s="6">
        <v>1564</v>
      </c>
      <c r="K6" s="6">
        <v>0</v>
      </c>
      <c r="L6" s="6">
        <v>117</v>
      </c>
      <c r="M6" s="6">
        <v>10</v>
      </c>
      <c r="N6" s="6">
        <f ca="1">IFERROR(__xludf.DUMMYFUNCTION("GOOGLEFINANCE(""bom:""&amp;A6,""EPS"")"),26.26)</f>
        <v>26.26</v>
      </c>
      <c r="O6" s="8">
        <f t="shared" ca="1" si="0"/>
        <v>2.4149302059639003E-2</v>
      </c>
      <c r="P6" s="6">
        <v>1342</v>
      </c>
      <c r="Q6" s="6">
        <v>2561</v>
      </c>
      <c r="R6" s="6">
        <v>228</v>
      </c>
      <c r="S6" s="6">
        <v>2577</v>
      </c>
      <c r="T6" s="6">
        <v>1960</v>
      </c>
      <c r="U6" s="6">
        <v>245</v>
      </c>
      <c r="V6" s="6">
        <v>173</v>
      </c>
      <c r="W6" s="9">
        <v>6</v>
      </c>
      <c r="X6" s="9">
        <v>2458</v>
      </c>
      <c r="Y6" s="10">
        <f t="shared" si="1"/>
        <v>0.31479591836734699</v>
      </c>
      <c r="Z6" s="8">
        <f t="shared" si="2"/>
        <v>0.41618497109826591</v>
      </c>
      <c r="AA6" s="8">
        <f t="shared" si="3"/>
        <v>0.13797157087261258</v>
      </c>
      <c r="AB6" s="8">
        <f t="shared" si="4"/>
        <v>8.9027723545490045E-2</v>
      </c>
      <c r="AC6" s="8">
        <f t="shared" si="5"/>
        <v>9.5071788901823828E-2</v>
      </c>
      <c r="AD6" s="7">
        <f t="shared" si="6"/>
        <v>18.166666666666668</v>
      </c>
      <c r="AE6" s="11">
        <f t="shared" si="7"/>
        <v>1.0929613459695453</v>
      </c>
      <c r="AF6" s="7">
        <f t="shared" si="8"/>
        <v>16.675126903553299</v>
      </c>
      <c r="AG6" s="11">
        <f t="shared" si="9"/>
        <v>0</v>
      </c>
      <c r="AH6" s="11">
        <f t="shared" si="10"/>
        <v>0.91494544037412318</v>
      </c>
      <c r="AI6" s="8">
        <f t="shared" si="11"/>
        <v>0.14578005115089515</v>
      </c>
      <c r="AJ6" s="7">
        <f t="shared" si="12"/>
        <v>1.982608695652174</v>
      </c>
      <c r="AK6" s="8">
        <f t="shared" si="13"/>
        <v>2.0585048754062838E-2</v>
      </c>
      <c r="AL6" s="7">
        <f t="shared" ca="1" si="14"/>
        <v>54.324067022086822</v>
      </c>
      <c r="AM6" s="8">
        <f t="shared" ca="1" si="15"/>
        <v>1.8408047387052682E-2</v>
      </c>
      <c r="AN6" s="7">
        <f t="shared" si="16"/>
        <v>146</v>
      </c>
      <c r="AO6" s="7">
        <f t="shared" ca="1" si="17"/>
        <v>9.7708904109589039</v>
      </c>
    </row>
    <row r="7" spans="1:41" ht="15.75" customHeight="1" x14ac:dyDescent="0.3">
      <c r="A7" s="4">
        <v>541195</v>
      </c>
      <c r="B7" s="5" t="s">
        <v>46</v>
      </c>
      <c r="C7" s="6">
        <f ca="1">IFERROR(__xludf.DUMMYFUNCTION("GOOGLEFINANCE(""bom:""&amp;A7,""price"")"),481.55)</f>
        <v>481.55</v>
      </c>
      <c r="D7" s="7">
        <f ca="1">IFERROR(__xludf.DUMMYFUNCTION("GOOGLEFINANCE(""bom:""&amp;A7,""marketcap"")/10000000"),9036.1699489)</f>
        <v>9036.1699489000002</v>
      </c>
      <c r="E7" s="6">
        <v>1978</v>
      </c>
      <c r="F7" s="6">
        <v>977</v>
      </c>
      <c r="G7" s="6">
        <v>3108</v>
      </c>
      <c r="H7" s="6">
        <v>1789</v>
      </c>
      <c r="I7" s="6">
        <v>187</v>
      </c>
      <c r="J7" s="6">
        <v>1318</v>
      </c>
      <c r="K7" s="6">
        <v>392</v>
      </c>
      <c r="L7" s="6">
        <v>327</v>
      </c>
      <c r="M7" s="6">
        <v>10</v>
      </c>
      <c r="N7" s="6">
        <f ca="1">IFERROR(__xludf.DUMMYFUNCTION("GOOGLEFINANCE(""bom:""&amp;A7,""EPS"")"),5.97)</f>
        <v>5.97</v>
      </c>
      <c r="O7" s="8">
        <f t="shared" ca="1" si="0"/>
        <v>1.3314562906616296E-2</v>
      </c>
      <c r="P7" s="6">
        <v>666</v>
      </c>
      <c r="Q7" s="6">
        <v>872</v>
      </c>
      <c r="R7" s="6">
        <v>156</v>
      </c>
      <c r="S7" s="6">
        <v>667</v>
      </c>
      <c r="T7" s="6">
        <v>517</v>
      </c>
      <c r="U7" s="6">
        <v>45</v>
      </c>
      <c r="V7" s="6">
        <v>90</v>
      </c>
      <c r="W7" s="9">
        <v>26</v>
      </c>
      <c r="X7" s="9">
        <v>693</v>
      </c>
      <c r="Y7" s="10">
        <f t="shared" si="1"/>
        <v>0.29013539651837528</v>
      </c>
      <c r="Z7" s="8">
        <f t="shared" si="2"/>
        <v>-0.5</v>
      </c>
      <c r="AA7" s="8">
        <f t="shared" si="3"/>
        <v>5.5379006914187956E-2</v>
      </c>
      <c r="AB7" s="8">
        <f t="shared" si="4"/>
        <v>0.17889908256880735</v>
      </c>
      <c r="AC7" s="8">
        <f t="shared" si="5"/>
        <v>6.7466266866566718E-2</v>
      </c>
      <c r="AD7" s="7">
        <f t="shared" si="6"/>
        <v>7.884615384615385</v>
      </c>
      <c r="AE7" s="11">
        <f t="shared" si="7"/>
        <v>2.0245649948822928</v>
      </c>
      <c r="AF7" s="7">
        <f t="shared" si="8"/>
        <v>136.875</v>
      </c>
      <c r="AG7" s="11">
        <f t="shared" si="9"/>
        <v>0.29742033383915023</v>
      </c>
      <c r="AH7" s="11">
        <f t="shared" si="10"/>
        <v>0.49393326592517695</v>
      </c>
      <c r="AI7" s="8">
        <f t="shared" si="11"/>
        <v>0.11836115326251896</v>
      </c>
      <c r="AJ7" s="7">
        <f t="shared" si="12"/>
        <v>0.83422459893048129</v>
      </c>
      <c r="AK7" s="8">
        <f t="shared" si="13"/>
        <v>5.019305019305019E-2</v>
      </c>
      <c r="AL7" s="7">
        <f t="shared" ca="1" si="14"/>
        <v>80.661641541038534</v>
      </c>
      <c r="AM7" s="8">
        <f t="shared" ca="1" si="15"/>
        <v>1.2397466514380645E-2</v>
      </c>
      <c r="AN7" s="7">
        <f t="shared" si="16"/>
        <v>80.481283422459896</v>
      </c>
      <c r="AO7" s="7">
        <f t="shared" ca="1" si="17"/>
        <v>5.9833787375415284</v>
      </c>
    </row>
    <row r="8" spans="1:41" ht="15.75" customHeight="1" x14ac:dyDescent="0.3">
      <c r="A8" s="4">
        <v>533339</v>
      </c>
      <c r="B8" s="5" t="s">
        <v>47</v>
      </c>
      <c r="C8" s="6">
        <f ca="1">IFERROR(__xludf.DUMMYFUNCTION("GOOGLEFINANCE(""bom:""&amp;A8,""price"")"),990)</f>
        <v>990</v>
      </c>
      <c r="D8" s="7">
        <f ca="1">IFERROR(__xludf.DUMMYFUNCTION("GOOGLEFINANCE(""bom:""&amp;A8,""marketcap"")/10000000"),8269.12845)</f>
        <v>8269.1284500000002</v>
      </c>
      <c r="E8" s="6">
        <v>477</v>
      </c>
      <c r="F8" s="6">
        <v>245</v>
      </c>
      <c r="G8" s="6">
        <v>643</v>
      </c>
      <c r="H8" s="6">
        <v>248.9</v>
      </c>
      <c r="I8" s="6">
        <v>8</v>
      </c>
      <c r="J8" s="6">
        <v>393</v>
      </c>
      <c r="K8" s="6">
        <v>0.47</v>
      </c>
      <c r="L8" s="6">
        <v>129</v>
      </c>
      <c r="M8" s="6">
        <v>1</v>
      </c>
      <c r="N8" s="6">
        <f ca="1">IFERROR(__xludf.DUMMYFUNCTION("GOOGLEFINANCE(""bom:""&amp;A8,""EPS"")"),15.34)</f>
        <v>15.34</v>
      </c>
      <c r="O8" s="8">
        <f t="shared" ca="1" si="0"/>
        <v>1.218434707990616E-2</v>
      </c>
      <c r="P8" s="6">
        <v>39</v>
      </c>
      <c r="Q8" s="6">
        <v>219</v>
      </c>
      <c r="R8" s="6">
        <v>50</v>
      </c>
      <c r="S8" s="6">
        <v>298</v>
      </c>
      <c r="T8" s="6">
        <v>123</v>
      </c>
      <c r="U8" s="6">
        <v>134</v>
      </c>
      <c r="V8" s="6">
        <v>36</v>
      </c>
      <c r="W8" s="9">
        <v>4</v>
      </c>
      <c r="X8" s="9">
        <v>156</v>
      </c>
      <c r="Y8" s="10">
        <f t="shared" si="1"/>
        <v>1.4227642276422765</v>
      </c>
      <c r="Z8" s="8">
        <f t="shared" si="2"/>
        <v>2.7222222222222223</v>
      </c>
      <c r="AA8" s="8">
        <f t="shared" si="3"/>
        <v>0.41213397362029625</v>
      </c>
      <c r="AB8" s="8">
        <f t="shared" si="4"/>
        <v>0.22831050228310501</v>
      </c>
      <c r="AC8" s="8">
        <f t="shared" si="5"/>
        <v>0.44966442953020136</v>
      </c>
      <c r="AD8" s="7">
        <f t="shared" si="6"/>
        <v>16.75</v>
      </c>
      <c r="AE8" s="11">
        <f t="shared" si="7"/>
        <v>1.9469387755102041</v>
      </c>
      <c r="AF8" s="7">
        <f t="shared" si="8"/>
        <v>215</v>
      </c>
      <c r="AG8" s="11">
        <f t="shared" si="9"/>
        <v>1.1959287531806615E-3</v>
      </c>
      <c r="AH8" s="11">
        <f t="shared" si="10"/>
        <v>0.51362683438155132</v>
      </c>
      <c r="AI8" s="8">
        <f t="shared" si="11"/>
        <v>0.1272264631043257</v>
      </c>
      <c r="AJ8" s="7">
        <f t="shared" si="12"/>
        <v>6.25</v>
      </c>
      <c r="AK8" s="8">
        <f t="shared" si="13"/>
        <v>7.7760497667185069E-2</v>
      </c>
      <c r="AL8" s="7">
        <f t="shared" ca="1" si="14"/>
        <v>64.537157757496743</v>
      </c>
      <c r="AM8" s="8">
        <f t="shared" ca="1" si="15"/>
        <v>1.5494949494949495E-2</v>
      </c>
      <c r="AN8" s="7">
        <f t="shared" si="16"/>
        <v>50.125</v>
      </c>
      <c r="AO8" s="7">
        <f t="shared" ca="1" si="17"/>
        <v>19.75062344139651</v>
      </c>
    </row>
    <row r="9" spans="1:41" ht="15.75" customHeight="1" x14ac:dyDescent="0.3">
      <c r="A9" s="4">
        <v>543270</v>
      </c>
      <c r="B9" s="5" t="s">
        <v>48</v>
      </c>
      <c r="C9" s="6">
        <f ca="1">IFERROR(__xludf.DUMMYFUNCTION("GOOGLEFINANCE(""bom:""&amp;A9,""price"")"),2113.95)</f>
        <v>2113.9499999999998</v>
      </c>
      <c r="D9" s="7">
        <f ca="1">IFERROR(__xludf.DUMMYFUNCTION("GOOGLEFINANCE(""bom:""&amp;A9,""marketcap"")/10000000"),6496.423296)</f>
        <v>6496.4232959999999</v>
      </c>
      <c r="E9" s="6">
        <v>678</v>
      </c>
      <c r="F9" s="6">
        <v>297</v>
      </c>
      <c r="G9" s="6">
        <v>1066</v>
      </c>
      <c r="H9" s="6">
        <v>404</v>
      </c>
      <c r="I9" s="6">
        <v>31</v>
      </c>
      <c r="J9" s="6">
        <v>661</v>
      </c>
      <c r="K9" s="6">
        <v>249</v>
      </c>
      <c r="L9" s="6">
        <v>186</v>
      </c>
      <c r="M9" s="6">
        <v>10</v>
      </c>
      <c r="N9" s="6">
        <f ca="1">IFERROR(__xludf.DUMMYFUNCTION("GOOGLEFINANCE(""bom:""&amp;A9,""EPS"")"),26.76)</f>
        <v>26.76</v>
      </c>
      <c r="O9" s="8">
        <f t="shared" ca="1" si="0"/>
        <v>9.5723118458090877E-3</v>
      </c>
      <c r="P9" s="6">
        <v>159</v>
      </c>
      <c r="Q9" s="6">
        <v>574</v>
      </c>
      <c r="R9" s="6">
        <v>103</v>
      </c>
      <c r="S9" s="6">
        <v>437</v>
      </c>
      <c r="T9" s="6">
        <v>377</v>
      </c>
      <c r="U9" s="6">
        <v>51</v>
      </c>
      <c r="V9" s="6">
        <v>72</v>
      </c>
      <c r="W9" s="9">
        <v>15</v>
      </c>
      <c r="X9" s="9">
        <v>453</v>
      </c>
      <c r="Y9" s="10">
        <f t="shared" si="1"/>
        <v>0.15915119363395225</v>
      </c>
      <c r="Z9" s="8">
        <f t="shared" si="2"/>
        <v>-0.29166666666666663</v>
      </c>
      <c r="AA9" s="8">
        <f t="shared" si="3"/>
        <v>0.29271549247162887</v>
      </c>
      <c r="AB9" s="8">
        <f t="shared" si="4"/>
        <v>0.17944250871080139</v>
      </c>
      <c r="AC9" s="8">
        <f t="shared" si="5"/>
        <v>0.11670480549199085</v>
      </c>
      <c r="AD9" s="7">
        <f t="shared" si="6"/>
        <v>9.0666666666666664</v>
      </c>
      <c r="AE9" s="11">
        <f t="shared" si="7"/>
        <v>2.2828282828282829</v>
      </c>
      <c r="AF9" s="7">
        <f t="shared" si="8"/>
        <v>118.27526132404181</v>
      </c>
      <c r="AG9" s="11">
        <f t="shared" si="9"/>
        <v>0.37670196671709533</v>
      </c>
      <c r="AH9" s="11">
        <f t="shared" si="10"/>
        <v>0.43805309734513276</v>
      </c>
      <c r="AI9" s="8">
        <f t="shared" si="11"/>
        <v>0.15582450832072617</v>
      </c>
      <c r="AJ9" s="7">
        <f t="shared" si="12"/>
        <v>3.3225806451612905</v>
      </c>
      <c r="AK9" s="8">
        <f t="shared" si="13"/>
        <v>9.662288930581614E-2</v>
      </c>
      <c r="AL9" s="7">
        <f t="shared" ca="1" si="14"/>
        <v>78.99663677130043</v>
      </c>
      <c r="AM9" s="8">
        <f t="shared" ca="1" si="15"/>
        <v>1.2658766763641525E-2</v>
      </c>
      <c r="AN9" s="7">
        <f t="shared" si="16"/>
        <v>223.2258064516129</v>
      </c>
      <c r="AO9" s="7">
        <f t="shared" ca="1" si="17"/>
        <v>9.470007225433525</v>
      </c>
    </row>
    <row r="10" spans="1:41" ht="15.75" customHeight="1" x14ac:dyDescent="0.3">
      <c r="A10" s="4">
        <v>532493</v>
      </c>
      <c r="B10" s="5" t="s">
        <v>49</v>
      </c>
      <c r="C10" s="6">
        <f ca="1">IFERROR(__xludf.DUMMYFUNCTION("GOOGLEFINANCE(""bom:""&amp;A10,""price"")"),771.5)</f>
        <v>771.5</v>
      </c>
      <c r="D10" s="7">
        <f ca="1">IFERROR(__xludf.DUMMYFUNCTION("GOOGLEFINANCE(""bom:""&amp;A10,""marketcap"")/10000000"),7336.874875)</f>
        <v>7336.8748750000004</v>
      </c>
      <c r="E10" s="6">
        <v>961</v>
      </c>
      <c r="F10" s="6">
        <v>256</v>
      </c>
      <c r="G10" s="6">
        <v>1185</v>
      </c>
      <c r="H10" s="6">
        <v>315</v>
      </c>
      <c r="I10" s="6">
        <v>18</v>
      </c>
      <c r="J10" s="6">
        <v>869</v>
      </c>
      <c r="K10" s="6">
        <v>68</v>
      </c>
      <c r="L10" s="6">
        <v>283</v>
      </c>
      <c r="M10" s="6">
        <v>2</v>
      </c>
      <c r="N10" s="6">
        <f ca="1">IFERROR(__xludf.DUMMYFUNCTION("GOOGLEFINANCE(""bom:""&amp;A10,""EPS"")"),8.56)</f>
        <v>8.56</v>
      </c>
      <c r="O10" s="8">
        <f t="shared" ca="1" si="0"/>
        <v>1.0810695528480166E-2</v>
      </c>
      <c r="P10" s="6">
        <v>366</v>
      </c>
      <c r="Q10" s="6">
        <v>815</v>
      </c>
      <c r="R10" s="6">
        <v>70</v>
      </c>
      <c r="S10" s="6">
        <v>554</v>
      </c>
      <c r="T10" s="6">
        <v>557</v>
      </c>
      <c r="U10" s="6">
        <v>66</v>
      </c>
      <c r="V10" s="6">
        <v>56</v>
      </c>
      <c r="W10" s="9">
        <v>30</v>
      </c>
      <c r="X10" s="9">
        <v>722</v>
      </c>
      <c r="Y10" s="10">
        <f t="shared" si="1"/>
        <v>-5.3859964093356805E-3</v>
      </c>
      <c r="Z10" s="8">
        <f t="shared" si="2"/>
        <v>0.1785714285714286</v>
      </c>
      <c r="AA10" s="8">
        <f t="shared" si="3"/>
        <v>0.17364108625028796</v>
      </c>
      <c r="AB10" s="8">
        <f t="shared" si="4"/>
        <v>8.5889570552147243E-2</v>
      </c>
      <c r="AC10" s="8">
        <f t="shared" si="5"/>
        <v>0.11913357400722022</v>
      </c>
      <c r="AD10" s="7">
        <f t="shared" si="6"/>
        <v>4.0999999999999996</v>
      </c>
      <c r="AE10" s="11">
        <f t="shared" si="7"/>
        <v>3.75390625</v>
      </c>
      <c r="AF10" s="7">
        <f t="shared" si="8"/>
        <v>126.74233128834355</v>
      </c>
      <c r="AG10" s="11">
        <f t="shared" si="9"/>
        <v>7.8250863060989648E-2</v>
      </c>
      <c r="AH10" s="11">
        <f t="shared" si="10"/>
        <v>0.26638917793964623</v>
      </c>
      <c r="AI10" s="8">
        <f t="shared" si="11"/>
        <v>8.0552359033371698E-2</v>
      </c>
      <c r="AJ10" s="7">
        <f t="shared" si="12"/>
        <v>3.8888888888888888</v>
      </c>
      <c r="AK10" s="8">
        <f t="shared" si="13"/>
        <v>5.9071729957805907E-2</v>
      </c>
      <c r="AL10" s="7">
        <f t="shared" ca="1" si="14"/>
        <v>90.128504672897193</v>
      </c>
      <c r="AM10" s="8">
        <f t="shared" ca="1" si="15"/>
        <v>1.1095268956578095E-2</v>
      </c>
      <c r="AN10" s="7">
        <f t="shared" si="16"/>
        <v>98.555555555555557</v>
      </c>
      <c r="AO10" s="7">
        <f t="shared" ca="1" si="17"/>
        <v>7.8280721533258175</v>
      </c>
    </row>
    <row r="11" spans="1:41" ht="15.75" customHeight="1" x14ac:dyDescent="0.3">
      <c r="A11" s="4">
        <v>540879</v>
      </c>
      <c r="B11" s="5" t="s">
        <v>50</v>
      </c>
      <c r="C11" s="6">
        <f ca="1">IFERROR(__xludf.DUMMYFUNCTION("GOOGLEFINANCE(""bom:""&amp;A11,""price"")"),110.45)</f>
        <v>110.45</v>
      </c>
      <c r="D11" s="7">
        <f ca="1">IFERROR(__xludf.DUMMYFUNCTION("GOOGLEFINANCE(""bom:""&amp;A11,""marketcap"")/10000000"),3303.9360432)</f>
        <v>3303.9360431999999</v>
      </c>
      <c r="E11" s="6">
        <v>613</v>
      </c>
      <c r="F11" s="6">
        <v>312</v>
      </c>
      <c r="G11" s="6">
        <v>771</v>
      </c>
      <c r="H11" s="6">
        <v>345</v>
      </c>
      <c r="I11" s="6">
        <v>23</v>
      </c>
      <c r="J11" s="6">
        <v>427</v>
      </c>
      <c r="K11" s="6">
        <v>169</v>
      </c>
      <c r="L11" s="6">
        <v>147</v>
      </c>
      <c r="M11" s="6">
        <v>1</v>
      </c>
      <c r="N11" s="6">
        <f ca="1">IFERROR(__xludf.DUMMYFUNCTION("GOOGLEFINANCE(""bom:""&amp;A11,""EPS"")"),1.16)</f>
        <v>1.1599999999999999</v>
      </c>
      <c r="O11" s="8">
        <f t="shared" ca="1" si="0"/>
        <v>4.8682643791995552E-3</v>
      </c>
      <c r="P11" s="6">
        <v>220</v>
      </c>
      <c r="Q11" s="6">
        <v>297</v>
      </c>
      <c r="R11" s="6">
        <v>19</v>
      </c>
      <c r="S11" s="6">
        <v>236</v>
      </c>
      <c r="T11" s="6">
        <v>191</v>
      </c>
      <c r="U11" s="6">
        <v>18</v>
      </c>
      <c r="V11" s="6">
        <v>11</v>
      </c>
      <c r="W11" s="9">
        <v>23</v>
      </c>
      <c r="X11" s="9">
        <v>266</v>
      </c>
      <c r="Y11" s="10">
        <f t="shared" si="1"/>
        <v>0.23560209424083767</v>
      </c>
      <c r="Z11" s="8">
        <f t="shared" si="2"/>
        <v>0.63636363636363646</v>
      </c>
      <c r="AA11" s="8">
        <f t="shared" si="3"/>
        <v>6.1858758794934632E-2</v>
      </c>
      <c r="AB11" s="8">
        <f t="shared" si="4"/>
        <v>6.3973063973063973E-2</v>
      </c>
      <c r="AC11" s="8">
        <f t="shared" si="5"/>
        <v>7.6271186440677971E-2</v>
      </c>
      <c r="AD11" s="7">
        <f t="shared" si="6"/>
        <v>2.347826086956522</v>
      </c>
      <c r="AE11" s="11">
        <f t="shared" si="7"/>
        <v>1.9647435897435896</v>
      </c>
      <c r="AF11" s="7">
        <f t="shared" si="8"/>
        <v>180.65656565656568</v>
      </c>
      <c r="AG11" s="11">
        <f t="shared" si="9"/>
        <v>0.39578454332552693</v>
      </c>
      <c r="AH11" s="11">
        <f t="shared" si="10"/>
        <v>0.50897226753670477</v>
      </c>
      <c r="AI11" s="8">
        <f t="shared" si="11"/>
        <v>4.449648711943794E-2</v>
      </c>
      <c r="AJ11" s="7">
        <f t="shared" si="12"/>
        <v>0.82608695652173914</v>
      </c>
      <c r="AK11" s="8">
        <f t="shared" si="13"/>
        <v>2.464332036316472E-2</v>
      </c>
      <c r="AL11" s="7">
        <f t="shared" ca="1" si="14"/>
        <v>95.215517241379317</v>
      </c>
      <c r="AM11" s="8">
        <f t="shared" ca="1" si="15"/>
        <v>1.0502489814395654E-2</v>
      </c>
      <c r="AN11" s="7">
        <f t="shared" si="16"/>
        <v>19.565217391304348</v>
      </c>
      <c r="AO11" s="7">
        <f t="shared" ca="1" si="17"/>
        <v>5.6452222222222224</v>
      </c>
    </row>
    <row r="12" spans="1:41" ht="15.75" customHeight="1" x14ac:dyDescent="0.3">
      <c r="A12" s="4">
        <v>543650</v>
      </c>
      <c r="B12" s="5" t="s">
        <v>51</v>
      </c>
      <c r="C12" s="6">
        <f ca="1">IFERROR(__xludf.DUMMYFUNCTION("GOOGLEFINANCE(""bom:""&amp;A12,""price"")"),338.7)</f>
        <v>338.7</v>
      </c>
      <c r="D12" s="7">
        <f ca="1">IFERROR(__xludf.DUMMYFUNCTION("GOOGLEFINANCE(""bom:""&amp;A12,""marketcap"")/10000000"),3774.933568)</f>
        <v>3774.9335679999999</v>
      </c>
      <c r="E12" s="6">
        <v>1066</v>
      </c>
      <c r="F12" s="6">
        <v>505</v>
      </c>
      <c r="G12" s="6">
        <v>1118</v>
      </c>
      <c r="H12" s="6">
        <v>527</v>
      </c>
      <c r="I12" s="6">
        <v>19</v>
      </c>
      <c r="J12" s="6">
        <v>591</v>
      </c>
      <c r="K12" s="6">
        <v>433</v>
      </c>
      <c r="L12" s="6">
        <v>213</v>
      </c>
      <c r="M12" s="6">
        <v>2</v>
      </c>
      <c r="N12" s="6">
        <f ca="1">IFERROR(__xludf.DUMMYFUNCTION("GOOGLEFINANCE(""bom:""&amp;A12,""EPS"")"),7.61)</f>
        <v>7.61</v>
      </c>
      <c r="O12" s="8">
        <f t="shared" ca="1" si="0"/>
        <v>5.5622670604543022E-3</v>
      </c>
      <c r="P12" s="6">
        <v>300</v>
      </c>
      <c r="Q12" s="6">
        <v>1252</v>
      </c>
      <c r="R12" s="6">
        <v>72</v>
      </c>
      <c r="S12" s="6">
        <v>677</v>
      </c>
      <c r="T12" s="6">
        <v>743</v>
      </c>
      <c r="U12" s="6">
        <v>42</v>
      </c>
      <c r="V12" s="6">
        <v>30</v>
      </c>
      <c r="W12" s="9">
        <v>26</v>
      </c>
      <c r="X12" s="9">
        <v>1197</v>
      </c>
      <c r="Y12" s="10">
        <f t="shared" si="1"/>
        <v>-8.8829071332436116E-2</v>
      </c>
      <c r="Z12" s="8">
        <f t="shared" si="2"/>
        <v>0.39999999999999991</v>
      </c>
      <c r="AA12" s="8">
        <f t="shared" si="3"/>
        <v>0.33075042894076834</v>
      </c>
      <c r="AB12" s="8">
        <f t="shared" si="4"/>
        <v>5.7507987220447282E-2</v>
      </c>
      <c r="AC12" s="8">
        <f t="shared" si="5"/>
        <v>6.2038404726735601E-2</v>
      </c>
      <c r="AD12" s="7">
        <f t="shared" si="6"/>
        <v>3.1153846153846154</v>
      </c>
      <c r="AE12" s="11">
        <f t="shared" si="7"/>
        <v>2.110891089108911</v>
      </c>
      <c r="AF12" s="7">
        <f t="shared" si="8"/>
        <v>62.096645367412137</v>
      </c>
      <c r="AG12" s="11">
        <f t="shared" si="9"/>
        <v>0.73265651438240276</v>
      </c>
      <c r="AH12" s="11">
        <f t="shared" si="10"/>
        <v>0.47373358348968103</v>
      </c>
      <c r="AI12" s="8">
        <f t="shared" si="11"/>
        <v>0.12182741116751269</v>
      </c>
      <c r="AJ12" s="7">
        <f t="shared" si="12"/>
        <v>3.7894736842105261</v>
      </c>
      <c r="AK12" s="8">
        <f t="shared" si="13"/>
        <v>6.4400715563506267E-2</v>
      </c>
      <c r="AL12" s="7">
        <f t="shared" ca="1" si="14"/>
        <v>44.50722733245729</v>
      </c>
      <c r="AM12" s="8">
        <f t="shared" ca="1" si="15"/>
        <v>2.2468260997933275E-2</v>
      </c>
      <c r="AN12" s="7">
        <f t="shared" si="16"/>
        <v>64.21052631578948</v>
      </c>
      <c r="AO12" s="7">
        <f t="shared" ca="1" si="17"/>
        <v>5.27483606557377</v>
      </c>
    </row>
    <row r="13" spans="1:41" ht="15.75" customHeight="1" x14ac:dyDescent="0.3">
      <c r="A13" s="4">
        <v>543932</v>
      </c>
      <c r="B13" s="5" t="s">
        <v>52</v>
      </c>
      <c r="C13" s="6">
        <f ca="1">IFERROR(__xludf.DUMMYFUNCTION("GOOGLEFINANCE(""bom:""&amp;A13,""price"")"),692.25)</f>
        <v>692.25</v>
      </c>
      <c r="D13" s="7">
        <f ca="1">IFERROR(__xludf.DUMMYFUNCTION("GOOGLEFINANCE(""bom:""&amp;A13,""marketcap"")/10000000"),2966.0468857)</f>
        <v>2966.0468857000001</v>
      </c>
      <c r="E13" s="6">
        <v>595</v>
      </c>
      <c r="F13" s="6">
        <v>64</v>
      </c>
      <c r="G13" s="6">
        <v>709</v>
      </c>
      <c r="H13" s="6">
        <v>77</v>
      </c>
      <c r="I13" s="6">
        <v>42</v>
      </c>
      <c r="J13" s="6">
        <v>631</v>
      </c>
      <c r="K13" s="6">
        <v>0</v>
      </c>
      <c r="L13" s="6">
        <v>26</v>
      </c>
      <c r="M13" s="6">
        <v>10</v>
      </c>
      <c r="N13" s="6">
        <v>7.06</v>
      </c>
      <c r="O13" s="8">
        <f t="shared" ca="1" si="0"/>
        <v>4.3703934373692738E-3</v>
      </c>
      <c r="P13" s="6">
        <v>14</v>
      </c>
      <c r="Q13" s="6">
        <v>186</v>
      </c>
      <c r="R13" s="6">
        <v>32</v>
      </c>
      <c r="S13" s="6">
        <v>212</v>
      </c>
      <c r="T13" s="6">
        <v>147</v>
      </c>
      <c r="U13" s="6">
        <v>35</v>
      </c>
      <c r="V13" s="6">
        <v>37</v>
      </c>
      <c r="W13" s="9">
        <v>86</v>
      </c>
      <c r="X13" s="9">
        <v>155</v>
      </c>
      <c r="Y13" s="10">
        <f t="shared" si="1"/>
        <v>0.44217687074829937</v>
      </c>
      <c r="Z13" s="8">
        <f t="shared" si="2"/>
        <v>-5.4054054054054057E-2</v>
      </c>
      <c r="AA13" s="8">
        <f>(Q13/P13)^(1/3)-1</f>
        <v>1.3684359044831225</v>
      </c>
      <c r="AB13" s="8">
        <f t="shared" si="4"/>
        <v>0.17204301075268819</v>
      </c>
      <c r="AC13" s="8">
        <f t="shared" si="5"/>
        <v>0.1650943396226415</v>
      </c>
      <c r="AD13" s="7">
        <f t="shared" si="6"/>
        <v>1.3604651162790697</v>
      </c>
      <c r="AE13" s="11">
        <f t="shared" si="7"/>
        <v>9.296875</v>
      </c>
      <c r="AF13" s="7">
        <f t="shared" si="8"/>
        <v>51.021505376344081</v>
      </c>
      <c r="AG13" s="11">
        <f t="shared" si="9"/>
        <v>0</v>
      </c>
      <c r="AH13" s="11">
        <f t="shared" si="10"/>
        <v>0.10756302521008404</v>
      </c>
      <c r="AI13" s="8">
        <f t="shared" si="11"/>
        <v>5.0713153724247229E-2</v>
      </c>
      <c r="AJ13" s="7">
        <f t="shared" si="12"/>
        <v>0.76190476190476186</v>
      </c>
      <c r="AK13" s="8">
        <f t="shared" si="13"/>
        <v>4.5133991537376586E-2</v>
      </c>
      <c r="AL13" s="7">
        <f t="shared" ca="1" si="14"/>
        <v>98.052407932011334</v>
      </c>
      <c r="AM13" s="8">
        <f t="shared" ca="1" si="15"/>
        <v>1.0198627663416395E-2</v>
      </c>
      <c r="AN13" s="7">
        <f t="shared" si="16"/>
        <v>160.23809523809524</v>
      </c>
      <c r="AO13" s="7">
        <f t="shared" ca="1" si="17"/>
        <v>4.3201337295690934</v>
      </c>
    </row>
    <row r="14" spans="1:41" ht="15.75" customHeight="1" x14ac:dyDescent="0.3">
      <c r="A14" s="4">
        <v>543367</v>
      </c>
      <c r="B14" s="5" t="s">
        <v>53</v>
      </c>
      <c r="C14" s="6">
        <f ca="1">IFERROR(__xludf.DUMMYFUNCTION("GOOGLEFINANCE(""bom:""&amp;A14,""price"")"),777)</f>
        <v>777</v>
      </c>
      <c r="D14" s="7">
        <f ca="1">IFERROR(__xludf.DUMMYFUNCTION("GOOGLEFINANCE(""bom:""&amp;A14,""marketcap"")/10000000"),3027.211425)</f>
        <v>3027.211425</v>
      </c>
      <c r="E14" s="6">
        <v>349</v>
      </c>
      <c r="F14" s="6">
        <v>119</v>
      </c>
      <c r="G14" s="6">
        <v>572</v>
      </c>
      <c r="H14" s="6">
        <v>144</v>
      </c>
      <c r="I14" s="6">
        <v>39</v>
      </c>
      <c r="J14" s="6">
        <v>428</v>
      </c>
      <c r="K14" s="6">
        <v>40</v>
      </c>
      <c r="L14" s="6">
        <v>175</v>
      </c>
      <c r="M14" s="6">
        <v>10</v>
      </c>
      <c r="N14" s="6">
        <f ca="1">IFERROR(__xludf.DUMMYFUNCTION("GOOGLEFINANCE(""bom:""&amp;A14,""EPS"")"),8.43)</f>
        <v>8.43</v>
      </c>
      <c r="O14" s="8">
        <f t="shared" ca="1" si="0"/>
        <v>4.4605178054111993E-3</v>
      </c>
      <c r="P14" s="6">
        <v>143</v>
      </c>
      <c r="Q14" s="6">
        <v>222</v>
      </c>
      <c r="R14" s="6">
        <v>36</v>
      </c>
      <c r="S14" s="6">
        <v>174</v>
      </c>
      <c r="T14" s="6">
        <v>157</v>
      </c>
      <c r="U14" s="6">
        <v>20</v>
      </c>
      <c r="V14" s="6">
        <v>24</v>
      </c>
      <c r="W14" s="9">
        <v>7</v>
      </c>
      <c r="X14" s="9">
        <v>183</v>
      </c>
      <c r="Y14" s="10">
        <f t="shared" si="1"/>
        <v>0.10828025477707004</v>
      </c>
      <c r="Z14" s="8">
        <f t="shared" si="2"/>
        <v>-0.16666666666666663</v>
      </c>
      <c r="AA14" s="8">
        <f t="shared" ref="AA14:AA15" si="18">(Q14/P14)^(1/5)-1</f>
        <v>9.1951595988549295E-2</v>
      </c>
      <c r="AB14" s="8">
        <f t="shared" si="4"/>
        <v>0.16216216216216217</v>
      </c>
      <c r="AC14" s="8">
        <f t="shared" si="5"/>
        <v>0.11494252873563218</v>
      </c>
      <c r="AD14" s="7">
        <f t="shared" si="6"/>
        <v>6.5714285714285712</v>
      </c>
      <c r="AE14" s="11">
        <f t="shared" si="7"/>
        <v>2.9327731092436973</v>
      </c>
      <c r="AF14" s="7">
        <f t="shared" si="8"/>
        <v>287.72522522522524</v>
      </c>
      <c r="AG14" s="11">
        <f t="shared" si="9"/>
        <v>9.3457943925233641E-2</v>
      </c>
      <c r="AH14" s="11">
        <f t="shared" si="10"/>
        <v>0.34097421203438394</v>
      </c>
      <c r="AI14" s="8">
        <f t="shared" si="11"/>
        <v>8.4112149532710276E-2</v>
      </c>
      <c r="AJ14" s="7">
        <f t="shared" si="12"/>
        <v>0.92307692307692313</v>
      </c>
      <c r="AK14" s="8">
        <f t="shared" si="13"/>
        <v>6.2937062937062943E-2</v>
      </c>
      <c r="AL14" s="7">
        <f t="shared" ca="1" si="14"/>
        <v>92.170818505338076</v>
      </c>
      <c r="AM14" s="8">
        <f t="shared" ca="1" si="15"/>
        <v>1.084942084942085E-2</v>
      </c>
      <c r="AN14" s="7">
        <f t="shared" si="16"/>
        <v>119.74358974358975</v>
      </c>
      <c r="AO14" s="7">
        <f t="shared" ca="1" si="17"/>
        <v>6.488865096359743</v>
      </c>
    </row>
    <row r="15" spans="1:41" ht="15.75" customHeight="1" x14ac:dyDescent="0.3">
      <c r="A15" s="4">
        <v>533168</v>
      </c>
      <c r="B15" s="5" t="s">
        <v>54</v>
      </c>
      <c r="C15" s="6">
        <f ca="1">IFERROR(__xludf.DUMMYFUNCTION("GOOGLEFINANCE(""bom:""&amp;A15,""price"")"),468.95)</f>
        <v>468.95</v>
      </c>
      <c r="D15" s="7">
        <f ca="1">IFERROR(__xludf.DUMMYFUNCTION("GOOGLEFINANCE(""bom:""&amp;A15,""marketcap"")/10000000"),1776.2161689)</f>
        <v>1776.2161689</v>
      </c>
      <c r="E15" s="6">
        <v>309</v>
      </c>
      <c r="F15" s="6">
        <v>264</v>
      </c>
      <c r="G15" s="6">
        <v>588</v>
      </c>
      <c r="H15" s="6">
        <v>277</v>
      </c>
      <c r="I15" s="6">
        <v>7</v>
      </c>
      <c r="J15" s="6">
        <v>311</v>
      </c>
      <c r="K15" s="6">
        <v>199</v>
      </c>
      <c r="L15" s="6">
        <v>69</v>
      </c>
      <c r="M15" s="6">
        <v>2</v>
      </c>
      <c r="N15" s="6">
        <f ca="1">IFERROR(__xludf.DUMMYFUNCTION("GOOGLEFINANCE(""bom:""&amp;A15,""EPS"")"),3.42)</f>
        <v>3.42</v>
      </c>
      <c r="O15" s="8">
        <f t="shared" ca="1" si="0"/>
        <v>2.6172086238204243E-3</v>
      </c>
      <c r="P15" s="6">
        <v>198</v>
      </c>
      <c r="Q15" s="6">
        <v>354</v>
      </c>
      <c r="R15" s="6">
        <v>28</v>
      </c>
      <c r="S15" s="6">
        <v>295</v>
      </c>
      <c r="T15" s="6">
        <v>283</v>
      </c>
      <c r="U15" s="6">
        <v>32</v>
      </c>
      <c r="V15" s="6">
        <v>48</v>
      </c>
      <c r="W15" s="9">
        <v>12</v>
      </c>
      <c r="X15" s="9">
        <v>326</v>
      </c>
      <c r="Y15" s="10">
        <f t="shared" si="1"/>
        <v>4.2402826855123754E-2</v>
      </c>
      <c r="Z15" s="8">
        <f t="shared" si="2"/>
        <v>-0.33333333333333337</v>
      </c>
      <c r="AA15" s="8">
        <f t="shared" si="18"/>
        <v>0.12322720670278753</v>
      </c>
      <c r="AB15" s="8">
        <f t="shared" si="4"/>
        <v>7.909604519774012E-2</v>
      </c>
      <c r="AC15" s="8">
        <f t="shared" si="5"/>
        <v>0.10847457627118644</v>
      </c>
      <c r="AD15" s="7">
        <f t="shared" si="6"/>
        <v>3.3333333333333335</v>
      </c>
      <c r="AE15" s="11">
        <f t="shared" si="7"/>
        <v>1.1704545454545454</v>
      </c>
      <c r="AF15" s="7">
        <f t="shared" si="8"/>
        <v>71.144067796610173</v>
      </c>
      <c r="AG15" s="11">
        <f t="shared" si="9"/>
        <v>0.63987138263665599</v>
      </c>
      <c r="AH15" s="11">
        <f t="shared" si="10"/>
        <v>0.85436893203883491</v>
      </c>
      <c r="AI15" s="8">
        <f t="shared" si="11"/>
        <v>9.0032154340836015E-2</v>
      </c>
      <c r="AJ15" s="7">
        <f t="shared" si="12"/>
        <v>4</v>
      </c>
      <c r="AK15" s="8">
        <f t="shared" si="13"/>
        <v>4.7619047619047616E-2</v>
      </c>
      <c r="AL15" s="7">
        <f t="shared" ca="1" si="14"/>
        <v>137.11988304093566</v>
      </c>
      <c r="AM15" s="8">
        <f t="shared" ca="1" si="15"/>
        <v>7.2928883676298111E-3</v>
      </c>
      <c r="AN15" s="7">
        <f t="shared" si="16"/>
        <v>90.857142857142861</v>
      </c>
      <c r="AO15" s="7">
        <f t="shared" ca="1" si="17"/>
        <v>5.1613993710691819</v>
      </c>
    </row>
    <row r="16" spans="1:41" ht="15.75" customHeight="1" x14ac:dyDescent="0.3">
      <c r="A16" s="4">
        <v>535136</v>
      </c>
      <c r="B16" s="5" t="s">
        <v>55</v>
      </c>
      <c r="C16" s="6">
        <f ca="1">IFERROR(__xludf.DUMMYFUNCTION("GOOGLEFINANCE(""bom:""&amp;A16,""price"")"),1512.85)</f>
        <v>1512.85</v>
      </c>
      <c r="D16" s="7">
        <f ca="1">IFERROR(__xludf.DUMMYFUNCTION("GOOGLEFINANCE(""bom:""&amp;A16,""marketcap"")/10000000"),2067.071)</f>
        <v>2067.0709999999999</v>
      </c>
      <c r="O16" s="8">
        <f t="shared" ca="1" si="0"/>
        <v>3.0457757011633679E-3</v>
      </c>
    </row>
    <row r="17" spans="1:41" ht="15.75" customHeight="1" x14ac:dyDescent="0.3">
      <c r="A17" s="4">
        <v>522229</v>
      </c>
      <c r="B17" s="5" t="s">
        <v>56</v>
      </c>
      <c r="C17" s="6">
        <f ca="1">IFERROR(__xludf.DUMMYFUNCTION("GOOGLEFINANCE(""bom:""&amp;A17,""price"")"),441.6)</f>
        <v>441.6</v>
      </c>
      <c r="D17" s="7">
        <f ca="1">IFERROR(__xludf.DUMMYFUNCTION("GOOGLEFINANCE(""bom:""&amp;A17,""marketcap"")/10000000"),1126.1034203)</f>
        <v>1126.1034202999999</v>
      </c>
      <c r="O17" s="8">
        <f t="shared" ca="1" si="0"/>
        <v>1.6592842889996033E-3</v>
      </c>
    </row>
    <row r="18" spans="1:41" ht="15.75" customHeight="1" x14ac:dyDescent="0.3">
      <c r="A18" s="4">
        <v>543920</v>
      </c>
      <c r="B18" s="5" t="s">
        <v>57</v>
      </c>
      <c r="C18" s="6">
        <f ca="1">IFERROR(__xludf.DUMMYFUNCTION("GOOGLEFINANCE(""bom:""&amp;A18,""price"")"),485)</f>
        <v>485</v>
      </c>
      <c r="D18" s="7">
        <f ca="1">IFERROR(__xludf.DUMMYFUNCTION("GOOGLEFINANCE(""bom:""&amp;A18,""marketcap"")/10000000"),944.493365)</f>
        <v>944.49336500000004</v>
      </c>
      <c r="O18" s="8">
        <f t="shared" ca="1" si="0"/>
        <v>1.391686565689821E-3</v>
      </c>
    </row>
    <row r="19" spans="1:41" ht="15.75" customHeight="1" x14ac:dyDescent="0.3">
      <c r="A19" s="4">
        <v>523606</v>
      </c>
      <c r="B19" s="5" t="s">
        <v>58</v>
      </c>
      <c r="C19" s="6">
        <f ca="1">IFERROR(__xludf.DUMMYFUNCTION("GOOGLEFINANCE(""bom:""&amp;A19,""price"")"),2690)</f>
        <v>2690</v>
      </c>
      <c r="D19" s="7">
        <f ca="1">IFERROR(__xludf.DUMMYFUNCTION("GOOGLEFINANCE(""bom:""&amp;A19,""marketcap"")/10000000"),1140.607075)</f>
        <v>1140.6070749999999</v>
      </c>
      <c r="O19" s="8">
        <f t="shared" ca="1" si="0"/>
        <v>1.6806550493959922E-3</v>
      </c>
    </row>
    <row r="20" spans="1:41" ht="15.75" customHeight="1" x14ac:dyDescent="0.3"/>
    <row r="21" spans="1:41" ht="15.75" customHeight="1" x14ac:dyDescent="0.3"/>
    <row r="22" spans="1:41" ht="15.75" customHeight="1" x14ac:dyDescent="0.3">
      <c r="A22" s="12"/>
      <c r="B22" s="12" t="s">
        <v>59</v>
      </c>
      <c r="C22" s="12"/>
      <c r="D22" s="13">
        <f t="shared" ref="D22:L22" ca="1" si="19">SUM(D2:D19)</f>
        <v>678668.16299389978</v>
      </c>
      <c r="E22" s="12">
        <f t="shared" si="19"/>
        <v>113649</v>
      </c>
      <c r="F22" s="12">
        <f t="shared" si="19"/>
        <v>69239</v>
      </c>
      <c r="G22" s="12">
        <f t="shared" si="19"/>
        <v>139728</v>
      </c>
      <c r="H22" s="12">
        <f t="shared" si="19"/>
        <v>87962.9</v>
      </c>
      <c r="I22" s="12">
        <f t="shared" si="19"/>
        <v>1747</v>
      </c>
      <c r="J22" s="12">
        <f t="shared" si="19"/>
        <v>51759</v>
      </c>
      <c r="K22" s="12">
        <f t="shared" si="19"/>
        <v>1550.47</v>
      </c>
      <c r="L22" s="12">
        <f t="shared" si="19"/>
        <v>14987</v>
      </c>
      <c r="M22" s="12">
        <f>MEDIAN(M2:M15)</f>
        <v>3.5</v>
      </c>
      <c r="N22" s="12">
        <f t="shared" ref="N22:X22" ca="1" si="20">SUM(N2:N19)</f>
        <v>288.38000000000005</v>
      </c>
      <c r="O22" s="14">
        <f t="shared" ca="1" si="20"/>
        <v>1.0000000000000002</v>
      </c>
      <c r="P22" s="12">
        <f t="shared" si="20"/>
        <v>37171</v>
      </c>
      <c r="Q22" s="12">
        <f t="shared" si="20"/>
        <v>54955</v>
      </c>
      <c r="R22" s="12">
        <f t="shared" si="20"/>
        <v>10038</v>
      </c>
      <c r="S22" s="12">
        <f t="shared" si="20"/>
        <v>35116</v>
      </c>
      <c r="T22" s="12">
        <f t="shared" si="20"/>
        <v>32487</v>
      </c>
      <c r="U22" s="12">
        <f t="shared" si="20"/>
        <v>6621</v>
      </c>
      <c r="V22" s="12">
        <f t="shared" si="20"/>
        <v>5444</v>
      </c>
      <c r="W22" s="13">
        <f t="shared" si="20"/>
        <v>321</v>
      </c>
      <c r="X22" s="13">
        <f t="shared" si="20"/>
        <v>45253</v>
      </c>
      <c r="Y22" s="10">
        <f>(S22/T22)-1</f>
        <v>8.0924677563332992E-2</v>
      </c>
      <c r="Z22" s="8">
        <f>(U22/V22)-1</f>
        <v>0.21620132255694346</v>
      </c>
      <c r="AA22" s="8">
        <f>(Q22/P22)^(1/5)-1</f>
        <v>8.1335829752430477E-2</v>
      </c>
      <c r="AB22" s="8">
        <f>R22/Q22</f>
        <v>0.18265853880447638</v>
      </c>
      <c r="AC22" s="8">
        <f>U22/S22</f>
        <v>0.18854653149561454</v>
      </c>
      <c r="AD22" s="7">
        <f>(Q22-X22+W22)/W22</f>
        <v>31.22429906542056</v>
      </c>
      <c r="AE22" s="11">
        <f>E22/F22</f>
        <v>1.6414015222634641</v>
      </c>
      <c r="AF22" s="7">
        <f>(L22/Q22)*365</f>
        <v>99.540624147029391</v>
      </c>
      <c r="AG22" s="11">
        <f>K22/J22</f>
        <v>2.9955563283680132E-2</v>
      </c>
      <c r="AH22" s="11">
        <f>F22/E22</f>
        <v>0.6092354530176245</v>
      </c>
      <c r="AI22" s="8">
        <f>R22/J22</f>
        <v>0.19393728626905465</v>
      </c>
      <c r="AJ22" s="7">
        <f>R22/I22</f>
        <v>5.7458500286204925</v>
      </c>
      <c r="AK22" s="8">
        <f>R22/G22</f>
        <v>7.1839574029543107E-2</v>
      </c>
      <c r="AL22" s="13">
        <f t="shared" ref="AL22:AM22" ca="1" si="21">MEDIAN(AL2:AL15)</f>
        <v>85.395073106967857</v>
      </c>
      <c r="AM22" s="14">
        <f t="shared" ca="1" si="21"/>
        <v>1.1746367735479369E-2</v>
      </c>
      <c r="AN22" s="7">
        <f>(J22+I22)/(I22/M22)</f>
        <v>107.19576416714366</v>
      </c>
      <c r="AO22" s="13">
        <f ca="1">MEDIAN(AO2:AO15)</f>
        <v>8.6490396893796717</v>
      </c>
    </row>
    <row r="23" spans="1:41" ht="15.75" customHeight="1" x14ac:dyDescent="0.3"/>
    <row r="24" spans="1:41" ht="15.75" customHeight="1" x14ac:dyDescent="0.3">
      <c r="A24" s="15" t="s">
        <v>59</v>
      </c>
    </row>
    <row r="25" spans="1:41" ht="15.75" customHeight="1" x14ac:dyDescent="0.3"/>
    <row r="26" spans="1:41" ht="15.75" customHeight="1" x14ac:dyDescent="0.3">
      <c r="B26" s="16" t="s">
        <v>1</v>
      </c>
      <c r="C26" s="16" t="s">
        <v>3</v>
      </c>
      <c r="F26" s="16" t="s">
        <v>1</v>
      </c>
      <c r="G26" s="16" t="s">
        <v>16</v>
      </c>
      <c r="J26" s="16" t="s">
        <v>1</v>
      </c>
      <c r="K26" s="16" t="s">
        <v>17</v>
      </c>
    </row>
    <row r="27" spans="1:41" ht="15.75" customHeight="1" x14ac:dyDescent="0.3">
      <c r="B27" s="17" t="s">
        <v>41</v>
      </c>
      <c r="C27" s="18">
        <v>200672.54698069999</v>
      </c>
      <c r="F27" s="17" t="s">
        <v>41</v>
      </c>
      <c r="G27" s="19">
        <v>26927</v>
      </c>
      <c r="J27" s="17" t="s">
        <v>41</v>
      </c>
      <c r="K27" s="19">
        <v>5828</v>
      </c>
    </row>
    <row r="28" spans="1:41" ht="15.75" customHeight="1" x14ac:dyDescent="0.3">
      <c r="B28" s="17" t="s">
        <v>42</v>
      </c>
      <c r="C28" s="18">
        <v>141444.71819859999</v>
      </c>
      <c r="F28" s="17" t="s">
        <v>42</v>
      </c>
      <c r="G28" s="19">
        <v>17734</v>
      </c>
      <c r="J28" s="17" t="s">
        <v>42</v>
      </c>
      <c r="K28" s="19">
        <v>2940</v>
      </c>
    </row>
    <row r="29" spans="1:41" ht="15.75" customHeight="1" x14ac:dyDescent="0.3">
      <c r="B29" s="17" t="s">
        <v>43</v>
      </c>
      <c r="C29" s="18">
        <v>32089.788454500002</v>
      </c>
      <c r="F29" s="17" t="s">
        <v>43</v>
      </c>
      <c r="G29" s="19">
        <v>2489</v>
      </c>
      <c r="J29" s="17" t="s">
        <v>43</v>
      </c>
      <c r="K29" s="19">
        <v>352</v>
      </c>
    </row>
    <row r="30" spans="1:41" ht="15.75" customHeight="1" x14ac:dyDescent="0.3">
      <c r="B30" s="17" t="s">
        <v>44</v>
      </c>
      <c r="C30" s="18">
        <v>12486.098411499999</v>
      </c>
      <c r="F30" s="17" t="s">
        <v>44</v>
      </c>
      <c r="G30" s="19">
        <v>453</v>
      </c>
      <c r="J30" s="17" t="s">
        <v>44</v>
      </c>
      <c r="K30" s="19">
        <v>124</v>
      </c>
    </row>
    <row r="31" spans="1:41" ht="15.75" customHeight="1" x14ac:dyDescent="0.3">
      <c r="B31" s="17" t="s">
        <v>45</v>
      </c>
      <c r="C31" s="18">
        <v>9341.1100425000004</v>
      </c>
      <c r="F31" s="17" t="s">
        <v>45</v>
      </c>
      <c r="G31" s="19">
        <v>2561</v>
      </c>
      <c r="J31" s="17" t="s">
        <v>45</v>
      </c>
      <c r="K31" s="19">
        <v>228</v>
      </c>
    </row>
    <row r="32" spans="1:41" ht="15.75" customHeight="1" x14ac:dyDescent="0.3">
      <c r="B32" s="17" t="s">
        <v>46</v>
      </c>
      <c r="C32" s="18">
        <v>8269.3141885999994</v>
      </c>
      <c r="F32" s="17" t="s">
        <v>46</v>
      </c>
      <c r="G32" s="19">
        <v>872</v>
      </c>
      <c r="J32" s="17" t="s">
        <v>46</v>
      </c>
      <c r="K32" s="19">
        <v>156</v>
      </c>
    </row>
    <row r="33" spans="2:11" ht="15.75" customHeight="1" x14ac:dyDescent="0.3">
      <c r="B33" s="17" t="s">
        <v>47</v>
      </c>
      <c r="C33" s="18">
        <v>6703.3046823000004</v>
      </c>
      <c r="F33" s="17" t="s">
        <v>47</v>
      </c>
      <c r="G33" s="19">
        <v>219</v>
      </c>
      <c r="J33" s="17" t="s">
        <v>47</v>
      </c>
      <c r="K33" s="19">
        <v>50</v>
      </c>
    </row>
    <row r="34" spans="2:11" ht="15.75" customHeight="1" x14ac:dyDescent="0.3">
      <c r="B34" s="17" t="s">
        <v>48</v>
      </c>
      <c r="C34" s="18">
        <v>6204.2072859999998</v>
      </c>
      <c r="F34" s="17" t="s">
        <v>48</v>
      </c>
      <c r="G34" s="19">
        <v>574</v>
      </c>
      <c r="J34" s="17" t="s">
        <v>48</v>
      </c>
      <c r="K34" s="19">
        <v>103</v>
      </c>
    </row>
    <row r="35" spans="2:11" ht="15.75" customHeight="1" x14ac:dyDescent="0.3">
      <c r="B35" s="17" t="s">
        <v>49</v>
      </c>
      <c r="C35" s="18">
        <v>6106.5264496999998</v>
      </c>
      <c r="F35" s="17" t="s">
        <v>49</v>
      </c>
      <c r="G35" s="19">
        <v>815</v>
      </c>
      <c r="J35" s="17" t="s">
        <v>49</v>
      </c>
      <c r="K35" s="19">
        <v>70</v>
      </c>
    </row>
    <row r="36" spans="2:11" ht="15.75" customHeight="1" x14ac:dyDescent="0.3">
      <c r="B36" s="17" t="s">
        <v>50</v>
      </c>
      <c r="C36" s="18">
        <v>3662.1935497999998</v>
      </c>
      <c r="F36" s="17" t="s">
        <v>50</v>
      </c>
      <c r="G36" s="19">
        <v>297</v>
      </c>
      <c r="J36" s="17" t="s">
        <v>50</v>
      </c>
      <c r="K36" s="19">
        <v>19</v>
      </c>
    </row>
    <row r="37" spans="2:11" ht="15.75" customHeight="1" x14ac:dyDescent="0.3">
      <c r="B37" s="17" t="s">
        <v>51</v>
      </c>
      <c r="C37" s="18">
        <v>3620.058</v>
      </c>
      <c r="F37" s="17" t="s">
        <v>51</v>
      </c>
      <c r="G37" s="19">
        <v>1252</v>
      </c>
      <c r="J37" s="17" t="s">
        <v>51</v>
      </c>
      <c r="K37" s="19">
        <v>72</v>
      </c>
    </row>
    <row r="38" spans="2:11" ht="15.75" customHeight="1" x14ac:dyDescent="0.3">
      <c r="B38" s="17" t="s">
        <v>52</v>
      </c>
      <c r="C38" s="18">
        <v>3119.9063025</v>
      </c>
      <c r="F38" s="17" t="s">
        <v>52</v>
      </c>
      <c r="G38" s="19">
        <v>186</v>
      </c>
      <c r="J38" s="17" t="s">
        <v>52</v>
      </c>
      <c r="K38" s="19">
        <v>32</v>
      </c>
    </row>
    <row r="39" spans="2:11" ht="15.75" customHeight="1" x14ac:dyDescent="0.3">
      <c r="B39" s="17" t="s">
        <v>53</v>
      </c>
      <c r="C39" s="18">
        <v>2913.3402086999999</v>
      </c>
      <c r="F39" s="17" t="s">
        <v>53</v>
      </c>
      <c r="G39" s="19">
        <v>222</v>
      </c>
      <c r="J39" s="17" t="s">
        <v>53</v>
      </c>
      <c r="K39" s="19">
        <v>36</v>
      </c>
    </row>
    <row r="40" spans="2:11" ht="15.75" customHeight="1" x14ac:dyDescent="0.3">
      <c r="B40" s="17" t="s">
        <v>54</v>
      </c>
      <c r="C40" s="18">
        <v>1719.1474682999999</v>
      </c>
      <c r="F40" s="20" t="s">
        <v>54</v>
      </c>
      <c r="G40" s="21">
        <v>354</v>
      </c>
      <c r="J40" s="20" t="s">
        <v>54</v>
      </c>
      <c r="K40" s="21">
        <v>28</v>
      </c>
    </row>
    <row r="41" spans="2:11" ht="15.75" customHeight="1" x14ac:dyDescent="0.3">
      <c r="B41" s="17" t="s">
        <v>55</v>
      </c>
      <c r="C41" s="18">
        <v>1581.2460000000001</v>
      </c>
    </row>
    <row r="42" spans="2:11" ht="15.75" customHeight="1" x14ac:dyDescent="0.3">
      <c r="B42" s="17" t="s">
        <v>56</v>
      </c>
      <c r="C42" s="18">
        <v>1204.1542589999999</v>
      </c>
    </row>
    <row r="43" spans="2:11" ht="15.75" customHeight="1" x14ac:dyDescent="0.3">
      <c r="B43" s="17" t="s">
        <v>57</v>
      </c>
      <c r="C43" s="18">
        <v>1026.2850699999999</v>
      </c>
    </row>
    <row r="44" spans="2:11" ht="15.75" customHeight="1" x14ac:dyDescent="0.3">
      <c r="B44" s="20" t="s">
        <v>58</v>
      </c>
      <c r="C44" s="22">
        <v>711.92538249999996</v>
      </c>
    </row>
    <row r="45" spans="2:11" ht="15.75" customHeight="1" x14ac:dyDescent="0.3"/>
    <row r="46" spans="2:11" ht="15.75" customHeight="1" x14ac:dyDescent="0.3">
      <c r="B46" s="23" t="s">
        <v>59</v>
      </c>
      <c r="C46" s="24">
        <f>SUM(C27:C44)</f>
        <v>442875.87093520002</v>
      </c>
      <c r="F46" s="23" t="s">
        <v>59</v>
      </c>
      <c r="G46" s="23">
        <f>SUM(G27:G44)</f>
        <v>54955</v>
      </c>
      <c r="J46" s="23" t="s">
        <v>59</v>
      </c>
      <c r="K46" s="23">
        <f>SUM(K27:K44)</f>
        <v>10038</v>
      </c>
    </row>
    <row r="47" spans="2:11" ht="15.75" customHeight="1" x14ac:dyDescent="0.3"/>
    <row r="48" spans="2:11" ht="15.75" customHeight="1" x14ac:dyDescent="0.3"/>
    <row r="49" spans="1:1" ht="15.75" customHeight="1" x14ac:dyDescent="0.3"/>
    <row r="50" spans="1:1" ht="15.75" customHeight="1" x14ac:dyDescent="0.3"/>
    <row r="51" spans="1:1" ht="15.75" customHeight="1" x14ac:dyDescent="0.3"/>
    <row r="52" spans="1:1" ht="15.75" customHeight="1" x14ac:dyDescent="0.3"/>
    <row r="53" spans="1:1" ht="15.75" customHeight="1" x14ac:dyDescent="0.3"/>
    <row r="54" spans="1:1" ht="15.75" customHeight="1" x14ac:dyDescent="0.3"/>
    <row r="55" spans="1:1" ht="15.75" customHeight="1" x14ac:dyDescent="0.3"/>
    <row r="56" spans="1:1" ht="15.75" customHeight="1" x14ac:dyDescent="0.3"/>
    <row r="57" spans="1:1" ht="15.75" customHeight="1" x14ac:dyDescent="0.3"/>
    <row r="58" spans="1:1" ht="15.75" customHeight="1" x14ac:dyDescent="0.3"/>
    <row r="59" spans="1:1" ht="15.75" customHeight="1" x14ac:dyDescent="0.3"/>
    <row r="60" spans="1:1" ht="15.75" customHeight="1" x14ac:dyDescent="0.3"/>
    <row r="61" spans="1:1" ht="15.75" customHeight="1" x14ac:dyDescent="0.3"/>
    <row r="62" spans="1:1" ht="15.75" customHeight="1" x14ac:dyDescent="0.3"/>
    <row r="63" spans="1:1" ht="15.75" customHeight="1" x14ac:dyDescent="0.3"/>
    <row r="64" spans="1:1" ht="15.75" customHeight="1" x14ac:dyDescent="0.3">
      <c r="A64" s="15" t="s">
        <v>60</v>
      </c>
    </row>
    <row r="65" spans="2:7" ht="15.75" customHeight="1" x14ac:dyDescent="0.3"/>
    <row r="66" spans="2:7" ht="15.75" customHeight="1" x14ac:dyDescent="0.3">
      <c r="B66" s="15" t="s">
        <v>1</v>
      </c>
      <c r="C66" s="15" t="s">
        <v>26</v>
      </c>
      <c r="F66" s="25" t="s">
        <v>1</v>
      </c>
      <c r="G66" s="25" t="s">
        <v>24</v>
      </c>
    </row>
    <row r="67" spans="2:7" ht="15.75" customHeight="1" x14ac:dyDescent="0.3">
      <c r="B67" s="26" t="s">
        <v>41</v>
      </c>
      <c r="C67" s="27">
        <v>7.6522227808349497E-2</v>
      </c>
      <c r="F67" s="28" t="s">
        <v>41</v>
      </c>
      <c r="G67" s="27">
        <v>8.1762749445676297E-2</v>
      </c>
    </row>
    <row r="68" spans="2:7" ht="15.75" customHeight="1" x14ac:dyDescent="0.3">
      <c r="B68" s="26" t="s">
        <v>42</v>
      </c>
      <c r="C68" s="27">
        <v>0.11083013737953062</v>
      </c>
      <c r="F68" s="28" t="s">
        <v>42</v>
      </c>
      <c r="G68" s="27">
        <v>4.3218806509945695E-2</v>
      </c>
    </row>
    <row r="69" spans="2:7" ht="15.75" customHeight="1" x14ac:dyDescent="0.3">
      <c r="B69" s="26" t="s">
        <v>43</v>
      </c>
      <c r="C69" s="27">
        <v>-0.11396655562474201</v>
      </c>
      <c r="F69" s="28" t="s">
        <v>43</v>
      </c>
      <c r="G69" s="27">
        <v>-0.10167464114832536</v>
      </c>
    </row>
    <row r="70" spans="2:7" ht="15.75" customHeight="1" x14ac:dyDescent="0.3">
      <c r="B70" s="26" t="s">
        <v>44</v>
      </c>
      <c r="C70" s="27">
        <v>0.51371693346807001</v>
      </c>
      <c r="F70" s="28" t="s">
        <v>44</v>
      </c>
      <c r="G70" s="27">
        <v>0.25746268656716409</v>
      </c>
    </row>
    <row r="71" spans="2:7" ht="15.75" customHeight="1" x14ac:dyDescent="0.3">
      <c r="B71" s="26" t="s">
        <v>45</v>
      </c>
      <c r="C71" s="27">
        <v>0.13797157087261258</v>
      </c>
      <c r="F71" s="28" t="s">
        <v>45</v>
      </c>
      <c r="G71" s="27">
        <v>0.31479591836734699</v>
      </c>
    </row>
    <row r="72" spans="2:7" ht="15.75" customHeight="1" x14ac:dyDescent="0.3">
      <c r="B72" s="26" t="s">
        <v>46</v>
      </c>
      <c r="C72" s="27">
        <v>5.5379006914187956E-2</v>
      </c>
      <c r="F72" s="28" t="s">
        <v>46</v>
      </c>
      <c r="G72" s="27">
        <v>0.29013539651837528</v>
      </c>
    </row>
    <row r="73" spans="2:7" ht="15.75" customHeight="1" x14ac:dyDescent="0.3">
      <c r="B73" s="26" t="s">
        <v>47</v>
      </c>
      <c r="C73" s="27">
        <v>0.41213397362029625</v>
      </c>
      <c r="F73" s="28" t="s">
        <v>47</v>
      </c>
      <c r="G73" s="27">
        <v>1.4227642276422765</v>
      </c>
    </row>
    <row r="74" spans="2:7" ht="15.75" customHeight="1" x14ac:dyDescent="0.3">
      <c r="B74" s="26" t="s">
        <v>48</v>
      </c>
      <c r="C74" s="27">
        <v>0.29271549247162909</v>
      </c>
      <c r="F74" s="28" t="s">
        <v>48</v>
      </c>
      <c r="G74" s="27">
        <v>0.15915119363395225</v>
      </c>
    </row>
    <row r="75" spans="2:7" ht="15.75" customHeight="1" x14ac:dyDescent="0.3">
      <c r="B75" s="26" t="s">
        <v>49</v>
      </c>
      <c r="C75" s="27">
        <v>0.17364108625028796</v>
      </c>
      <c r="F75" s="28" t="s">
        <v>49</v>
      </c>
      <c r="G75" s="27">
        <v>-5.3859964093356805E-3</v>
      </c>
    </row>
    <row r="76" spans="2:7" ht="15.75" customHeight="1" x14ac:dyDescent="0.3">
      <c r="B76" s="26" t="s">
        <v>50</v>
      </c>
      <c r="C76" s="27">
        <v>6.1858758794934632E-2</v>
      </c>
      <c r="F76" s="28" t="s">
        <v>50</v>
      </c>
      <c r="G76" s="27">
        <v>0.23560209424083767</v>
      </c>
    </row>
    <row r="77" spans="2:7" ht="15.75" customHeight="1" x14ac:dyDescent="0.3">
      <c r="B77" s="26" t="s">
        <v>51</v>
      </c>
      <c r="C77" s="27">
        <v>0.33075042894076834</v>
      </c>
      <c r="F77" s="28" t="s">
        <v>51</v>
      </c>
      <c r="G77" s="27">
        <v>-8.8829071332436116E-2</v>
      </c>
    </row>
    <row r="78" spans="2:7" ht="15.75" customHeight="1" x14ac:dyDescent="0.3">
      <c r="B78" s="26" t="s">
        <v>52</v>
      </c>
      <c r="C78" s="27">
        <v>1.3684359044831225</v>
      </c>
      <c r="F78" s="28" t="s">
        <v>52</v>
      </c>
      <c r="G78" s="27">
        <v>0.44217687074829937</v>
      </c>
    </row>
    <row r="79" spans="2:7" ht="15.75" customHeight="1" x14ac:dyDescent="0.3">
      <c r="B79" s="26" t="s">
        <v>53</v>
      </c>
      <c r="C79" s="27">
        <v>9.1951595988549517E-2</v>
      </c>
      <c r="F79" s="28" t="s">
        <v>53</v>
      </c>
      <c r="G79" s="27">
        <v>0.10828025477707004</v>
      </c>
    </row>
    <row r="80" spans="2:7" ht="15.75" customHeight="1" x14ac:dyDescent="0.3">
      <c r="B80" s="26" t="s">
        <v>54</v>
      </c>
      <c r="C80" s="27">
        <v>0.12322720670278753</v>
      </c>
      <c r="F80" s="28" t="s">
        <v>54</v>
      </c>
      <c r="G80" s="27">
        <v>4.2402826855123754E-2</v>
      </c>
    </row>
    <row r="81" spans="2:7" ht="15.75" customHeight="1" x14ac:dyDescent="0.3">
      <c r="F81" s="29"/>
      <c r="G81" s="29"/>
    </row>
    <row r="82" spans="2:7" ht="15.75" customHeight="1" x14ac:dyDescent="0.3">
      <c r="B82" s="23" t="s">
        <v>59</v>
      </c>
      <c r="C82" s="30">
        <v>8.1299999999999997E-2</v>
      </c>
      <c r="F82" s="30" t="s">
        <v>59</v>
      </c>
      <c r="G82" s="30">
        <v>8.09E-2</v>
      </c>
    </row>
    <row r="83" spans="2:7" ht="15.75" customHeight="1" x14ac:dyDescent="0.3"/>
    <row r="84" spans="2:7" ht="15.75" customHeight="1" x14ac:dyDescent="0.3"/>
    <row r="85" spans="2:7" ht="15.75" customHeight="1" x14ac:dyDescent="0.3"/>
    <row r="86" spans="2:7" ht="15.75" customHeight="1" x14ac:dyDescent="0.3"/>
    <row r="87" spans="2:7" ht="15.75" customHeight="1" x14ac:dyDescent="0.3"/>
    <row r="88" spans="2:7" ht="15.75" customHeight="1" x14ac:dyDescent="0.3"/>
    <row r="89" spans="2:7" ht="15.75" customHeight="1" x14ac:dyDescent="0.3"/>
    <row r="90" spans="2:7" ht="15.75" customHeight="1" x14ac:dyDescent="0.3"/>
    <row r="91" spans="2:7" ht="15.75" customHeight="1" x14ac:dyDescent="0.3"/>
    <row r="92" spans="2:7" ht="15.75" customHeight="1" x14ac:dyDescent="0.3"/>
    <row r="93" spans="2:7" ht="15.75" customHeight="1" x14ac:dyDescent="0.3"/>
    <row r="94" spans="2:7" ht="15.75" customHeight="1" x14ac:dyDescent="0.3"/>
    <row r="95" spans="2:7" ht="15.75" customHeight="1" x14ac:dyDescent="0.3"/>
    <row r="96" spans="2:7" ht="15.75" customHeight="1" x14ac:dyDescent="0.3"/>
    <row r="97" spans="1:12" ht="15.75" customHeight="1" x14ac:dyDescent="0.3"/>
    <row r="98" spans="1:12" ht="15.75" customHeight="1" x14ac:dyDescent="0.3"/>
    <row r="99" spans="1:12" ht="15.75" customHeight="1" x14ac:dyDescent="0.3">
      <c r="A99" s="15" t="s">
        <v>61</v>
      </c>
    </row>
    <row r="100" spans="1:12" ht="15.75" customHeight="1" x14ac:dyDescent="0.3"/>
    <row r="101" spans="1:12" ht="15.75" customHeight="1" x14ac:dyDescent="0.3">
      <c r="B101" s="15" t="s">
        <v>1</v>
      </c>
      <c r="C101" s="15" t="s">
        <v>27</v>
      </c>
      <c r="D101" s="15" t="s">
        <v>28</v>
      </c>
      <c r="G101" s="15" t="s">
        <v>1</v>
      </c>
      <c r="H101" s="15" t="s">
        <v>30</v>
      </c>
      <c r="K101" s="15" t="s">
        <v>1</v>
      </c>
      <c r="L101" s="15" t="s">
        <v>31</v>
      </c>
    </row>
    <row r="102" spans="1:12" ht="15.75" customHeight="1" x14ac:dyDescent="0.3">
      <c r="B102" s="26" t="s">
        <v>41</v>
      </c>
      <c r="C102" s="27">
        <v>0.21643703346083856</v>
      </c>
      <c r="D102" s="27">
        <v>0.21214450422751729</v>
      </c>
      <c r="G102" s="26" t="s">
        <v>41</v>
      </c>
      <c r="H102" s="31">
        <v>1.6349895153774465</v>
      </c>
      <c r="K102" s="26" t="s">
        <v>41</v>
      </c>
      <c r="L102" s="32">
        <v>68.819586288855049</v>
      </c>
    </row>
    <row r="103" spans="1:12" ht="15.75" customHeight="1" x14ac:dyDescent="0.3">
      <c r="B103" s="26" t="s">
        <v>42</v>
      </c>
      <c r="C103" s="27">
        <v>0.16578324123153265</v>
      </c>
      <c r="D103" s="27">
        <v>0.18963425203674814</v>
      </c>
      <c r="G103" s="26" t="s">
        <v>42</v>
      </c>
      <c r="H103" s="31">
        <v>1.5089890951959917</v>
      </c>
      <c r="K103" s="26" t="s">
        <v>42</v>
      </c>
      <c r="L103" s="32">
        <v>150.96847862862299</v>
      </c>
    </row>
    <row r="104" spans="1:12" ht="15.75" customHeight="1" x14ac:dyDescent="0.3">
      <c r="B104" s="26" t="s">
        <v>43</v>
      </c>
      <c r="C104" s="27">
        <v>0.14142225793491361</v>
      </c>
      <c r="D104" s="27">
        <v>0.21504660452729693</v>
      </c>
      <c r="G104" s="26" t="s">
        <v>43</v>
      </c>
      <c r="H104" s="31">
        <v>4.4096514745308308</v>
      </c>
      <c r="K104" s="26" t="s">
        <v>43</v>
      </c>
      <c r="L104" s="32">
        <v>81.828043390920044</v>
      </c>
    </row>
    <row r="105" spans="1:12" ht="15.75" customHeight="1" x14ac:dyDescent="0.3">
      <c r="B105" s="26" t="s">
        <v>44</v>
      </c>
      <c r="C105" s="27">
        <v>0.27373068432671083</v>
      </c>
      <c r="D105" s="27">
        <v>0.32640949554896143</v>
      </c>
      <c r="G105" s="26" t="s">
        <v>44</v>
      </c>
      <c r="H105" s="31">
        <v>5.1040000000000001</v>
      </c>
      <c r="K105" s="26" t="s">
        <v>44</v>
      </c>
      <c r="L105" s="32">
        <v>277.98013245033115</v>
      </c>
    </row>
    <row r="106" spans="1:12" ht="15.75" customHeight="1" x14ac:dyDescent="0.3">
      <c r="B106" s="26" t="s">
        <v>45</v>
      </c>
      <c r="C106" s="27">
        <v>8.9027723545490045E-2</v>
      </c>
      <c r="D106" s="27">
        <v>9.5071788901823828E-2</v>
      </c>
      <c r="G106" s="26" t="s">
        <v>45</v>
      </c>
      <c r="H106" s="31">
        <v>1.0929967329587806</v>
      </c>
      <c r="K106" s="26" t="s">
        <v>45</v>
      </c>
      <c r="L106" s="32">
        <v>16.675126903553299</v>
      </c>
    </row>
    <row r="107" spans="1:12" ht="15.75" customHeight="1" x14ac:dyDescent="0.3">
      <c r="B107" s="26" t="s">
        <v>46</v>
      </c>
      <c r="C107" s="27">
        <v>0.17889908256880735</v>
      </c>
      <c r="D107" s="27">
        <v>6.7466266866566718E-2</v>
      </c>
      <c r="G107" s="26" t="s">
        <v>46</v>
      </c>
      <c r="H107" s="31">
        <v>2.0245649948822928</v>
      </c>
      <c r="K107" s="26" t="s">
        <v>46</v>
      </c>
      <c r="L107" s="32">
        <v>136.875</v>
      </c>
    </row>
    <row r="108" spans="1:12" ht="15.75" customHeight="1" x14ac:dyDescent="0.3">
      <c r="B108" s="26" t="s">
        <v>47</v>
      </c>
      <c r="C108" s="27">
        <v>0.22831050228310501</v>
      </c>
      <c r="D108" s="27">
        <v>0.44966442953020136</v>
      </c>
      <c r="G108" s="26" t="s">
        <v>47</v>
      </c>
      <c r="H108" s="31">
        <v>1.9469387755102041</v>
      </c>
      <c r="K108" s="26" t="s">
        <v>47</v>
      </c>
      <c r="L108" s="32">
        <v>215</v>
      </c>
    </row>
    <row r="109" spans="1:12" ht="15.75" customHeight="1" x14ac:dyDescent="0.3">
      <c r="B109" s="26" t="s">
        <v>48</v>
      </c>
      <c r="C109" s="27">
        <v>0.17944250871080139</v>
      </c>
      <c r="D109" s="27">
        <v>0.11670480549199085</v>
      </c>
      <c r="G109" s="26" t="s">
        <v>48</v>
      </c>
      <c r="H109" s="31">
        <v>2.2828282828282829</v>
      </c>
      <c r="K109" s="26" t="s">
        <v>48</v>
      </c>
      <c r="L109" s="32">
        <v>118.27526132404181</v>
      </c>
    </row>
    <row r="110" spans="1:12" ht="15.75" customHeight="1" x14ac:dyDescent="0.3">
      <c r="B110" s="26" t="s">
        <v>49</v>
      </c>
      <c r="C110" s="27">
        <v>8.5889570552147243E-2</v>
      </c>
      <c r="D110" s="27">
        <v>0.11913357400722022</v>
      </c>
      <c r="G110" s="26" t="s">
        <v>49</v>
      </c>
      <c r="H110" s="31">
        <v>3.75390625</v>
      </c>
      <c r="K110" s="26" t="s">
        <v>49</v>
      </c>
      <c r="L110" s="32">
        <v>126.74233128834355</v>
      </c>
    </row>
    <row r="111" spans="1:12" ht="15.75" customHeight="1" x14ac:dyDescent="0.3">
      <c r="B111" s="26" t="s">
        <v>50</v>
      </c>
      <c r="C111" s="27">
        <v>6.3973063973063973E-2</v>
      </c>
      <c r="D111" s="27">
        <v>7.6271186440677971E-2</v>
      </c>
      <c r="G111" s="26" t="s">
        <v>50</v>
      </c>
      <c r="H111" s="31">
        <v>1.9647435897435896</v>
      </c>
      <c r="K111" s="26" t="s">
        <v>50</v>
      </c>
      <c r="L111" s="32">
        <v>180.65656565656568</v>
      </c>
    </row>
    <row r="112" spans="1:12" ht="15.75" customHeight="1" x14ac:dyDescent="0.3">
      <c r="B112" s="26" t="s">
        <v>51</v>
      </c>
      <c r="C112" s="27">
        <v>5.7507987220447282E-2</v>
      </c>
      <c r="D112" s="27">
        <v>6.2038404726735601E-2</v>
      </c>
      <c r="G112" s="26" t="s">
        <v>51</v>
      </c>
      <c r="H112" s="31">
        <v>2.110891089108911</v>
      </c>
      <c r="K112" s="26" t="s">
        <v>51</v>
      </c>
      <c r="L112" s="32">
        <v>62.096645367412137</v>
      </c>
    </row>
    <row r="113" spans="2:12" ht="15.75" customHeight="1" x14ac:dyDescent="0.3">
      <c r="B113" s="26" t="s">
        <v>52</v>
      </c>
      <c r="C113" s="27">
        <v>0.17204301075268819</v>
      </c>
      <c r="D113" s="27">
        <v>0.1650943396226415</v>
      </c>
      <c r="G113" s="26" t="s">
        <v>52</v>
      </c>
      <c r="H113" s="31">
        <v>9.296875</v>
      </c>
      <c r="K113" s="26" t="s">
        <v>52</v>
      </c>
      <c r="L113" s="32">
        <v>51.021505376344081</v>
      </c>
    </row>
    <row r="114" spans="2:12" ht="15.75" customHeight="1" x14ac:dyDescent="0.3">
      <c r="B114" s="26" t="s">
        <v>53</v>
      </c>
      <c r="C114" s="27">
        <v>0.16216216216216217</v>
      </c>
      <c r="D114" s="27">
        <v>0.11494252873563218</v>
      </c>
      <c r="G114" s="26" t="s">
        <v>53</v>
      </c>
      <c r="H114" s="31">
        <v>2.9327731092436973</v>
      </c>
      <c r="K114" s="26" t="s">
        <v>53</v>
      </c>
      <c r="L114" s="32">
        <v>287.72522522522524</v>
      </c>
    </row>
    <row r="115" spans="2:12" ht="15.75" customHeight="1" x14ac:dyDescent="0.3">
      <c r="B115" s="26" t="s">
        <v>54</v>
      </c>
      <c r="C115" s="27">
        <v>7.909604519774012E-2</v>
      </c>
      <c r="D115" s="27">
        <v>0.10847457627118644</v>
      </c>
      <c r="G115" s="26" t="s">
        <v>54</v>
      </c>
      <c r="H115" s="31">
        <v>1.1704545454545454</v>
      </c>
      <c r="K115" s="26" t="s">
        <v>54</v>
      </c>
      <c r="L115" s="32">
        <v>71.144067796610173</v>
      </c>
    </row>
    <row r="116" spans="2:12" ht="15.75" customHeight="1" x14ac:dyDescent="0.3"/>
    <row r="117" spans="2:12" ht="15.75" customHeight="1" x14ac:dyDescent="0.3">
      <c r="B117" s="23" t="s">
        <v>59</v>
      </c>
      <c r="C117" s="30">
        <v>0.183</v>
      </c>
      <c r="D117" s="30">
        <v>0.189</v>
      </c>
      <c r="G117" s="23" t="s">
        <v>59</v>
      </c>
      <c r="H117" s="23">
        <v>1.7</v>
      </c>
      <c r="K117" s="23" t="s">
        <v>59</v>
      </c>
      <c r="L117" s="23">
        <v>100</v>
      </c>
    </row>
    <row r="118" spans="2:12" ht="15.75" customHeight="1" x14ac:dyDescent="0.3"/>
    <row r="119" spans="2:12" ht="15.75" customHeight="1" x14ac:dyDescent="0.3"/>
    <row r="120" spans="2:12" ht="15.75" customHeight="1" x14ac:dyDescent="0.3"/>
    <row r="121" spans="2:12" ht="15.75" customHeight="1" x14ac:dyDescent="0.3"/>
    <row r="122" spans="2:12" ht="15.75" customHeight="1" x14ac:dyDescent="0.3"/>
    <row r="123" spans="2:12" ht="15.75" customHeight="1" x14ac:dyDescent="0.3"/>
    <row r="124" spans="2:12" ht="15.75" customHeight="1" x14ac:dyDescent="0.3"/>
    <row r="125" spans="2:12" ht="15.75" customHeight="1" x14ac:dyDescent="0.3"/>
    <row r="126" spans="2:12" ht="15.75" customHeight="1" x14ac:dyDescent="0.3"/>
    <row r="127" spans="2:12" ht="15.75" customHeight="1" x14ac:dyDescent="0.3"/>
    <row r="128" spans="2:12" ht="15.75" customHeight="1" x14ac:dyDescent="0.3"/>
    <row r="129" spans="1:11" ht="15.75" customHeight="1" x14ac:dyDescent="0.3"/>
    <row r="130" spans="1:11" ht="15.75" customHeight="1" x14ac:dyDescent="0.3"/>
    <row r="131" spans="1:11" ht="15.75" customHeight="1" x14ac:dyDescent="0.3"/>
    <row r="132" spans="1:11" ht="15.75" customHeight="1" x14ac:dyDescent="0.3"/>
    <row r="133" spans="1:11" ht="15.75" customHeight="1" x14ac:dyDescent="0.3"/>
    <row r="134" spans="1:11" ht="15.75" customHeight="1" x14ac:dyDescent="0.3">
      <c r="A134" s="15" t="s">
        <v>62</v>
      </c>
    </row>
    <row r="135" spans="1:11" ht="15.75" customHeight="1" x14ac:dyDescent="0.3"/>
    <row r="136" spans="1:11" ht="15.75" customHeight="1" x14ac:dyDescent="0.3">
      <c r="B136" s="15" t="s">
        <v>1</v>
      </c>
      <c r="C136" s="15" t="s">
        <v>32</v>
      </c>
      <c r="F136" s="15" t="s">
        <v>1</v>
      </c>
      <c r="G136" s="15" t="s">
        <v>29</v>
      </c>
      <c r="J136" s="15" t="s">
        <v>1</v>
      </c>
      <c r="K136" s="15" t="s">
        <v>33</v>
      </c>
    </row>
    <row r="137" spans="1:11" ht="15.75" customHeight="1" x14ac:dyDescent="0.3">
      <c r="B137" s="26" t="s">
        <v>41</v>
      </c>
      <c r="C137" s="33">
        <v>0</v>
      </c>
      <c r="F137" s="26" t="s">
        <v>41</v>
      </c>
      <c r="G137" s="32">
        <v>84.379310344827587</v>
      </c>
      <c r="J137" s="26" t="s">
        <v>41</v>
      </c>
      <c r="K137" s="33">
        <v>0.61162471721975809</v>
      </c>
    </row>
    <row r="138" spans="1:11" ht="15.75" customHeight="1" x14ac:dyDescent="0.3">
      <c r="B138" s="26" t="s">
        <v>42</v>
      </c>
      <c r="C138" s="33">
        <v>0</v>
      </c>
      <c r="F138" s="26" t="s">
        <v>42</v>
      </c>
      <c r="G138" s="32">
        <v>243.8</v>
      </c>
      <c r="J138" s="26" t="s">
        <v>42</v>
      </c>
      <c r="K138" s="33">
        <v>0.66269531250000002</v>
      </c>
    </row>
    <row r="139" spans="1:11" ht="15.75" customHeight="1" x14ac:dyDescent="0.3">
      <c r="B139" s="26" t="s">
        <v>43</v>
      </c>
      <c r="C139" s="33">
        <v>0</v>
      </c>
      <c r="F139" s="26" t="s">
        <v>43</v>
      </c>
      <c r="G139" s="32">
        <v>73.444444444444443</v>
      </c>
      <c r="J139" s="26" t="s">
        <v>43</v>
      </c>
      <c r="K139" s="33">
        <v>0.22677529182879377</v>
      </c>
    </row>
    <row r="140" spans="1:11" ht="15.75" customHeight="1" x14ac:dyDescent="0.3">
      <c r="B140" s="26" t="s">
        <v>44</v>
      </c>
      <c r="C140" s="33">
        <v>0</v>
      </c>
      <c r="F140" s="26" t="s">
        <v>44</v>
      </c>
      <c r="G140" s="32">
        <v>20.375</v>
      </c>
      <c r="J140" s="26" t="s">
        <v>44</v>
      </c>
      <c r="K140" s="33">
        <v>0.19592476489028213</v>
      </c>
    </row>
    <row r="141" spans="1:11" ht="15.75" customHeight="1" x14ac:dyDescent="0.3">
      <c r="B141" s="26" t="s">
        <v>45</v>
      </c>
      <c r="C141" s="33">
        <v>0</v>
      </c>
      <c r="F141" s="26" t="s">
        <v>45</v>
      </c>
      <c r="G141" s="32">
        <v>16.89506172839506</v>
      </c>
      <c r="J141" s="26" t="s">
        <v>45</v>
      </c>
      <c r="K141" s="33">
        <v>0.9149158179942265</v>
      </c>
    </row>
    <row r="142" spans="1:11" ht="15.75" customHeight="1" x14ac:dyDescent="0.3">
      <c r="B142" s="26" t="s">
        <v>46</v>
      </c>
      <c r="C142" s="33">
        <v>0.29742033383915023</v>
      </c>
      <c r="F142" s="26" t="s">
        <v>46</v>
      </c>
      <c r="G142" s="32">
        <v>7.884615384615385</v>
      </c>
      <c r="J142" s="26" t="s">
        <v>46</v>
      </c>
      <c r="K142" s="33">
        <v>0.49393326592517695</v>
      </c>
    </row>
    <row r="143" spans="1:11" ht="15.75" customHeight="1" x14ac:dyDescent="0.3">
      <c r="B143" s="26" t="s">
        <v>47</v>
      </c>
      <c r="C143" s="33">
        <v>1.1959287531806615E-3</v>
      </c>
      <c r="F143" s="26" t="s">
        <v>47</v>
      </c>
      <c r="G143" s="32">
        <v>16.75</v>
      </c>
      <c r="J143" s="26" t="s">
        <v>47</v>
      </c>
      <c r="K143" s="33">
        <v>0.51362683438155132</v>
      </c>
    </row>
    <row r="144" spans="1:11" ht="15.75" customHeight="1" x14ac:dyDescent="0.3">
      <c r="B144" s="26" t="s">
        <v>48</v>
      </c>
      <c r="C144" s="33">
        <v>0.37670196671709533</v>
      </c>
      <c r="F144" s="26" t="s">
        <v>48</v>
      </c>
      <c r="G144" s="32">
        <v>9.3064460767488164</v>
      </c>
      <c r="J144" s="26" t="s">
        <v>48</v>
      </c>
      <c r="K144" s="33">
        <v>0.43805309734513276</v>
      </c>
    </row>
    <row r="145" spans="2:11" ht="15.75" customHeight="1" x14ac:dyDescent="0.3">
      <c r="B145" s="26" t="s">
        <v>49</v>
      </c>
      <c r="C145" s="33">
        <v>7.8250863060989648E-2</v>
      </c>
      <c r="F145" s="26" t="s">
        <v>49</v>
      </c>
      <c r="G145" s="32">
        <v>4.0999999999999996</v>
      </c>
      <c r="J145" s="26" t="s">
        <v>49</v>
      </c>
      <c r="K145" s="33">
        <v>0.26638917793964623</v>
      </c>
    </row>
    <row r="146" spans="2:11" ht="15.75" customHeight="1" x14ac:dyDescent="0.3">
      <c r="B146" s="26" t="s">
        <v>50</v>
      </c>
      <c r="C146" s="33">
        <v>0.39578454332552693</v>
      </c>
      <c r="F146" s="26" t="s">
        <v>50</v>
      </c>
      <c r="G146" s="32">
        <v>2.347826086956522</v>
      </c>
      <c r="J146" s="26" t="s">
        <v>50</v>
      </c>
      <c r="K146" s="33">
        <v>0.50897226753670477</v>
      </c>
    </row>
    <row r="147" spans="2:11" ht="15.75" customHeight="1" x14ac:dyDescent="0.3">
      <c r="B147" s="26" t="s">
        <v>51</v>
      </c>
      <c r="C147" s="33">
        <v>0.73265651438240276</v>
      </c>
      <c r="F147" s="26" t="s">
        <v>51</v>
      </c>
      <c r="G147" s="32">
        <v>3.1153846153846154</v>
      </c>
      <c r="J147" s="26" t="s">
        <v>51</v>
      </c>
      <c r="K147" s="33">
        <v>0.47373358348968103</v>
      </c>
    </row>
    <row r="148" spans="2:11" ht="15.75" customHeight="1" x14ac:dyDescent="0.3">
      <c r="B148" s="26" t="s">
        <v>52</v>
      </c>
      <c r="C148" s="33">
        <v>0</v>
      </c>
      <c r="F148" s="26" t="s">
        <v>52</v>
      </c>
      <c r="G148" s="32">
        <v>1.3604651162790697</v>
      </c>
      <c r="J148" s="26" t="s">
        <v>52</v>
      </c>
      <c r="K148" s="33">
        <v>0.10756302521008404</v>
      </c>
    </row>
    <row r="149" spans="2:11" ht="15.75" customHeight="1" x14ac:dyDescent="0.3">
      <c r="B149" s="26" t="s">
        <v>53</v>
      </c>
      <c r="C149" s="33">
        <v>9.3457943925233641E-2</v>
      </c>
      <c r="F149" s="26" t="s">
        <v>53</v>
      </c>
      <c r="G149" s="32">
        <v>6.5714285714285712</v>
      </c>
      <c r="J149" s="26" t="s">
        <v>53</v>
      </c>
      <c r="K149" s="33">
        <v>0.34097421203438394</v>
      </c>
    </row>
    <row r="150" spans="2:11" ht="15.75" customHeight="1" x14ac:dyDescent="0.3">
      <c r="B150" s="26" t="s">
        <v>54</v>
      </c>
      <c r="C150" s="33">
        <v>0.63987138263665599</v>
      </c>
      <c r="F150" s="26" t="s">
        <v>54</v>
      </c>
      <c r="G150" s="32">
        <v>3.3333333333333335</v>
      </c>
      <c r="J150" s="26" t="s">
        <v>54</v>
      </c>
      <c r="K150" s="33">
        <v>0.85436893203883491</v>
      </c>
    </row>
    <row r="151" spans="2:11" ht="15.75" customHeight="1" x14ac:dyDescent="0.3"/>
    <row r="152" spans="2:11" ht="15.75" customHeight="1" x14ac:dyDescent="0.3">
      <c r="B152" s="23" t="s">
        <v>59</v>
      </c>
      <c r="C152" s="23">
        <v>0.03</v>
      </c>
      <c r="F152" s="23" t="s">
        <v>59</v>
      </c>
      <c r="G152" s="23">
        <v>31</v>
      </c>
      <c r="J152" s="23" t="s">
        <v>59</v>
      </c>
      <c r="K152" s="23">
        <v>0.61</v>
      </c>
    </row>
    <row r="153" spans="2:11" ht="15.75" customHeight="1" x14ac:dyDescent="0.3"/>
    <row r="154" spans="2:11" ht="15.75" customHeight="1" x14ac:dyDescent="0.3"/>
    <row r="155" spans="2:11" ht="15.75" customHeight="1" x14ac:dyDescent="0.3"/>
    <row r="156" spans="2:11" ht="15.75" customHeight="1" x14ac:dyDescent="0.3"/>
    <row r="157" spans="2:11" ht="15.75" customHeight="1" x14ac:dyDescent="0.3"/>
    <row r="158" spans="2:11" ht="15.75" customHeight="1" x14ac:dyDescent="0.3"/>
    <row r="159" spans="2:11" ht="15.75" customHeight="1" x14ac:dyDescent="0.3"/>
    <row r="160" spans="2:11" ht="15.75" customHeight="1" x14ac:dyDescent="0.3"/>
    <row r="161" spans="1:13" ht="15.75" customHeight="1" x14ac:dyDescent="0.3"/>
    <row r="162" spans="1:13" ht="15.75" customHeight="1" x14ac:dyDescent="0.3"/>
    <row r="163" spans="1:13" ht="15.75" customHeight="1" x14ac:dyDescent="0.3"/>
    <row r="164" spans="1:13" ht="15.75" customHeight="1" x14ac:dyDescent="0.3"/>
    <row r="165" spans="1:13" ht="15.75" customHeight="1" x14ac:dyDescent="0.3"/>
    <row r="166" spans="1:13" ht="15.75" customHeight="1" x14ac:dyDescent="0.3"/>
    <row r="167" spans="1:13" ht="15.75" customHeight="1" x14ac:dyDescent="0.3"/>
    <row r="168" spans="1:13" ht="15.75" customHeight="1" x14ac:dyDescent="0.3"/>
    <row r="169" spans="1:13" ht="15.75" customHeight="1" x14ac:dyDescent="0.3"/>
    <row r="170" spans="1:13" ht="15.75" customHeight="1" x14ac:dyDescent="0.3">
      <c r="A170" s="15" t="s">
        <v>63</v>
      </c>
      <c r="F170" s="15" t="s">
        <v>64</v>
      </c>
    </row>
    <row r="171" spans="1:13" ht="15.75" customHeight="1" x14ac:dyDescent="0.3">
      <c r="B171" s="15" t="s">
        <v>1</v>
      </c>
      <c r="C171" s="15" t="s">
        <v>34</v>
      </c>
      <c r="D171" s="15" t="s">
        <v>36</v>
      </c>
      <c r="G171" s="15" t="s">
        <v>1</v>
      </c>
      <c r="H171" s="15" t="s">
        <v>37</v>
      </c>
      <c r="I171" s="15" t="s">
        <v>40</v>
      </c>
      <c r="L171" s="15" t="s">
        <v>1</v>
      </c>
      <c r="M171" s="15" t="s">
        <v>38</v>
      </c>
    </row>
    <row r="172" spans="1:13" ht="15.75" customHeight="1" x14ac:dyDescent="0.3">
      <c r="B172" s="26" t="s">
        <v>41</v>
      </c>
      <c r="C172" s="27">
        <v>0.23164672681744108</v>
      </c>
      <c r="D172" s="27">
        <v>8.1107786514508382E-2</v>
      </c>
      <c r="G172" s="34" t="s">
        <v>41</v>
      </c>
      <c r="H172" s="35">
        <v>32.707380796864797</v>
      </c>
      <c r="I172" s="35">
        <v>7.8727729180559374</v>
      </c>
      <c r="L172" s="34" t="s">
        <v>41</v>
      </c>
      <c r="M172" s="29">
        <v>3.0574138791812283E-2</v>
      </c>
    </row>
    <row r="173" spans="1:13" ht="15.75" customHeight="1" x14ac:dyDescent="0.3">
      <c r="B173" s="26" t="s">
        <v>42</v>
      </c>
      <c r="C173" s="27">
        <v>0.19820670127418594</v>
      </c>
      <c r="D173" s="27">
        <v>8.1067666685049361E-2</v>
      </c>
      <c r="G173" s="34" t="s">
        <v>42</v>
      </c>
      <c r="H173" s="35">
        <v>39.86707566462168</v>
      </c>
      <c r="I173" s="35">
        <v>9.1443487759429409</v>
      </c>
      <c r="L173" s="34" t="s">
        <v>42</v>
      </c>
      <c r="M173" s="29">
        <v>2.5083354706334958E-2</v>
      </c>
    </row>
    <row r="174" spans="1:13" ht="15.75" customHeight="1" x14ac:dyDescent="0.3">
      <c r="B174" s="26" t="s">
        <v>43</v>
      </c>
      <c r="C174" s="27">
        <v>0.10435813815594426</v>
      </c>
      <c r="D174" s="27">
        <v>3.7861675809400884E-2</v>
      </c>
      <c r="G174" s="34" t="s">
        <v>43</v>
      </c>
      <c r="H174" s="35">
        <v>67.239984591679502</v>
      </c>
      <c r="I174" s="35">
        <v>8.9830047806524185</v>
      </c>
      <c r="L174" s="34" t="s">
        <v>43</v>
      </c>
      <c r="M174" s="29">
        <v>1.4872103348514796E-2</v>
      </c>
    </row>
    <row r="175" spans="1:13" ht="15.75" customHeight="1" x14ac:dyDescent="0.3">
      <c r="B175" s="26" t="s">
        <v>44</v>
      </c>
      <c r="C175" s="27">
        <v>0.10324729392173189</v>
      </c>
      <c r="D175" s="27">
        <v>8.4124830393487116E-2</v>
      </c>
      <c r="G175" s="34" t="s">
        <v>44</v>
      </c>
      <c r="H175" s="35">
        <v>74.027777777777786</v>
      </c>
      <c r="I175" s="35">
        <v>10.158663366336633</v>
      </c>
      <c r="L175" s="34" t="s">
        <v>44</v>
      </c>
      <c r="M175" s="29">
        <v>1.350844277673546E-2</v>
      </c>
    </row>
    <row r="176" spans="1:13" ht="15.75" customHeight="1" x14ac:dyDescent="0.3">
      <c r="B176" s="26" t="s">
        <v>45</v>
      </c>
      <c r="C176" s="27">
        <v>0.14578005115089515</v>
      </c>
      <c r="D176" s="27">
        <v>2.0585048754062838E-2</v>
      </c>
      <c r="G176" s="34" t="s">
        <v>45</v>
      </c>
      <c r="H176" s="35">
        <v>31.035795887281033</v>
      </c>
      <c r="I176" s="35">
        <v>5.5821917808219181</v>
      </c>
      <c r="L176" s="34" t="s">
        <v>45</v>
      </c>
      <c r="M176" s="29">
        <v>3.2220858895705522E-2</v>
      </c>
    </row>
    <row r="177" spans="2:13" ht="15.75" customHeight="1" x14ac:dyDescent="0.3">
      <c r="B177" s="26" t="s">
        <v>46</v>
      </c>
      <c r="C177" s="27">
        <v>0.11836115326251896</v>
      </c>
      <c r="D177" s="27">
        <v>5.019305019305019E-2</v>
      </c>
      <c r="G177" s="34" t="s">
        <v>46</v>
      </c>
      <c r="H177" s="35">
        <v>74.036850921273029</v>
      </c>
      <c r="I177" s="35">
        <v>5.4919601328903651</v>
      </c>
      <c r="L177" s="34" t="s">
        <v>46</v>
      </c>
      <c r="M177" s="29">
        <v>1.3506787330316742E-2</v>
      </c>
    </row>
    <row r="178" spans="2:13" ht="15.75" customHeight="1" x14ac:dyDescent="0.3">
      <c r="B178" s="26" t="s">
        <v>47</v>
      </c>
      <c r="C178" s="27">
        <v>0.1272264631043257</v>
      </c>
      <c r="D178" s="27">
        <v>7.7760497667185069E-2</v>
      </c>
      <c r="G178" s="34" t="s">
        <v>47</v>
      </c>
      <c r="H178" s="35">
        <v>59.43911439114391</v>
      </c>
      <c r="I178" s="35">
        <v>16.067830423940148</v>
      </c>
      <c r="L178" s="34" t="s">
        <v>47</v>
      </c>
      <c r="M178" s="29">
        <v>1.6823938415694066E-2</v>
      </c>
    </row>
    <row r="179" spans="2:13" ht="15.75" customHeight="1" x14ac:dyDescent="0.3">
      <c r="B179" s="26" t="s">
        <v>48</v>
      </c>
      <c r="C179" s="27">
        <v>0.15582450832072617</v>
      </c>
      <c r="D179" s="27">
        <v>9.662288930581614E-2</v>
      </c>
      <c r="G179" s="34" t="s">
        <v>48</v>
      </c>
      <c r="H179" s="35">
        <v>75.330717488789233</v>
      </c>
      <c r="I179" s="35">
        <v>9.0305419075144506</v>
      </c>
      <c r="L179" s="34" t="s">
        <v>48</v>
      </c>
      <c r="M179" s="29">
        <v>1.3274797231936902E-2</v>
      </c>
    </row>
    <row r="180" spans="2:13" ht="15.75" customHeight="1" x14ac:dyDescent="0.3">
      <c r="B180" s="26" t="s">
        <v>49</v>
      </c>
      <c r="C180" s="27">
        <v>8.0552359033371698E-2</v>
      </c>
      <c r="D180" s="27">
        <v>5.9071729957805907E-2</v>
      </c>
      <c r="G180" s="34" t="s">
        <v>49</v>
      </c>
      <c r="H180" s="35">
        <v>74.818925233644862</v>
      </c>
      <c r="I180" s="35">
        <v>6.4983652762119508</v>
      </c>
      <c r="L180" s="34" t="s">
        <v>49</v>
      </c>
      <c r="M180" s="29">
        <v>1.3365602310875165E-2</v>
      </c>
    </row>
    <row r="181" spans="2:13" ht="15.75" customHeight="1" x14ac:dyDescent="0.3">
      <c r="B181" s="26" t="s">
        <v>50</v>
      </c>
      <c r="C181" s="27">
        <v>4.449648711943794E-2</v>
      </c>
      <c r="D181" s="27">
        <v>2.464332036316472E-2</v>
      </c>
      <c r="G181" s="34" t="s">
        <v>50</v>
      </c>
      <c r="H181" s="35">
        <v>179.51388888888889</v>
      </c>
      <c r="I181" s="35">
        <v>6.6061111111111108</v>
      </c>
      <c r="L181" s="34" t="s">
        <v>50</v>
      </c>
      <c r="M181" s="29">
        <v>5.5705996131528044E-3</v>
      </c>
    </row>
    <row r="182" spans="2:13" ht="15.75" customHeight="1" x14ac:dyDescent="0.3">
      <c r="B182" s="26" t="s">
        <v>51</v>
      </c>
      <c r="C182" s="27">
        <v>0.12182741116751269</v>
      </c>
      <c r="D182" s="27">
        <v>6.4400715563506267E-2</v>
      </c>
      <c r="G182" s="34" t="s">
        <v>51</v>
      </c>
      <c r="H182" s="35">
        <v>37.035755478662054</v>
      </c>
      <c r="I182" s="35">
        <v>5.0007377049180324</v>
      </c>
      <c r="L182" s="34" t="s">
        <v>51</v>
      </c>
      <c r="M182" s="29">
        <v>2.7000934288383679E-2</v>
      </c>
    </row>
    <row r="183" spans="2:13" ht="15.75" customHeight="1" x14ac:dyDescent="0.3">
      <c r="B183" s="26" t="s">
        <v>52</v>
      </c>
      <c r="C183" s="27">
        <v>5.0713153724247229E-2</v>
      </c>
      <c r="D183" s="27">
        <v>4.5133991537376586E-2</v>
      </c>
      <c r="G183" s="34" t="s">
        <v>52</v>
      </c>
      <c r="H183" s="35">
        <v>103.39943342776205</v>
      </c>
      <c r="I183" s="35">
        <v>4.5557206537890043</v>
      </c>
      <c r="L183" s="34" t="s">
        <v>52</v>
      </c>
      <c r="M183" s="29">
        <v>9.6712328767123278E-3</v>
      </c>
    </row>
    <row r="184" spans="2:13" ht="15.75" customHeight="1" x14ac:dyDescent="0.3">
      <c r="B184" s="26" t="s">
        <v>53</v>
      </c>
      <c r="C184" s="27">
        <v>8.4112149532710276E-2</v>
      </c>
      <c r="D184" s="27">
        <v>6.2937062937062943E-2</v>
      </c>
      <c r="G184" s="34" t="s">
        <v>53</v>
      </c>
      <c r="H184" s="35">
        <v>88.309608540925282</v>
      </c>
      <c r="I184" s="35">
        <v>6.2170342612419702</v>
      </c>
      <c r="L184" s="34" t="s">
        <v>53</v>
      </c>
      <c r="M184" s="29">
        <v>1.1323796091073946E-2</v>
      </c>
    </row>
    <row r="185" spans="2:13" ht="15.75" customHeight="1" x14ac:dyDescent="0.3">
      <c r="B185" s="26" t="s">
        <v>54</v>
      </c>
      <c r="C185" s="27">
        <v>9.0032154340836015E-2</v>
      </c>
      <c r="D185" s="27">
        <v>4.7619047619047616E-2</v>
      </c>
      <c r="G185" s="36" t="s">
        <v>54</v>
      </c>
      <c r="H185" s="37">
        <v>133.4795321637427</v>
      </c>
      <c r="I185" s="37">
        <v>5.02437106918239</v>
      </c>
      <c r="L185" s="36" t="s">
        <v>54</v>
      </c>
      <c r="M185" s="38">
        <v>7.4917853231106241E-3</v>
      </c>
    </row>
    <row r="186" spans="2:13" ht="15.75" customHeight="1" x14ac:dyDescent="0.3">
      <c r="C186" s="29"/>
      <c r="D186" s="29"/>
      <c r="L186" s="36"/>
      <c r="M186" s="36"/>
    </row>
    <row r="187" spans="2:13" ht="15.75" customHeight="1" x14ac:dyDescent="0.3">
      <c r="B187" s="23" t="s">
        <v>59</v>
      </c>
      <c r="C187" s="30">
        <v>0.19400000000000001</v>
      </c>
      <c r="D187" s="30">
        <v>7.1999999999999995E-2</v>
      </c>
      <c r="G187" s="23" t="s">
        <v>59</v>
      </c>
      <c r="H187" s="23">
        <v>74</v>
      </c>
      <c r="I187" s="23">
        <v>7</v>
      </c>
      <c r="L187" s="23" t="s">
        <v>59</v>
      </c>
      <c r="M187" s="30">
        <v>1.4E-2</v>
      </c>
    </row>
    <row r="188" spans="2:13" ht="15.75" customHeight="1" x14ac:dyDescent="0.3"/>
    <row r="189" spans="2:13" ht="15.75" customHeight="1" x14ac:dyDescent="0.3"/>
    <row r="190" spans="2:13" ht="15.75" customHeight="1" x14ac:dyDescent="0.3"/>
    <row r="191" spans="2:13" ht="15.75" customHeight="1" x14ac:dyDescent="0.3"/>
    <row r="192" spans="2:13" ht="15.75" customHeight="1" x14ac:dyDescent="0.3"/>
    <row r="193" spans="2:14" ht="15.75" customHeight="1" x14ac:dyDescent="0.3"/>
    <row r="194" spans="2:14" ht="15.75" customHeight="1" x14ac:dyDescent="0.3"/>
    <row r="195" spans="2:14" ht="15.75" customHeight="1" x14ac:dyDescent="0.3"/>
    <row r="196" spans="2:14" ht="15.75" customHeight="1" x14ac:dyDescent="0.3"/>
    <row r="197" spans="2:14" ht="15.75" customHeight="1" x14ac:dyDescent="0.3"/>
    <row r="198" spans="2:14" ht="15.75" customHeight="1" x14ac:dyDescent="0.3"/>
    <row r="199" spans="2:14" ht="15.75" customHeight="1" x14ac:dyDescent="0.3"/>
    <row r="200" spans="2:14" ht="15.75" customHeight="1" x14ac:dyDescent="0.3"/>
    <row r="201" spans="2:14" ht="15.75" customHeight="1" x14ac:dyDescent="0.3"/>
    <row r="202" spans="2:14" ht="15.75" customHeight="1" x14ac:dyDescent="0.3"/>
    <row r="203" spans="2:14" ht="15.75" customHeight="1" x14ac:dyDescent="0.3"/>
    <row r="204" spans="2:14" ht="15.75" customHeight="1" x14ac:dyDescent="0.3">
      <c r="B204" s="39" t="s">
        <v>65</v>
      </c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1"/>
    </row>
    <row r="205" spans="2:14" ht="15.75" customHeight="1" x14ac:dyDescent="0.3">
      <c r="B205" s="42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4"/>
    </row>
    <row r="206" spans="2:14" ht="15.75" customHeight="1" x14ac:dyDescent="0.3"/>
    <row r="207" spans="2:14" ht="15.75" customHeight="1" x14ac:dyDescent="0.3"/>
    <row r="208" spans="2:14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autoFilter ref="A1:AO19" xr:uid="{00000000-0009-0000-0000-000001000000}"/>
  <mergeCells count="1">
    <mergeCell ref="B204:N205"/>
  </mergeCells>
  <conditionalFormatting sqref="C27:C44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67:C80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37:C150">
    <cfRule type="colorScale" priority="9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C172:C185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02:D115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27:G40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67:G80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37:G150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02:H115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72:H185">
    <cfRule type="colorScale" priority="13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I172:I185">
    <cfRule type="colorScale" priority="14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K27:K40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37:K150">
    <cfRule type="colorScale" priority="1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L102:L115">
    <cfRule type="colorScale" priority="8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M172:M185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hyperlinks>
    <hyperlink ref="B204" r:id="rId1" xr:uid="{7A29514F-E1DD-4B61-BEA8-70B4DAB74BE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Aerospace &amp; Defense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2024-05-23T11:22:35Z</dcterms:created>
  <dcterms:modified xsi:type="dcterms:W3CDTF">2024-05-23T11:22:49Z</dcterms:modified>
</cp:coreProperties>
</file>