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6\"/>
    </mc:Choice>
  </mc:AlternateContent>
  <xr:revisionPtr revIDLastSave="0" documentId="8_{6EDEDFE9-2600-4A10-8ABF-F7E288094EC1}" xr6:coauthVersionLast="47" xr6:coauthVersionMax="47" xr10:uidLastSave="{00000000-0000-0000-0000-000000000000}"/>
  <bookViews>
    <workbookView xWindow="-108" yWindow="-108" windowWidth="23256" windowHeight="12456" xr2:uid="{4FD8B39B-FD71-4E89-82BD-47A941197B8B}"/>
  </bookViews>
  <sheets>
    <sheet name="BALKRISIN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2" i="1" l="1"/>
  <c r="C72" i="1"/>
  <c r="I67" i="1"/>
  <c r="E67" i="1"/>
  <c r="G67" i="1" s="1"/>
  <c r="H67" i="1" s="1"/>
  <c r="C67" i="1"/>
  <c r="C68" i="1" s="1"/>
  <c r="AB63" i="1"/>
  <c r="AA63" i="1"/>
  <c r="Z63" i="1"/>
  <c r="Y63" i="1"/>
  <c r="AB60" i="1"/>
  <c r="AA60" i="1"/>
  <c r="N60" i="1"/>
  <c r="M60" i="1"/>
  <c r="O60" i="1" s="1"/>
  <c r="I60" i="1"/>
  <c r="H60" i="1"/>
  <c r="J60" i="1" s="1"/>
  <c r="D60" i="1"/>
  <c r="C60" i="1"/>
  <c r="E60" i="1" s="1"/>
  <c r="AB59" i="1"/>
  <c r="AA59" i="1"/>
  <c r="V59" i="1"/>
  <c r="T59" i="1"/>
  <c r="R59" i="1"/>
  <c r="N59" i="1"/>
  <c r="M59" i="1"/>
  <c r="O59" i="1" s="1"/>
  <c r="J59" i="1"/>
  <c r="I59" i="1"/>
  <c r="H59" i="1"/>
  <c r="D59" i="1"/>
  <c r="C59" i="1"/>
  <c r="E59" i="1" s="1"/>
  <c r="AB58" i="1"/>
  <c r="AA58" i="1"/>
  <c r="O58" i="1"/>
  <c r="J58" i="1"/>
  <c r="E58" i="1"/>
  <c r="AB57" i="1"/>
  <c r="AA57" i="1"/>
  <c r="O57" i="1"/>
  <c r="J57" i="1"/>
  <c r="E57" i="1"/>
  <c r="AB56" i="1"/>
  <c r="AA56" i="1"/>
  <c r="O56" i="1"/>
  <c r="J56" i="1"/>
  <c r="E56" i="1"/>
  <c r="AB55" i="1"/>
  <c r="AA55" i="1"/>
  <c r="O55" i="1"/>
  <c r="J55" i="1"/>
  <c r="E55" i="1"/>
  <c r="AB54" i="1"/>
  <c r="AA54" i="1"/>
  <c r="O54" i="1"/>
  <c r="J54" i="1"/>
  <c r="E54" i="1"/>
  <c r="P50" i="1"/>
  <c r="R48" i="1"/>
  <c r="N48" i="1"/>
  <c r="Q48" i="1" s="1"/>
  <c r="Q50" i="1" s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D44" i="1"/>
  <c r="C44" i="1"/>
  <c r="J43" i="1"/>
  <c r="I43" i="1"/>
  <c r="H43" i="1"/>
  <c r="G43" i="1"/>
  <c r="F43" i="1"/>
  <c r="D43" i="1"/>
  <c r="C43" i="1"/>
  <c r="L42" i="1"/>
  <c r="J42" i="1"/>
  <c r="I42" i="1"/>
  <c r="H42" i="1"/>
  <c r="G42" i="1"/>
  <c r="F42" i="1"/>
  <c r="D42" i="1"/>
  <c r="C42" i="1"/>
  <c r="J41" i="1"/>
  <c r="I41" i="1"/>
  <c r="H41" i="1"/>
  <c r="G41" i="1"/>
  <c r="D41" i="1"/>
  <c r="C41" i="1"/>
  <c r="N38" i="1"/>
  <c r="M38" i="1"/>
  <c r="O38" i="1" s="1"/>
  <c r="K38" i="1"/>
  <c r="F38" i="1"/>
  <c r="L38" i="1" s="1"/>
  <c r="D38" i="1"/>
  <c r="E38" i="1" s="1"/>
  <c r="C38" i="1"/>
  <c r="O37" i="1"/>
  <c r="O45" i="1" s="1"/>
  <c r="N37" i="1"/>
  <c r="N45" i="1" s="1"/>
  <c r="M37" i="1"/>
  <c r="M43" i="1" s="1"/>
  <c r="L37" i="1"/>
  <c r="L45" i="1" s="1"/>
  <c r="K37" i="1"/>
  <c r="K45" i="1" s="1"/>
  <c r="E37" i="1"/>
  <c r="M36" i="1"/>
  <c r="M45" i="1" s="1"/>
  <c r="L36" i="1"/>
  <c r="K36" i="1"/>
  <c r="E36" i="1"/>
  <c r="M35" i="1"/>
  <c r="O35" i="1" s="1"/>
  <c r="L35" i="1"/>
  <c r="K35" i="1"/>
  <c r="E35" i="1"/>
  <c r="N34" i="1"/>
  <c r="M34" i="1"/>
  <c r="O34" i="1" s="1"/>
  <c r="L34" i="1"/>
  <c r="K34" i="1"/>
  <c r="E34" i="1"/>
  <c r="O33" i="1"/>
  <c r="N33" i="1"/>
  <c r="M33" i="1"/>
  <c r="L33" i="1"/>
  <c r="K33" i="1"/>
  <c r="E33" i="1"/>
  <c r="M32" i="1"/>
  <c r="O32" i="1" s="1"/>
  <c r="L32" i="1"/>
  <c r="L44" i="1" s="1"/>
  <c r="K32" i="1"/>
  <c r="K44" i="1" s="1"/>
  <c r="E32" i="1"/>
  <c r="E44" i="1" s="1"/>
  <c r="M31" i="1"/>
  <c r="O31" i="1" s="1"/>
  <c r="L31" i="1"/>
  <c r="K31" i="1"/>
  <c r="E31" i="1"/>
  <c r="N30" i="1"/>
  <c r="M30" i="1"/>
  <c r="O30" i="1" s="1"/>
  <c r="L30" i="1"/>
  <c r="K30" i="1"/>
  <c r="E30" i="1"/>
  <c r="O29" i="1"/>
  <c r="N29" i="1"/>
  <c r="M29" i="1"/>
  <c r="L29" i="1"/>
  <c r="K29" i="1"/>
  <c r="E29" i="1"/>
  <c r="M28" i="1"/>
  <c r="O28" i="1" s="1"/>
  <c r="L28" i="1"/>
  <c r="K28" i="1"/>
  <c r="E28" i="1"/>
  <c r="M27" i="1"/>
  <c r="O27" i="1" s="1"/>
  <c r="L27" i="1"/>
  <c r="L43" i="1" s="1"/>
  <c r="K27" i="1"/>
  <c r="K43" i="1" s="1"/>
  <c r="E27" i="1"/>
  <c r="E43" i="1" s="1"/>
  <c r="N26" i="1"/>
  <c r="M26" i="1"/>
  <c r="O26" i="1" s="1"/>
  <c r="L26" i="1"/>
  <c r="K26" i="1"/>
  <c r="E26" i="1"/>
  <c r="O25" i="1"/>
  <c r="N25" i="1"/>
  <c r="M25" i="1"/>
  <c r="L25" i="1"/>
  <c r="K25" i="1"/>
  <c r="E25" i="1"/>
  <c r="M24" i="1"/>
  <c r="O24" i="1" s="1"/>
  <c r="L24" i="1"/>
  <c r="K24" i="1"/>
  <c r="E24" i="1"/>
  <c r="M23" i="1"/>
  <c r="O23" i="1" s="1"/>
  <c r="L23" i="1"/>
  <c r="K23" i="1"/>
  <c r="E23" i="1"/>
  <c r="N22" i="1"/>
  <c r="M22" i="1"/>
  <c r="O22" i="1" s="1"/>
  <c r="L22" i="1"/>
  <c r="K22" i="1"/>
  <c r="E22" i="1"/>
  <c r="O21" i="1"/>
  <c r="N21" i="1"/>
  <c r="M21" i="1"/>
  <c r="L21" i="1"/>
  <c r="K21" i="1"/>
  <c r="E21" i="1"/>
  <c r="M20" i="1"/>
  <c r="O20" i="1" s="1"/>
  <c r="L20" i="1"/>
  <c r="K20" i="1"/>
  <c r="E20" i="1"/>
  <c r="M19" i="1"/>
  <c r="O19" i="1" s="1"/>
  <c r="L19" i="1"/>
  <c r="K19" i="1"/>
  <c r="K42" i="1" s="1"/>
  <c r="E19" i="1"/>
  <c r="N18" i="1"/>
  <c r="M18" i="1"/>
  <c r="O18" i="1" s="1"/>
  <c r="L18" i="1"/>
  <c r="K18" i="1"/>
  <c r="E18" i="1"/>
  <c r="O17" i="1"/>
  <c r="N17" i="1"/>
  <c r="M17" i="1"/>
  <c r="M42" i="1" s="1"/>
  <c r="L17" i="1"/>
  <c r="K17" i="1"/>
  <c r="E17" i="1"/>
  <c r="E42" i="1" s="1"/>
  <c r="F64" i="1" s="1"/>
  <c r="M16" i="1"/>
  <c r="O16" i="1" s="1"/>
  <c r="L16" i="1"/>
  <c r="K16" i="1"/>
  <c r="H16" i="1"/>
  <c r="E16" i="1"/>
  <c r="L15" i="1"/>
  <c r="K15" i="1"/>
  <c r="E15" i="1"/>
  <c r="L14" i="1"/>
  <c r="K14" i="1"/>
  <c r="E14" i="1"/>
  <c r="L13" i="1"/>
  <c r="K13" i="1"/>
  <c r="E13" i="1"/>
  <c r="X12" i="1"/>
  <c r="X14" i="1" s="1"/>
  <c r="W12" i="1"/>
  <c r="W14" i="1" s="1"/>
  <c r="K12" i="1"/>
  <c r="K41" i="1" s="1"/>
  <c r="F12" i="1"/>
  <c r="L12" i="1" s="1"/>
  <c r="L41" i="1" s="1"/>
  <c r="E12" i="1"/>
  <c r="E41" i="1" s="1"/>
  <c r="T9" i="1"/>
  <c r="S9" i="1"/>
  <c r="R9" i="1"/>
  <c r="O9" i="1"/>
  <c r="J9" i="1"/>
  <c r="I9" i="1"/>
  <c r="H9" i="1"/>
  <c r="G9" i="1"/>
  <c r="E9" i="1"/>
  <c r="D9" i="1"/>
  <c r="C9" i="1"/>
  <c r="B9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G5" i="1"/>
  <c r="V4" i="1"/>
  <c r="D4" i="1"/>
  <c r="V3" i="1"/>
  <c r="H3" i="1"/>
  <c r="N9" i="1" s="1"/>
  <c r="F3" i="1"/>
  <c r="L9" i="1" s="1"/>
  <c r="E3" i="1"/>
  <c r="E5" i="1" s="1"/>
  <c r="D3" i="1"/>
  <c r="D5" i="1" s="1"/>
  <c r="C3" i="1"/>
  <c r="P9" i="1" s="1"/>
  <c r="D68" i="1" l="1"/>
  <c r="C69" i="1"/>
  <c r="O43" i="1"/>
  <c r="F5" i="1"/>
  <c r="H5" i="1"/>
  <c r="K9" i="1"/>
  <c r="N16" i="1"/>
  <c r="N20" i="1"/>
  <c r="N24" i="1"/>
  <c r="N28" i="1"/>
  <c r="N32" i="1"/>
  <c r="N36" i="1"/>
  <c r="R50" i="1"/>
  <c r="S48" i="1" s="1"/>
  <c r="Q9" i="1" s="1"/>
  <c r="O36" i="1"/>
  <c r="O44" i="1" s="1"/>
  <c r="M9" i="1"/>
  <c r="N19" i="1"/>
  <c r="N23" i="1"/>
  <c r="N27" i="1"/>
  <c r="N43" i="1" s="1"/>
  <c r="N31" i="1"/>
  <c r="N35" i="1"/>
  <c r="M44" i="1"/>
  <c r="D67" i="1"/>
  <c r="D63" i="1" s="1"/>
  <c r="C5" i="1"/>
  <c r="F9" i="1"/>
  <c r="M41" i="1"/>
  <c r="F41" i="1"/>
  <c r="F67" i="1"/>
  <c r="N42" i="1" l="1"/>
  <c r="O42" i="1"/>
  <c r="D69" i="1"/>
  <c r="E68" i="1"/>
  <c r="N41" i="1"/>
  <c r="L67" i="1"/>
  <c r="F68" i="1"/>
  <c r="J67" i="1"/>
  <c r="K67" i="1" s="1"/>
  <c r="M67" i="1" s="1"/>
  <c r="E72" i="1" s="1"/>
  <c r="F72" i="1" s="1"/>
  <c r="N44" i="1"/>
  <c r="O41" i="1"/>
  <c r="L68" i="1" l="1"/>
  <c r="J68" i="1"/>
  <c r="K68" i="1" s="1"/>
  <c r="F69" i="1"/>
  <c r="I68" i="1"/>
  <c r="E69" i="1"/>
  <c r="G68" i="1"/>
  <c r="H68" i="1" s="1"/>
  <c r="M68" i="1" s="1"/>
  <c r="L69" i="1" l="1"/>
  <c r="J69" i="1"/>
  <c r="K69" i="1" s="1"/>
  <c r="I69" i="1"/>
  <c r="G69" i="1"/>
  <c r="H69" i="1" s="1"/>
  <c r="M69" i="1" l="1"/>
</calcChain>
</file>

<file path=xl/sharedStrings.xml><?xml version="1.0" encoding="utf-8"?>
<sst xmlns="http://schemas.openxmlformats.org/spreadsheetml/2006/main" count="276" uniqueCount="189">
  <si>
    <t>MARKET</t>
  </si>
  <si>
    <t>FINANCIAL</t>
  </si>
  <si>
    <t>BALANCESHEET</t>
  </si>
  <si>
    <t>CASHFLOW</t>
  </si>
  <si>
    <t>DATA</t>
  </si>
  <si>
    <t>Company</t>
  </si>
  <si>
    <t>Price</t>
  </si>
  <si>
    <t>Marketcap</t>
  </si>
  <si>
    <t>Sales</t>
  </si>
  <si>
    <t>Profit</t>
  </si>
  <si>
    <t>FV</t>
  </si>
  <si>
    <t>EPS</t>
  </si>
  <si>
    <t>Equity</t>
  </si>
  <si>
    <t>Total Equity</t>
  </si>
  <si>
    <t>Borrowing</t>
  </si>
  <si>
    <t>Lease</t>
  </si>
  <si>
    <t>Cur.Assets</t>
  </si>
  <si>
    <t>Curr.Liabilites</t>
  </si>
  <si>
    <t>Assets</t>
  </si>
  <si>
    <t>Liabilities</t>
  </si>
  <si>
    <t>Trade Rec.</t>
  </si>
  <si>
    <t>PPE</t>
  </si>
  <si>
    <t>CFO</t>
  </si>
  <si>
    <t>CFI</t>
  </si>
  <si>
    <t>CFF</t>
  </si>
  <si>
    <t>NETCASHFLOW</t>
  </si>
  <si>
    <t>BALKRISIND</t>
  </si>
  <si>
    <t>Last Year_25</t>
  </si>
  <si>
    <t>Growth</t>
  </si>
  <si>
    <t>GROWTH</t>
  </si>
  <si>
    <t>LIQUIDITY</t>
  </si>
  <si>
    <t>SOLVENCY</t>
  </si>
  <si>
    <t>PROFITABILITY</t>
  </si>
  <si>
    <t>VALUATIONS</t>
  </si>
  <si>
    <t>SALES GROWTH</t>
  </si>
  <si>
    <t>PROFIT GROWTH</t>
  </si>
  <si>
    <t>P-MARGIN</t>
  </si>
  <si>
    <t>CUR.RATIO</t>
  </si>
  <si>
    <t>TRADE CYC</t>
  </si>
  <si>
    <t>DEBT2EQUITY</t>
  </si>
  <si>
    <t>DEBTRATIO</t>
  </si>
  <si>
    <t>ICR</t>
  </si>
  <si>
    <t>ROE</t>
  </si>
  <si>
    <t>ROPE</t>
  </si>
  <si>
    <t>ROA</t>
  </si>
  <si>
    <t>F_PE</t>
  </si>
  <si>
    <t>F_YIELD%</t>
  </si>
  <si>
    <t>BOOKVALUE</t>
  </si>
  <si>
    <t>PBV</t>
  </si>
  <si>
    <t>PEG</t>
  </si>
  <si>
    <t>OCFR</t>
  </si>
  <si>
    <t>CFD</t>
  </si>
  <si>
    <t>FCF (INC R)</t>
  </si>
  <si>
    <t>Actual</t>
  </si>
  <si>
    <t>Year</t>
  </si>
  <si>
    <t>Revenue</t>
  </si>
  <si>
    <t>Margin %</t>
  </si>
  <si>
    <t>EQUITY</t>
  </si>
  <si>
    <t>OtherEquity</t>
  </si>
  <si>
    <t>LowPrice</t>
  </si>
  <si>
    <t>HighPrice</t>
  </si>
  <si>
    <t>LPE</t>
  </si>
  <si>
    <t>HPE</t>
  </si>
  <si>
    <t>BookValue</t>
  </si>
  <si>
    <t>LBV</t>
  </si>
  <si>
    <t>HBV</t>
  </si>
  <si>
    <t>PRICE</t>
  </si>
  <si>
    <t>MRF</t>
  </si>
  <si>
    <t>FY_2000</t>
  </si>
  <si>
    <t>PRICE CMP</t>
  </si>
  <si>
    <t>FY_2001</t>
  </si>
  <si>
    <t>PRICE 2004</t>
  </si>
  <si>
    <t>FY_2002</t>
  </si>
  <si>
    <t>X TIMES</t>
  </si>
  <si>
    <t>FY_2003</t>
  </si>
  <si>
    <t>DIVIDEND %</t>
  </si>
  <si>
    <t>Bonus 1:1</t>
  </si>
  <si>
    <t>FY_2004</t>
  </si>
  <si>
    <t>FY_2005</t>
  </si>
  <si>
    <t>Bonus 1:2</t>
  </si>
  <si>
    <t>FY_2006</t>
  </si>
  <si>
    <t>FY_2007</t>
  </si>
  <si>
    <t>FY_2008</t>
  </si>
  <si>
    <t>FY_2009</t>
  </si>
  <si>
    <t>FY_2010</t>
  </si>
  <si>
    <t>SPLIT 10:2</t>
  </si>
  <si>
    <t>FY_2011</t>
  </si>
  <si>
    <t>FY_2012</t>
  </si>
  <si>
    <t>FY_2013</t>
  </si>
  <si>
    <t>FY_2014</t>
  </si>
  <si>
    <t>SpinOff</t>
  </si>
  <si>
    <t>FY_2015</t>
  </si>
  <si>
    <t>FY_2016</t>
  </si>
  <si>
    <t>FY_2017</t>
  </si>
  <si>
    <t>FY_2018</t>
  </si>
  <si>
    <t>FY_2019</t>
  </si>
  <si>
    <t>FY_2020</t>
  </si>
  <si>
    <t>FY_2021</t>
  </si>
  <si>
    <t>FY_2022</t>
  </si>
  <si>
    <t>FY_2023</t>
  </si>
  <si>
    <t>FY_2024</t>
  </si>
  <si>
    <t>FY_2025</t>
  </si>
  <si>
    <t>TrailFY_26</t>
  </si>
  <si>
    <t>Margin</t>
  </si>
  <si>
    <t>25 Year CAGR</t>
  </si>
  <si>
    <t>20 Year CAGR</t>
  </si>
  <si>
    <t>10 Year CAGR</t>
  </si>
  <si>
    <t>5 Year CAGR</t>
  </si>
  <si>
    <t>Last Year</t>
  </si>
  <si>
    <t>Recent</t>
  </si>
  <si>
    <t>TREND</t>
  </si>
  <si>
    <t>H1_FY_25</t>
  </si>
  <si>
    <t>9M_FY_25</t>
  </si>
  <si>
    <t>FY_25</t>
  </si>
  <si>
    <t>Q1_FY_26</t>
  </si>
  <si>
    <t>EST-2026</t>
  </si>
  <si>
    <t>TRAIL</t>
  </si>
  <si>
    <t>Q2_FY_25</t>
  </si>
  <si>
    <t>Q3_FY_25</t>
  </si>
  <si>
    <t>Q4_FY_25</t>
  </si>
  <si>
    <t>TRAIL_EPS</t>
  </si>
  <si>
    <t>EPS_24</t>
  </si>
  <si>
    <t>T_EPS</t>
  </si>
  <si>
    <t>F_EPS_26</t>
  </si>
  <si>
    <t>SALES</t>
  </si>
  <si>
    <t>PROFIT</t>
  </si>
  <si>
    <t>PE</t>
  </si>
  <si>
    <t>TRAIL_PE</t>
  </si>
  <si>
    <t>MARGIN</t>
  </si>
  <si>
    <t>VOLUME</t>
  </si>
  <si>
    <t>Major Cost</t>
  </si>
  <si>
    <t>Quaterly</t>
  </si>
  <si>
    <t>Q1_FY_25</t>
  </si>
  <si>
    <t>CAGR</t>
  </si>
  <si>
    <t>Q4_FY_24</t>
  </si>
  <si>
    <t>FY_24</t>
  </si>
  <si>
    <t>SEGMENTAL</t>
  </si>
  <si>
    <t>Q1FY26</t>
  </si>
  <si>
    <t>CHANNEL</t>
  </si>
  <si>
    <t>GEOGRAPHY</t>
  </si>
  <si>
    <t>Share</t>
  </si>
  <si>
    <t>AGRICULTURE</t>
  </si>
  <si>
    <t>REPLACEMENT</t>
  </si>
  <si>
    <t>EUROPE</t>
  </si>
  <si>
    <t>Raw Material</t>
  </si>
  <si>
    <t>COST</t>
  </si>
  <si>
    <t>OTR</t>
  </si>
  <si>
    <t>OEM</t>
  </si>
  <si>
    <t>AMERICA</t>
  </si>
  <si>
    <t>Others</t>
  </si>
  <si>
    <t>Finance</t>
  </si>
  <si>
    <t>OTHERS</t>
  </si>
  <si>
    <t>INDIA</t>
  </si>
  <si>
    <t>Depreciation</t>
  </si>
  <si>
    <t>Net Profit</t>
  </si>
  <si>
    <t>ROW</t>
  </si>
  <si>
    <t>Employee</t>
  </si>
  <si>
    <t>stock in trade</t>
  </si>
  <si>
    <t>TOTAL</t>
  </si>
  <si>
    <t>FINANCE</t>
  </si>
  <si>
    <t>Inventory</t>
  </si>
  <si>
    <t>Estimate</t>
  </si>
  <si>
    <t>Current Year</t>
  </si>
  <si>
    <t>Total</t>
  </si>
  <si>
    <t>LongTerm</t>
  </si>
  <si>
    <t>SHP</t>
  </si>
  <si>
    <t>F-YEAR</t>
  </si>
  <si>
    <t>Total Income</t>
  </si>
  <si>
    <t>NET PROFIT</t>
  </si>
  <si>
    <t>Low Price Range</t>
  </si>
  <si>
    <t>FairPrice@EPS</t>
  </si>
  <si>
    <t>HIgh Price Range</t>
  </si>
  <si>
    <t>FairPrice@PBV</t>
  </si>
  <si>
    <t>Blended Fairvalue</t>
  </si>
  <si>
    <t>Head</t>
  </si>
  <si>
    <t>9M_FY24</t>
  </si>
  <si>
    <t>FY_2026</t>
  </si>
  <si>
    <t>Promoters</t>
  </si>
  <si>
    <t>FY_2030</t>
  </si>
  <si>
    <t>MF &amp; INSURANCE</t>
  </si>
  <si>
    <t>FY_2035</t>
  </si>
  <si>
    <t>FII</t>
  </si>
  <si>
    <t>Retail</t>
  </si>
  <si>
    <t>STR. WEIGHTAGE</t>
  </si>
  <si>
    <t>FACTOR</t>
  </si>
  <si>
    <t>TECH. WEIGHT</t>
  </si>
  <si>
    <t>NET</t>
  </si>
  <si>
    <t>WWW.PROFITFROMIT.IN</t>
  </si>
  <si>
    <t>Fairvalue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</si>
</sst>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;\(#,##0.00\)"/>
    <numFmt numFmtId="165" formatCode="#,##0;\(#,##0\)"/>
    <numFmt numFmtId="166" formatCode="m/d/yyyy\ h:mm:ss"/>
    <numFmt numFmtId="167" formatCode="0.0%"/>
    <numFmt numFmtId="168" formatCode="#,##0.0"/>
    <numFmt numFmtId="169" formatCode="#,##0.0;\(#,##0.0\)"/>
    <numFmt numFmtId="170" formatCode="0.0"/>
    <numFmt numFmtId="171" formatCode="&quot;$&quot;#,##0.00"/>
  </numFmts>
  <fonts count="24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Calibri"/>
      <scheme val="minor"/>
    </font>
    <font>
      <b/>
      <sz val="12"/>
      <color rgb="FF777777"/>
      <name val="&quot;Helvetica Neue&quot;"/>
    </font>
    <font>
      <sz val="11"/>
      <color theme="1"/>
      <name val="Calibri"/>
    </font>
    <font>
      <b/>
      <i/>
      <sz val="11"/>
      <color theme="1"/>
      <name val="Calibri"/>
      <scheme val="minor"/>
    </font>
    <font>
      <sz val="11"/>
      <color rgb="FFFFFFFF"/>
      <name val="Arial"/>
    </font>
    <font>
      <i/>
      <sz val="11"/>
      <color theme="1"/>
      <name val="Arial"/>
    </font>
    <font>
      <sz val="11"/>
      <color rgb="FFFFFFFF"/>
      <name val="Calibri"/>
      <scheme val="minor"/>
    </font>
    <font>
      <sz val="11"/>
      <color rgb="FF000000"/>
      <name val="Calibri"/>
      <scheme val="minor"/>
    </font>
    <font>
      <sz val="11"/>
      <color theme="1"/>
      <name val="Arial"/>
    </font>
    <font>
      <sz val="11"/>
      <color rgb="FF000000"/>
      <name val="Arial"/>
    </font>
    <font>
      <sz val="11"/>
      <color theme="0"/>
      <name val="Calibri"/>
      <scheme val="minor"/>
    </font>
    <font>
      <i/>
      <sz val="11"/>
      <color theme="1"/>
      <name val="Calibri"/>
      <scheme val="minor"/>
    </font>
    <font>
      <b/>
      <sz val="14"/>
      <color rgb="FFFFFFFF"/>
      <name val="Calibri"/>
    </font>
    <font>
      <sz val="34"/>
      <color theme="1"/>
      <name val="Calibri"/>
    </font>
    <font>
      <b/>
      <sz val="11"/>
      <color rgb="FF0C343D"/>
      <name val="Calibri"/>
      <scheme val="minor"/>
    </font>
    <font>
      <sz val="9"/>
      <color theme="1"/>
      <name val="Arial"/>
    </font>
    <font>
      <b/>
      <sz val="11"/>
      <color rgb="FFFFFFFF"/>
      <name val="Calibri"/>
    </font>
    <font>
      <b/>
      <sz val="11"/>
      <color theme="1"/>
      <name val="Arial"/>
    </font>
    <font>
      <b/>
      <sz val="11"/>
      <color theme="1"/>
      <name val="Calibri"/>
    </font>
    <font>
      <i/>
      <sz val="11"/>
      <color theme="1"/>
      <name val="Calibri"/>
    </font>
    <font>
      <b/>
      <u/>
      <sz val="20"/>
      <color rgb="FFFFFFFF"/>
      <name val="Calibri"/>
    </font>
    <font>
      <sz val="11"/>
      <name val="Calibri"/>
    </font>
  </fonts>
  <fills count="28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  <fill>
      <patternFill patternType="solid">
        <fgColor rgb="FF20124D"/>
        <bgColor rgb="FF20124D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theme="4"/>
        <bgColor theme="4"/>
      </patternFill>
    </fill>
    <fill>
      <patternFill patternType="solid">
        <fgColor rgb="FF1C4587"/>
        <bgColor rgb="FF1C4587"/>
      </patternFill>
    </fill>
    <fill>
      <patternFill patternType="solid">
        <fgColor rgb="FFE67C73"/>
        <bgColor rgb="FFE67C73"/>
      </patternFill>
    </fill>
    <fill>
      <patternFill patternType="solid">
        <fgColor rgb="FFF0B0AB"/>
        <bgColor rgb="FFF0B0AB"/>
      </patternFill>
    </fill>
    <fill>
      <patternFill patternType="solid">
        <fgColor rgb="FF57BB8A"/>
        <bgColor rgb="FF57BB8A"/>
      </patternFill>
    </fill>
    <fill>
      <patternFill patternType="solid">
        <fgColor rgb="FF92D3B3"/>
        <bgColor rgb="FF92D3B3"/>
      </patternFill>
    </fill>
    <fill>
      <patternFill patternType="solid">
        <fgColor rgb="FF71C69C"/>
        <bgColor rgb="FF71C69C"/>
      </patternFill>
    </fill>
    <fill>
      <patternFill patternType="solid">
        <fgColor rgb="FFF3BFBB"/>
        <bgColor rgb="FFF3BFBB"/>
      </patternFill>
    </fill>
    <fill>
      <patternFill patternType="solid">
        <fgColor rgb="FFFEFFFE"/>
        <bgColor rgb="FFFEFFFE"/>
      </patternFill>
    </fill>
    <fill>
      <patternFill patternType="solid">
        <fgColor rgb="FFF2FAF6"/>
        <bgColor rgb="FFF2FAF6"/>
      </patternFill>
    </fill>
    <fill>
      <patternFill patternType="solid">
        <fgColor rgb="FFF6D2CF"/>
        <bgColor rgb="FFF6D2CF"/>
      </patternFill>
    </fill>
    <fill>
      <patternFill patternType="solid">
        <fgColor rgb="FFFDF9F9"/>
        <bgColor rgb="FFFDF9F9"/>
      </patternFill>
    </fill>
    <fill>
      <patternFill patternType="solid">
        <fgColor rgb="FFEAF7F1"/>
        <bgColor rgb="FFEAF7F1"/>
      </patternFill>
    </fill>
    <fill>
      <patternFill patternType="solid">
        <fgColor rgb="FFEBF7F1"/>
        <bgColor rgb="FFEBF7F1"/>
      </patternFill>
    </fill>
    <fill>
      <patternFill patternType="solid">
        <fgColor rgb="FF59BC8B"/>
        <bgColor rgb="FF59BC8B"/>
      </patternFill>
    </fill>
    <fill>
      <patternFill patternType="solid">
        <fgColor rgb="FFFEFEFE"/>
        <bgColor rgb="FFFEFEFE"/>
      </patternFill>
    </fill>
    <fill>
      <patternFill patternType="solid">
        <fgColor rgb="FFFCFEFD"/>
        <bgColor rgb="FFFCFEFD"/>
      </patternFill>
    </fill>
    <fill>
      <patternFill patternType="solid">
        <fgColor rgb="FF4F81BD"/>
        <bgColor rgb="FF4F81BD"/>
      </patternFill>
    </fill>
    <fill>
      <patternFill patternType="solid">
        <fgColor rgb="FF84CEAA"/>
        <bgColor rgb="FF84CEAA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2" fillId="2" borderId="1" xfId="0" applyFont="1" applyFill="1" applyBorder="1"/>
    <xf numFmtId="0" fontId="2" fillId="0" borderId="1" xfId="0" applyFont="1" applyBorder="1"/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3" fillId="3" borderId="1" xfId="0" applyNumberFormat="1" applyFont="1" applyFill="1" applyBorder="1" applyAlignment="1">
      <alignment horizontal="right" wrapText="1"/>
    </xf>
    <xf numFmtId="0" fontId="4" fillId="0" borderId="1" xfId="0" applyFont="1" applyBorder="1"/>
    <xf numFmtId="3" fontId="3" fillId="3" borderId="0" xfId="0" applyNumberFormat="1" applyFont="1" applyFill="1" applyAlignment="1">
      <alignment horizontal="right" wrapText="1"/>
    </xf>
    <xf numFmtId="0" fontId="4" fillId="0" borderId="0" xfId="0" applyFont="1"/>
    <xf numFmtId="1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9" fontId="5" fillId="4" borderId="1" xfId="0" applyNumberFormat="1" applyFont="1" applyFill="1" applyBorder="1" applyAlignment="1">
      <alignment horizontal="center"/>
    </xf>
    <xf numFmtId="167" fontId="0" fillId="0" borderId="0" xfId="0" applyNumberFormat="1"/>
    <xf numFmtId="1" fontId="0" fillId="0" borderId="0" xfId="0" applyNumberFormat="1"/>
    <xf numFmtId="0" fontId="1" fillId="0" borderId="0" xfId="0" applyFont="1"/>
    <xf numFmtId="0" fontId="6" fillId="5" borderId="2" xfId="0" applyFont="1" applyFill="1" applyBorder="1"/>
    <xf numFmtId="0" fontId="4" fillId="0" borderId="2" xfId="0" applyFont="1" applyBorder="1"/>
    <xf numFmtId="167" fontId="4" fillId="0" borderId="2" xfId="0" applyNumberFormat="1" applyFont="1" applyBorder="1"/>
    <xf numFmtId="1" fontId="4" fillId="0" borderId="2" xfId="0" applyNumberFormat="1" applyFont="1" applyBorder="1"/>
    <xf numFmtId="1" fontId="6" fillId="5" borderId="2" xfId="0" applyNumberFormat="1" applyFont="1" applyFill="1" applyBorder="1"/>
    <xf numFmtId="9" fontId="7" fillId="6" borderId="3" xfId="0" applyNumberFormat="1" applyFont="1" applyFill="1" applyBorder="1" applyAlignment="1">
      <alignment horizontal="right"/>
    </xf>
    <xf numFmtId="9" fontId="7" fillId="6" borderId="4" xfId="0" applyNumberFormat="1" applyFont="1" applyFill="1" applyBorder="1" applyAlignment="1">
      <alignment horizontal="right"/>
    </xf>
    <xf numFmtId="168" fontId="7" fillId="6" borderId="4" xfId="0" applyNumberFormat="1" applyFont="1" applyFill="1" applyBorder="1" applyAlignment="1">
      <alignment horizontal="right"/>
    </xf>
    <xf numFmtId="3" fontId="7" fillId="6" borderId="4" xfId="0" applyNumberFormat="1" applyFont="1" applyFill="1" applyBorder="1" applyAlignment="1">
      <alignment horizontal="right"/>
    </xf>
    <xf numFmtId="167" fontId="7" fillId="6" borderId="4" xfId="0" applyNumberFormat="1" applyFont="1" applyFill="1" applyBorder="1" applyAlignment="1">
      <alignment horizontal="right"/>
    </xf>
    <xf numFmtId="9" fontId="0" fillId="0" borderId="0" xfId="0" applyNumberFormat="1"/>
    <xf numFmtId="9" fontId="1" fillId="0" borderId="0" xfId="0" applyNumberFormat="1" applyFont="1"/>
    <xf numFmtId="0" fontId="8" fillId="2" borderId="1" xfId="0" applyFont="1" applyFill="1" applyBorder="1"/>
    <xf numFmtId="0" fontId="0" fillId="0" borderId="1" xfId="0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165" fontId="9" fillId="0" borderId="1" xfId="0" applyNumberFormat="1" applyFont="1" applyBorder="1"/>
    <xf numFmtId="169" fontId="9" fillId="0" borderId="1" xfId="0" applyNumberFormat="1" applyFont="1" applyBorder="1"/>
    <xf numFmtId="167" fontId="0" fillId="0" borderId="1" xfId="0" applyNumberFormat="1" applyBorder="1" applyAlignment="1">
      <alignment horizontal="right" vertical="center"/>
    </xf>
    <xf numFmtId="170" fontId="10" fillId="0" borderId="1" xfId="0" applyNumberFormat="1" applyFont="1" applyBorder="1" applyAlignment="1">
      <alignment horizontal="right"/>
    </xf>
    <xf numFmtId="165" fontId="10" fillId="0" borderId="5" xfId="0" applyNumberFormat="1" applyFont="1" applyBorder="1" applyAlignment="1">
      <alignment horizontal="right"/>
    </xf>
    <xf numFmtId="165" fontId="10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 vertical="center"/>
    </xf>
    <xf numFmtId="164" fontId="9" fillId="0" borderId="1" xfId="0" applyNumberFormat="1" applyFont="1" applyBorder="1"/>
    <xf numFmtId="0" fontId="5" fillId="6" borderId="1" xfId="0" applyFont="1" applyFill="1" applyBorder="1"/>
    <xf numFmtId="1" fontId="5" fillId="6" borderId="1" xfId="0" applyNumberFormat="1" applyFont="1" applyFill="1" applyBorder="1"/>
    <xf numFmtId="165" fontId="0" fillId="0" borderId="1" xfId="0" applyNumberFormat="1" applyBorder="1"/>
    <xf numFmtId="0" fontId="5" fillId="4" borderId="1" xfId="0" applyFont="1" applyFill="1" applyBorder="1"/>
    <xf numFmtId="9" fontId="5" fillId="4" borderId="1" xfId="0" applyNumberFormat="1" applyFont="1" applyFill="1" applyBorder="1"/>
    <xf numFmtId="1" fontId="1" fillId="0" borderId="1" xfId="0" applyNumberFormat="1" applyFont="1" applyBorder="1"/>
    <xf numFmtId="170" fontId="1" fillId="0" borderId="1" xfId="0" applyNumberFormat="1" applyFont="1" applyBorder="1"/>
    <xf numFmtId="49" fontId="0" fillId="0" borderId="1" xfId="0" applyNumberFormat="1" applyBorder="1" applyAlignment="1">
      <alignment horizontal="left" vertical="center"/>
    </xf>
    <xf numFmtId="1" fontId="1" fillId="0" borderId="0" xfId="0" applyNumberFormat="1" applyFont="1"/>
    <xf numFmtId="170" fontId="11" fillId="3" borderId="1" xfId="0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64" fontId="0" fillId="0" borderId="1" xfId="0" applyNumberFormat="1" applyBorder="1"/>
    <xf numFmtId="0" fontId="0" fillId="0" borderId="1" xfId="0" applyBorder="1" applyAlignment="1">
      <alignment horizontal="left"/>
    </xf>
    <xf numFmtId="1" fontId="0" fillId="0" borderId="1" xfId="0" applyNumberFormat="1" applyBorder="1"/>
    <xf numFmtId="164" fontId="1" fillId="0" borderId="1" xfId="0" applyNumberFormat="1" applyFont="1" applyBorder="1"/>
    <xf numFmtId="10" fontId="1" fillId="0" borderId="0" xfId="0" applyNumberFormat="1" applyFont="1"/>
    <xf numFmtId="2" fontId="1" fillId="0" borderId="0" xfId="0" applyNumberFormat="1" applyFont="1"/>
    <xf numFmtId="0" fontId="8" fillId="8" borderId="1" xfId="0" applyFont="1" applyFill="1" applyBorder="1" applyAlignment="1">
      <alignment horizontal="left" vertical="center"/>
    </xf>
    <xf numFmtId="0" fontId="12" fillId="8" borderId="1" xfId="0" applyFont="1" applyFill="1" applyBorder="1" applyAlignment="1">
      <alignment horizontal="left" vertical="center"/>
    </xf>
    <xf numFmtId="1" fontId="8" fillId="8" borderId="1" xfId="0" applyNumberFormat="1" applyFont="1" applyFill="1" applyBorder="1" applyAlignment="1">
      <alignment horizontal="left" vertical="center"/>
    </xf>
    <xf numFmtId="9" fontId="13" fillId="3" borderId="1" xfId="0" applyNumberFormat="1" applyFont="1" applyFill="1" applyBorder="1" applyAlignment="1">
      <alignment horizontal="right" vertical="center"/>
    </xf>
    <xf numFmtId="167" fontId="13" fillId="3" borderId="1" xfId="0" applyNumberFormat="1" applyFont="1" applyFill="1" applyBorder="1" applyAlignment="1">
      <alignment horizontal="right" vertical="center"/>
    </xf>
    <xf numFmtId="3" fontId="13" fillId="3" borderId="1" xfId="0" applyNumberFormat="1" applyFont="1" applyFill="1" applyBorder="1" applyAlignment="1">
      <alignment horizontal="right" vertical="center"/>
    </xf>
    <xf numFmtId="170" fontId="13" fillId="3" borderId="1" xfId="0" applyNumberFormat="1" applyFont="1" applyFill="1" applyBorder="1" applyAlignment="1">
      <alignment horizontal="right" vertical="center"/>
    </xf>
    <xf numFmtId="9" fontId="13" fillId="0" borderId="1" xfId="0" applyNumberFormat="1" applyFont="1" applyBorder="1" applyAlignment="1">
      <alignment horizontal="right" vertical="center"/>
    </xf>
    <xf numFmtId="167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170" fontId="13" fillId="0" borderId="1" xfId="0" applyNumberFormat="1" applyFont="1" applyBorder="1" applyAlignment="1">
      <alignment horizontal="right" vertical="center"/>
    </xf>
    <xf numFmtId="0" fontId="2" fillId="9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1" fontId="10" fillId="0" borderId="3" xfId="0" applyNumberFormat="1" applyFont="1" applyBorder="1"/>
    <xf numFmtId="9" fontId="10" fillId="10" borderId="4" xfId="0" applyNumberFormat="1" applyFont="1" applyFill="1" applyBorder="1" applyAlignment="1">
      <alignment horizontal="right"/>
    </xf>
    <xf numFmtId="9" fontId="4" fillId="0" borderId="4" xfId="0" applyNumberFormat="1" applyFont="1" applyBorder="1" applyAlignment="1">
      <alignment horizontal="right"/>
    </xf>
    <xf numFmtId="0" fontId="10" fillId="0" borderId="3" xfId="0" applyFont="1" applyBorder="1"/>
    <xf numFmtId="2" fontId="10" fillId="11" borderId="4" xfId="0" applyNumberFormat="1" applyFont="1" applyFill="1" applyBorder="1" applyAlignment="1">
      <alignment horizontal="right"/>
    </xf>
    <xf numFmtId="2" fontId="4" fillId="0" borderId="4" xfId="0" applyNumberFormat="1" applyFont="1" applyBorder="1" applyAlignment="1">
      <alignment horizontal="right"/>
    </xf>
    <xf numFmtId="0" fontId="10" fillId="0" borderId="3" xfId="0" applyFont="1" applyBorder="1" applyAlignment="1">
      <alignment horizontal="center"/>
    </xf>
    <xf numFmtId="2" fontId="10" fillId="12" borderId="4" xfId="0" applyNumberFormat="1" applyFont="1" applyFill="1" applyBorder="1" applyAlignment="1">
      <alignment horizontal="center"/>
    </xf>
    <xf numFmtId="3" fontId="10" fillId="13" borderId="4" xfId="0" applyNumberFormat="1" applyFont="1" applyFill="1" applyBorder="1" applyAlignment="1">
      <alignment horizontal="center"/>
    </xf>
    <xf numFmtId="170" fontId="15" fillId="6" borderId="0" xfId="0" applyNumberFormat="1" applyFont="1" applyFill="1" applyAlignment="1">
      <alignment horizontal="center"/>
    </xf>
    <xf numFmtId="9" fontId="10" fillId="14" borderId="4" xfId="0" applyNumberFormat="1" applyFont="1" applyFill="1" applyBorder="1" applyAlignment="1">
      <alignment horizontal="right"/>
    </xf>
    <xf numFmtId="0" fontId="14" fillId="2" borderId="3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0" fillId="0" borderId="0" xfId="0"/>
    <xf numFmtId="1" fontId="4" fillId="0" borderId="3" xfId="0" applyNumberFormat="1" applyFont="1" applyBorder="1"/>
    <xf numFmtId="167" fontId="4" fillId="12" borderId="4" xfId="0" applyNumberFormat="1" applyFont="1" applyFill="1" applyBorder="1" applyAlignment="1">
      <alignment horizontal="right"/>
    </xf>
    <xf numFmtId="167" fontId="4" fillId="0" borderId="4" xfId="0" applyNumberFormat="1" applyFont="1" applyBorder="1" applyAlignment="1">
      <alignment horizontal="right"/>
    </xf>
    <xf numFmtId="1" fontId="10" fillId="15" borderId="3" xfId="0" applyNumberFormat="1" applyFont="1" applyFill="1" applyBorder="1" applyAlignment="1">
      <alignment horizontal="center"/>
    </xf>
    <xf numFmtId="1" fontId="10" fillId="16" borderId="4" xfId="0" applyNumberFormat="1" applyFont="1" applyFill="1" applyBorder="1" applyAlignment="1">
      <alignment horizontal="center"/>
    </xf>
    <xf numFmtId="1" fontId="10" fillId="17" borderId="4" xfId="0" applyNumberFormat="1" applyFont="1" applyFill="1" applyBorder="1" applyAlignment="1">
      <alignment horizontal="center"/>
    </xf>
    <xf numFmtId="170" fontId="1" fillId="0" borderId="0" xfId="0" applyNumberFormat="1" applyFont="1"/>
    <xf numFmtId="9" fontId="16" fillId="9" borderId="1" xfId="0" applyNumberFormat="1" applyFont="1" applyFill="1" applyBorder="1"/>
    <xf numFmtId="167" fontId="2" fillId="9" borderId="1" xfId="0" applyNumberFormat="1" applyFont="1" applyFill="1" applyBorder="1"/>
    <xf numFmtId="4" fontId="17" fillId="3" borderId="3" xfId="0" applyNumberFormat="1" applyFont="1" applyFill="1" applyBorder="1" applyAlignment="1">
      <alignment wrapText="1"/>
    </xf>
    <xf numFmtId="1" fontId="10" fillId="0" borderId="4" xfId="0" applyNumberFormat="1" applyFont="1" applyBorder="1" applyAlignment="1">
      <alignment horizontal="right"/>
    </xf>
    <xf numFmtId="9" fontId="10" fillId="3" borderId="4" xfId="0" applyNumberFormat="1" applyFont="1" applyFill="1" applyBorder="1" applyAlignment="1">
      <alignment horizontal="right"/>
    </xf>
    <xf numFmtId="9" fontId="4" fillId="0" borderId="6" xfId="0" applyNumberFormat="1" applyFont="1" applyBorder="1"/>
    <xf numFmtId="4" fontId="17" fillId="3" borderId="4" xfId="0" applyNumberFormat="1" applyFont="1" applyFill="1" applyBorder="1" applyAlignment="1">
      <alignment wrapText="1"/>
    </xf>
    <xf numFmtId="9" fontId="10" fillId="18" borderId="4" xfId="0" applyNumberFormat="1" applyFont="1" applyFill="1" applyBorder="1" applyAlignment="1">
      <alignment horizontal="right"/>
    </xf>
    <xf numFmtId="0" fontId="9" fillId="0" borderId="1" xfId="0" applyFont="1" applyBorder="1"/>
    <xf numFmtId="9" fontId="0" fillId="0" borderId="1" xfId="0" applyNumberFormat="1" applyBorder="1"/>
    <xf numFmtId="165" fontId="1" fillId="0" borderId="1" xfId="0" applyNumberFormat="1" applyFont="1" applyBorder="1"/>
    <xf numFmtId="9" fontId="1" fillId="0" borderId="1" xfId="0" applyNumberFormat="1" applyFont="1" applyBorder="1"/>
    <xf numFmtId="3" fontId="17" fillId="3" borderId="3" xfId="0" applyNumberFormat="1" applyFont="1" applyFill="1" applyBorder="1" applyAlignment="1">
      <alignment wrapText="1"/>
    </xf>
    <xf numFmtId="9" fontId="10" fillId="19" borderId="4" xfId="0" applyNumberFormat="1" applyFont="1" applyFill="1" applyBorder="1" applyAlignment="1">
      <alignment horizontal="right"/>
    </xf>
    <xf numFmtId="0" fontId="17" fillId="3" borderId="4" xfId="0" applyFont="1" applyFill="1" applyBorder="1" applyAlignment="1">
      <alignment wrapText="1"/>
    </xf>
    <xf numFmtId="3" fontId="10" fillId="0" borderId="3" xfId="0" applyNumberFormat="1" applyFont="1" applyBorder="1"/>
    <xf numFmtId="9" fontId="10" fillId="12" borderId="4" xfId="0" applyNumberFormat="1" applyFont="1" applyFill="1" applyBorder="1" applyAlignment="1">
      <alignment horizontal="right"/>
    </xf>
    <xf numFmtId="1" fontId="10" fillId="0" borderId="4" xfId="0" applyNumberFormat="1" applyFont="1" applyBorder="1"/>
    <xf numFmtId="9" fontId="10" fillId="0" borderId="3" xfId="0" applyNumberFormat="1" applyFont="1" applyBorder="1"/>
    <xf numFmtId="3" fontId="10" fillId="0" borderId="4" xfId="0" applyNumberFormat="1" applyFont="1" applyBorder="1" applyAlignment="1">
      <alignment horizontal="right"/>
    </xf>
    <xf numFmtId="9" fontId="10" fillId="20" borderId="4" xfId="0" applyNumberFormat="1" applyFont="1" applyFill="1" applyBorder="1" applyAlignment="1">
      <alignment horizontal="right"/>
    </xf>
    <xf numFmtId="9" fontId="10" fillId="0" borderId="4" xfId="0" applyNumberFormat="1" applyFont="1" applyBorder="1"/>
    <xf numFmtId="0" fontId="10" fillId="0" borderId="4" xfId="0" applyFont="1" applyBorder="1" applyAlignment="1">
      <alignment horizontal="right"/>
    </xf>
    <xf numFmtId="2" fontId="10" fillId="0" borderId="3" xfId="0" applyNumberFormat="1" applyFont="1" applyBorder="1"/>
    <xf numFmtId="2" fontId="10" fillId="0" borderId="4" xfId="0" applyNumberFormat="1" applyFont="1" applyBorder="1" applyAlignment="1">
      <alignment horizontal="right"/>
    </xf>
    <xf numFmtId="9" fontId="10" fillId="21" borderId="4" xfId="0" applyNumberFormat="1" applyFont="1" applyFill="1" applyBorder="1" applyAlignment="1">
      <alignment horizontal="right"/>
    </xf>
    <xf numFmtId="0" fontId="10" fillId="0" borderId="4" xfId="0" applyFont="1" applyBorder="1"/>
    <xf numFmtId="9" fontId="10" fillId="22" borderId="4" xfId="0" applyNumberFormat="1" applyFont="1" applyFill="1" applyBorder="1" applyAlignment="1">
      <alignment horizontal="right"/>
    </xf>
    <xf numFmtId="167" fontId="10" fillId="0" borderId="4" xfId="0" applyNumberFormat="1" applyFont="1" applyBorder="1" applyAlignment="1">
      <alignment horizontal="right"/>
    </xf>
    <xf numFmtId="167" fontId="10" fillId="23" borderId="4" xfId="0" applyNumberFormat="1" applyFont="1" applyFill="1" applyBorder="1" applyAlignment="1">
      <alignment horizontal="right"/>
    </xf>
    <xf numFmtId="167" fontId="4" fillId="0" borderId="6" xfId="0" applyNumberFormat="1" applyFont="1" applyBorder="1"/>
    <xf numFmtId="167" fontId="10" fillId="0" borderId="4" xfId="0" applyNumberFormat="1" applyFont="1" applyBorder="1"/>
    <xf numFmtId="1" fontId="5" fillId="0" borderId="7" xfId="0" applyNumberFormat="1" applyFont="1" applyBorder="1"/>
    <xf numFmtId="9" fontId="5" fillId="0" borderId="7" xfId="0" applyNumberFormat="1" applyFont="1" applyBorder="1"/>
    <xf numFmtId="9" fontId="10" fillId="24" borderId="4" xfId="0" applyNumberFormat="1" applyFont="1" applyFill="1" applyBorder="1" applyAlignment="1">
      <alignment horizontal="right"/>
    </xf>
    <xf numFmtId="165" fontId="0" fillId="0" borderId="4" xfId="0" applyNumberFormat="1" applyBorder="1"/>
    <xf numFmtId="165" fontId="1" fillId="0" borderId="4" xfId="0" applyNumberFormat="1" applyFont="1" applyBorder="1"/>
    <xf numFmtId="0" fontId="2" fillId="8" borderId="1" xfId="0" applyFont="1" applyFill="1" applyBorder="1" applyAlignment="1">
      <alignment horizontal="left" vertical="center"/>
    </xf>
    <xf numFmtId="167" fontId="1" fillId="0" borderId="1" xfId="0" applyNumberFormat="1" applyFont="1" applyBorder="1"/>
    <xf numFmtId="0" fontId="5" fillId="0" borderId="7" xfId="0" applyFont="1" applyBorder="1"/>
    <xf numFmtId="165" fontId="5" fillId="0" borderId="7" xfId="0" applyNumberFormat="1" applyFont="1" applyBorder="1"/>
    <xf numFmtId="0" fontId="18" fillId="25" borderId="1" xfId="0" applyFont="1" applyFill="1" applyBorder="1"/>
    <xf numFmtId="0" fontId="18" fillId="25" borderId="5" xfId="0" applyFont="1" applyFill="1" applyBorder="1"/>
    <xf numFmtId="171" fontId="18" fillId="25" borderId="5" xfId="0" applyNumberFormat="1" applyFont="1" applyFill="1" applyBorder="1" applyAlignment="1">
      <alignment horizontal="center"/>
    </xf>
    <xf numFmtId="0" fontId="18" fillId="25" borderId="5" xfId="0" applyFont="1" applyFill="1" applyBorder="1" applyAlignment="1">
      <alignment horizontal="center"/>
    </xf>
    <xf numFmtId="4" fontId="4" fillId="3" borderId="6" xfId="0" applyNumberFormat="1" applyFont="1" applyFill="1" applyBorder="1"/>
    <xf numFmtId="0" fontId="19" fillId="3" borderId="4" xfId="0" applyFont="1" applyFill="1" applyBorder="1"/>
    <xf numFmtId="3" fontId="19" fillId="7" borderId="4" xfId="0" applyNumberFormat="1" applyFont="1" applyFill="1" applyBorder="1" applyAlignment="1">
      <alignment horizontal="right"/>
    </xf>
    <xf numFmtId="3" fontId="10" fillId="7" borderId="1" xfId="0" applyNumberFormat="1" applyFont="1" applyFill="1" applyBorder="1" applyAlignment="1">
      <alignment horizontal="right"/>
    </xf>
    <xf numFmtId="1" fontId="10" fillId="7" borderId="1" xfId="0" applyNumberFormat="1" applyFont="1" applyFill="1" applyBorder="1" applyAlignment="1">
      <alignment horizontal="right"/>
    </xf>
    <xf numFmtId="167" fontId="11" fillId="3" borderId="1" xfId="0" applyNumberFormat="1" applyFont="1" applyFill="1" applyBorder="1" applyAlignment="1">
      <alignment horizontal="right"/>
    </xf>
    <xf numFmtId="0" fontId="4" fillId="3" borderId="6" xfId="0" applyFont="1" applyFill="1" applyBorder="1"/>
    <xf numFmtId="3" fontId="20" fillId="7" borderId="4" xfId="0" applyNumberFormat="1" applyFont="1" applyFill="1" applyBorder="1" applyAlignment="1">
      <alignment horizontal="right"/>
    </xf>
    <xf numFmtId="3" fontId="21" fillId="7" borderId="1" xfId="0" applyNumberFormat="1" applyFont="1" applyFill="1" applyBorder="1" applyAlignment="1">
      <alignment horizontal="right"/>
    </xf>
    <xf numFmtId="0" fontId="6" fillId="5" borderId="1" xfId="0" applyFont="1" applyFill="1" applyBorder="1"/>
    <xf numFmtId="1" fontId="4" fillId="0" borderId="1" xfId="0" applyNumberFormat="1" applyFont="1" applyBorder="1" applyAlignment="1">
      <alignment horizontal="right"/>
    </xf>
    <xf numFmtId="10" fontId="10" fillId="26" borderId="1" xfId="0" applyNumberFormat="1" applyFont="1" applyFill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10" fontId="10" fillId="0" borderId="1" xfId="0" applyNumberFormat="1" applyFont="1" applyBorder="1" applyAlignment="1">
      <alignment horizontal="right"/>
    </xf>
    <xf numFmtId="167" fontId="0" fillId="0" borderId="1" xfId="0" applyNumberFormat="1" applyBorder="1"/>
    <xf numFmtId="0" fontId="9" fillId="0" borderId="0" xfId="0" applyFont="1"/>
    <xf numFmtId="0" fontId="22" fillId="9" borderId="8" xfId="0" applyFont="1" applyFill="1" applyBorder="1" applyAlignment="1">
      <alignment horizontal="center" vertical="center"/>
    </xf>
    <xf numFmtId="0" fontId="23" fillId="0" borderId="7" xfId="0" applyFont="1" applyBorder="1"/>
    <xf numFmtId="0" fontId="23" fillId="0" borderId="9" xfId="0" applyFont="1" applyBorder="1"/>
    <xf numFmtId="0" fontId="23" fillId="0" borderId="10" xfId="0" applyFont="1" applyBorder="1"/>
    <xf numFmtId="0" fontId="23" fillId="0" borderId="6" xfId="0" applyFont="1" applyBorder="1"/>
    <xf numFmtId="0" fontId="23" fillId="0" borderId="11" xfId="0" applyFont="1" applyBorder="1"/>
    <xf numFmtId="0" fontId="23" fillId="0" borderId="2" xfId="0" applyFont="1" applyBorder="1"/>
    <xf numFmtId="0" fontId="23" fillId="0" borderId="4" xfId="0" applyFont="1" applyBorder="1"/>
    <xf numFmtId="3" fontId="1" fillId="0" borderId="1" xfId="0" applyNumberFormat="1" applyFont="1" applyBorder="1"/>
    <xf numFmtId="0" fontId="1" fillId="27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72</xdr:row>
      <xdr:rowOff>200025</xdr:rowOff>
    </xdr:from>
    <xdr:ext cx="7753350" cy="312420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BCD58DA4-9345-472F-BEDC-4D26FA2A787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7700" y="14464665"/>
          <a:ext cx="7753350" cy="31242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profitfromit.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A44EB-1C97-47D7-9AEC-F777BDDE38C4}">
  <dimension ref="A1:AJ997"/>
  <sheetViews>
    <sheetView showGridLines="0" tabSelected="1" workbookViewId="0"/>
  </sheetViews>
  <sheetFormatPr defaultColWidth="14.44140625" defaultRowHeight="15" customHeight="1"/>
  <cols>
    <col min="1" max="1" width="9.6640625" customWidth="1"/>
    <col min="2" max="2" width="11.109375" customWidth="1"/>
    <col min="3" max="3" width="15.44140625" customWidth="1"/>
    <col min="4" max="4" width="12.44140625" customWidth="1"/>
    <col min="5" max="5" width="9.6640625" customWidth="1"/>
    <col min="6" max="6" width="9" customWidth="1"/>
    <col min="7" max="7" width="16.5546875" customWidth="1"/>
    <col min="8" max="8" width="13.5546875" customWidth="1"/>
    <col min="9" max="9" width="11.6640625" customWidth="1"/>
    <col min="10" max="10" width="11.109375" customWidth="1"/>
    <col min="11" max="11" width="11.88671875" customWidth="1"/>
    <col min="12" max="12" width="9.88671875" customWidth="1"/>
    <col min="13" max="13" width="16.5546875" customWidth="1"/>
    <col min="14" max="14" width="11" customWidth="1"/>
    <col min="15" max="15" width="13.88671875" customWidth="1"/>
    <col min="16" max="16" width="14.33203125" customWidth="1"/>
    <col min="17" max="17" width="10.6640625" customWidth="1"/>
    <col min="18" max="18" width="11.109375" customWidth="1"/>
    <col min="19" max="19" width="13.88671875" customWidth="1"/>
    <col min="20" max="20" width="12.44140625" customWidth="1"/>
    <col min="21" max="21" width="10.88671875" customWidth="1"/>
    <col min="22" max="22" width="11.88671875" customWidth="1"/>
    <col min="23" max="23" width="8.6640625" customWidth="1"/>
    <col min="24" max="24" width="11" customWidth="1"/>
    <col min="25" max="25" width="11.33203125" customWidth="1"/>
    <col min="26" max="26" width="10.5546875" customWidth="1"/>
    <col min="27" max="36" width="8.6640625" customWidth="1"/>
  </cols>
  <sheetData>
    <row r="1" spans="1:36" ht="15.75" customHeight="1">
      <c r="B1" s="1" t="s">
        <v>0</v>
      </c>
      <c r="C1" s="2"/>
      <c r="D1" s="2"/>
      <c r="E1" s="1" t="s">
        <v>1</v>
      </c>
      <c r="F1" s="2"/>
      <c r="G1" s="2"/>
      <c r="H1" s="2"/>
      <c r="I1" s="1" t="s">
        <v>2</v>
      </c>
      <c r="J1" s="2"/>
      <c r="K1" s="2"/>
      <c r="L1" s="2"/>
      <c r="M1" s="3"/>
      <c r="N1" s="3"/>
      <c r="O1" s="3"/>
      <c r="P1" s="3"/>
      <c r="Q1" s="3"/>
      <c r="R1" s="1" t="s">
        <v>3</v>
      </c>
    </row>
    <row r="2" spans="1:36" ht="15.75" customHeight="1">
      <c r="A2" s="1" t="s">
        <v>4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J2" s="1" t="s">
        <v>13</v>
      </c>
      <c r="K2" s="1" t="s">
        <v>14</v>
      </c>
      <c r="L2" s="1" t="s">
        <v>15</v>
      </c>
      <c r="M2" s="1" t="s">
        <v>16</v>
      </c>
      <c r="N2" s="1" t="s">
        <v>17</v>
      </c>
      <c r="O2" s="1" t="s">
        <v>18</v>
      </c>
      <c r="P2" s="1" t="s">
        <v>19</v>
      </c>
      <c r="Q2" s="1" t="s">
        <v>20</v>
      </c>
      <c r="R2" s="1" t="s">
        <v>21</v>
      </c>
      <c r="S2" s="1" t="s">
        <v>22</v>
      </c>
      <c r="T2" s="1" t="s">
        <v>23</v>
      </c>
      <c r="U2" s="1" t="s">
        <v>24</v>
      </c>
      <c r="V2" s="1" t="s">
        <v>25</v>
      </c>
    </row>
    <row r="3" spans="1:36" ht="15.75" customHeight="1">
      <c r="B3" s="3" t="s">
        <v>26</v>
      </c>
      <c r="C3" s="4">
        <f ca="1">IFERROR(__xludf.DUMMYFUNCTION("GOOGLEFINANCE(""nse:""&amp;B3,""price"")"),2396.1)</f>
        <v>2396.1</v>
      </c>
      <c r="D3" s="4">
        <f ca="1">IFERROR(__xludf.DUMMYFUNCTION("GOOGLEFINANCE(""nse:""&amp;B3,""marketcap"")/10000000"),46342.410705)</f>
        <v>46342.410705000002</v>
      </c>
      <c r="E3" s="4">
        <f t="shared" ref="E3:F3" si="0">C38</f>
        <v>10493</v>
      </c>
      <c r="F3" s="4">
        <f t="shared" si="0"/>
        <v>1453</v>
      </c>
      <c r="G3" s="5">
        <v>2</v>
      </c>
      <c r="H3" s="6">
        <f>F38</f>
        <v>75.17</v>
      </c>
      <c r="I3" s="7">
        <v>38.700000000000003</v>
      </c>
      <c r="J3" s="7">
        <v>10349</v>
      </c>
      <c r="K3" s="8">
        <v>3262</v>
      </c>
      <c r="L3" s="5">
        <v>4.5</v>
      </c>
      <c r="M3" s="4">
        <v>5571</v>
      </c>
      <c r="N3" s="4">
        <v>4226</v>
      </c>
      <c r="O3" s="4">
        <v>15635</v>
      </c>
      <c r="P3" s="5">
        <v>5246</v>
      </c>
      <c r="Q3" s="5">
        <v>1494</v>
      </c>
      <c r="R3" s="3">
        <v>1483</v>
      </c>
      <c r="S3" s="3">
        <v>1764</v>
      </c>
      <c r="T3" s="9">
        <v>-1479</v>
      </c>
      <c r="U3" s="10">
        <v>-279</v>
      </c>
      <c r="V3" s="11">
        <f t="shared" ref="V3:V4" si="1">SUM(S3:U3)</f>
        <v>6</v>
      </c>
      <c r="W3" s="12"/>
      <c r="Y3" s="13"/>
    </row>
    <row r="4" spans="1:36" ht="15.75" customHeight="1">
      <c r="B4" s="9" t="s">
        <v>27</v>
      </c>
      <c r="C4" s="8">
        <v>2554</v>
      </c>
      <c r="D4" s="14">
        <f ca="1">C4*D3/C3</f>
        <v>49396.317741567553</v>
      </c>
      <c r="E4" s="15">
        <v>10447</v>
      </c>
      <c r="F4" s="15">
        <v>1655</v>
      </c>
      <c r="G4" s="5">
        <v>2</v>
      </c>
      <c r="H4" s="5">
        <v>85.61</v>
      </c>
      <c r="I4" s="14">
        <v>38.700000000000003</v>
      </c>
      <c r="J4" s="8">
        <v>8815</v>
      </c>
      <c r="K4" s="8">
        <v>3094</v>
      </c>
      <c r="L4" s="8">
        <v>4</v>
      </c>
      <c r="M4" s="8">
        <v>4644</v>
      </c>
      <c r="N4" s="8">
        <v>3660</v>
      </c>
      <c r="O4" s="8">
        <v>13684</v>
      </c>
      <c r="P4" s="5">
        <v>4870</v>
      </c>
      <c r="Q4" s="5">
        <v>1445</v>
      </c>
      <c r="R4" s="3">
        <v>1098</v>
      </c>
      <c r="S4" s="3">
        <v>2082</v>
      </c>
      <c r="T4" s="9">
        <v>-1475</v>
      </c>
      <c r="U4" s="16">
        <v>-601</v>
      </c>
      <c r="V4" s="11">
        <f t="shared" si="1"/>
        <v>6</v>
      </c>
      <c r="W4" s="17"/>
      <c r="Y4" s="18"/>
    </row>
    <row r="5" spans="1:36" ht="15.75" customHeight="1">
      <c r="B5" s="9" t="s">
        <v>28</v>
      </c>
      <c r="C5" s="19">
        <f t="shared" ref="C5:V5" ca="1" si="2">(C3/C4)-1</f>
        <v>-6.1824588880187936E-2</v>
      </c>
      <c r="D5" s="19">
        <f t="shared" ca="1" si="2"/>
        <v>-6.1824588880188047E-2</v>
      </c>
      <c r="E5" s="19">
        <f t="shared" si="2"/>
        <v>4.4031779458217901E-3</v>
      </c>
      <c r="F5" s="19">
        <f t="shared" si="2"/>
        <v>-0.12205438066465257</v>
      </c>
      <c r="G5" s="19">
        <f t="shared" si="2"/>
        <v>0</v>
      </c>
      <c r="H5" s="19">
        <f t="shared" si="2"/>
        <v>-0.12194837051746288</v>
      </c>
      <c r="I5" s="19">
        <f t="shared" si="2"/>
        <v>0</v>
      </c>
      <c r="J5" s="19">
        <f t="shared" si="2"/>
        <v>0.17402155416902998</v>
      </c>
      <c r="K5" s="19">
        <f t="shared" si="2"/>
        <v>5.4298642533936681E-2</v>
      </c>
      <c r="L5" s="19">
        <f t="shared" si="2"/>
        <v>0.125</v>
      </c>
      <c r="M5" s="19">
        <f t="shared" si="2"/>
        <v>0.1996124031007751</v>
      </c>
      <c r="N5" s="19">
        <f t="shared" si="2"/>
        <v>0.15464480874316933</v>
      </c>
      <c r="O5" s="19">
        <f t="shared" si="2"/>
        <v>0.14257527038877527</v>
      </c>
      <c r="P5" s="19">
        <f t="shared" si="2"/>
        <v>7.7207392197125246E-2</v>
      </c>
      <c r="Q5" s="19">
        <f t="shared" si="2"/>
        <v>3.39100346020762E-2</v>
      </c>
      <c r="R5" s="19">
        <f t="shared" si="2"/>
        <v>0.35063752276867022</v>
      </c>
      <c r="S5" s="19">
        <f t="shared" si="2"/>
        <v>-0.1527377521613833</v>
      </c>
      <c r="T5" s="19">
        <f t="shared" si="2"/>
        <v>2.7118644067796183E-3</v>
      </c>
      <c r="U5" s="19">
        <f t="shared" si="2"/>
        <v>-0.53577371048252909</v>
      </c>
      <c r="V5" s="19">
        <f t="shared" si="2"/>
        <v>0</v>
      </c>
      <c r="W5" s="17"/>
      <c r="Y5" s="18"/>
    </row>
    <row r="6" spans="1:36" ht="15.75" customHeight="1">
      <c r="E6" s="20"/>
      <c r="F6" s="21"/>
      <c r="G6" s="21"/>
      <c r="Q6" s="22"/>
      <c r="V6" s="17"/>
      <c r="W6" s="18"/>
      <c r="X6" s="17"/>
      <c r="Y6" s="18"/>
    </row>
    <row r="7" spans="1:36" ht="15.75" customHeight="1">
      <c r="B7" s="23" t="s">
        <v>29</v>
      </c>
      <c r="C7" s="24"/>
      <c r="D7" s="23" t="s">
        <v>30</v>
      </c>
      <c r="E7" s="25"/>
      <c r="F7" s="26"/>
      <c r="G7" s="27" t="s">
        <v>31</v>
      </c>
      <c r="H7" s="24"/>
      <c r="I7" s="24"/>
      <c r="J7" s="23" t="s">
        <v>32</v>
      </c>
      <c r="K7" s="24"/>
      <c r="L7" s="24"/>
      <c r="M7" s="23" t="s">
        <v>33</v>
      </c>
      <c r="N7" s="24"/>
      <c r="O7" s="26"/>
      <c r="P7" s="24"/>
      <c r="Q7" s="24"/>
      <c r="R7" s="23" t="s">
        <v>3</v>
      </c>
      <c r="V7" s="17"/>
      <c r="W7" s="18"/>
      <c r="X7" s="17"/>
      <c r="Y7" s="18"/>
    </row>
    <row r="8" spans="1:36" ht="15.75" customHeight="1">
      <c r="A8" s="1" t="s">
        <v>29</v>
      </c>
      <c r="B8" s="1" t="s">
        <v>34</v>
      </c>
      <c r="C8" s="1" t="s">
        <v>35</v>
      </c>
      <c r="D8" s="1" t="s">
        <v>36</v>
      </c>
      <c r="E8" s="1" t="s">
        <v>37</v>
      </c>
      <c r="F8" s="1" t="s">
        <v>38</v>
      </c>
      <c r="G8" s="1" t="s">
        <v>39</v>
      </c>
      <c r="H8" s="1" t="s">
        <v>40</v>
      </c>
      <c r="I8" s="1" t="s">
        <v>41</v>
      </c>
      <c r="J8" s="1" t="s">
        <v>42</v>
      </c>
      <c r="K8" s="1" t="s">
        <v>43</v>
      </c>
      <c r="L8" s="1" t="s">
        <v>44</v>
      </c>
      <c r="M8" s="1" t="s">
        <v>45</v>
      </c>
      <c r="N8" s="1" t="s">
        <v>46</v>
      </c>
      <c r="O8" s="1" t="s">
        <v>47</v>
      </c>
      <c r="P8" s="1" t="s">
        <v>48</v>
      </c>
      <c r="Q8" s="1" t="s">
        <v>49</v>
      </c>
      <c r="R8" s="1" t="s">
        <v>50</v>
      </c>
      <c r="S8" s="1" t="s">
        <v>51</v>
      </c>
      <c r="T8" s="1" t="s">
        <v>52</v>
      </c>
      <c r="V8" s="17"/>
      <c r="W8" s="18"/>
      <c r="X8" s="17"/>
      <c r="Y8" s="18"/>
    </row>
    <row r="9" spans="1:36" ht="15.75" customHeight="1">
      <c r="B9" s="28">
        <f>E54</f>
        <v>1.6949152542372836E-2</v>
      </c>
      <c r="C9" s="29">
        <f>E57</f>
        <v>-0.41224489795918362</v>
      </c>
      <c r="D9" s="29">
        <f>C59</f>
        <v>0.10434782608695652</v>
      </c>
      <c r="E9" s="30">
        <f>M3/N3</f>
        <v>1.3182678655939422</v>
      </c>
      <c r="F9" s="31">
        <f>(Q3/E3)*365</f>
        <v>51.968931668731528</v>
      </c>
      <c r="G9" s="29">
        <f>K3/J3</f>
        <v>0.31519953618707119</v>
      </c>
      <c r="H9" s="29">
        <f>P3/O3</f>
        <v>0.33552926127278543</v>
      </c>
      <c r="I9" s="31">
        <f>C60</f>
        <v>10.258064516129032</v>
      </c>
      <c r="J9" s="29">
        <f>F3/J3</f>
        <v>0.14040003865107739</v>
      </c>
      <c r="K9" s="30">
        <f>F3/I3</f>
        <v>37.545219638242891</v>
      </c>
      <c r="L9" s="29">
        <f>F3/O3</f>
        <v>9.29325231851615E-2</v>
      </c>
      <c r="M9" s="31">
        <f ca="1">C3/H3</f>
        <v>31.875748303844617</v>
      </c>
      <c r="N9" s="32">
        <f ca="1">H3/C3</f>
        <v>3.1371812528692464E-2</v>
      </c>
      <c r="O9" s="31">
        <f>J3/(I3/G3)</f>
        <v>534.83204134366918</v>
      </c>
      <c r="P9" s="31">
        <f ca="1">C3/O9</f>
        <v>4.4800980771088996</v>
      </c>
      <c r="Q9" s="30">
        <f ca="1">S48</f>
        <v>-36.827043077849986</v>
      </c>
      <c r="R9" s="30">
        <f>S3/N3</f>
        <v>0.41741599621391384</v>
      </c>
      <c r="S9" s="30">
        <f>S3/K3</f>
        <v>0.54077253218884125</v>
      </c>
      <c r="T9" s="31">
        <f>S3-R3</f>
        <v>281</v>
      </c>
    </row>
    <row r="10" spans="1:36" ht="15.75" customHeight="1">
      <c r="C10" s="33"/>
      <c r="D10" s="33"/>
      <c r="E10" s="33"/>
      <c r="F10" s="21"/>
      <c r="G10" s="21"/>
      <c r="L10" s="33"/>
      <c r="M10" s="34"/>
      <c r="N10" s="33"/>
    </row>
    <row r="11" spans="1:36" ht="15.75" customHeight="1">
      <c r="A11" s="1" t="s">
        <v>53</v>
      </c>
      <c r="B11" s="1" t="s">
        <v>54</v>
      </c>
      <c r="C11" s="1" t="s">
        <v>55</v>
      </c>
      <c r="D11" s="1" t="s">
        <v>9</v>
      </c>
      <c r="E11" s="1" t="s">
        <v>56</v>
      </c>
      <c r="F11" s="1" t="s">
        <v>11</v>
      </c>
      <c r="G11" s="1" t="s">
        <v>57</v>
      </c>
      <c r="H11" s="1" t="s">
        <v>58</v>
      </c>
      <c r="I11" s="1" t="s">
        <v>59</v>
      </c>
      <c r="J11" s="1" t="s">
        <v>60</v>
      </c>
      <c r="K11" s="1" t="s">
        <v>61</v>
      </c>
      <c r="L11" s="1" t="s">
        <v>62</v>
      </c>
      <c r="M11" s="1" t="s">
        <v>63</v>
      </c>
      <c r="N11" s="1" t="s">
        <v>64</v>
      </c>
      <c r="O11" s="1" t="s">
        <v>65</v>
      </c>
      <c r="V11" s="35" t="s">
        <v>66</v>
      </c>
      <c r="W11" s="35" t="s">
        <v>67</v>
      </c>
      <c r="X11" s="35" t="s">
        <v>26</v>
      </c>
    </row>
    <row r="12" spans="1:36" ht="15.75" customHeight="1">
      <c r="A12" s="36"/>
      <c r="B12" s="37" t="s">
        <v>68</v>
      </c>
      <c r="C12" s="38">
        <v>135</v>
      </c>
      <c r="D12" s="39">
        <v>7.2</v>
      </c>
      <c r="E12" s="40">
        <f t="shared" ref="E12:E38" si="3">D12/C12</f>
        <v>5.3333333333333337E-2</v>
      </c>
      <c r="F12" s="39">
        <f>(D12*F13)/D13</f>
        <v>11.82</v>
      </c>
      <c r="G12" s="41">
        <v>6.19</v>
      </c>
      <c r="H12" s="3"/>
      <c r="I12" s="42">
        <v>23.35</v>
      </c>
      <c r="J12" s="43">
        <v>57</v>
      </c>
      <c r="K12" s="44">
        <f t="shared" ref="K12:K38" si="4">I12/F12</f>
        <v>1.9754653130287649</v>
      </c>
      <c r="L12" s="44">
        <f t="shared" ref="L12:L38" si="5">J12/F12</f>
        <v>4.8223350253807107</v>
      </c>
      <c r="M12" s="3"/>
      <c r="N12" s="3"/>
      <c r="O12" s="3"/>
      <c r="V12" s="3" t="s">
        <v>69</v>
      </c>
      <c r="W12" s="4">
        <f ca="1">IFERROR(__xludf.DUMMYFUNCTION("GOOGLEFINANCE(""nse:""&amp;W11,""price"")"),147700)</f>
        <v>147700</v>
      </c>
      <c r="X12" s="4">
        <f ca="1">IFERROR(__xludf.DUMMYFUNCTION("GOOGLEFINANCE(""nse:""&amp;X11,""price"")"),2396.1)</f>
        <v>2396.1</v>
      </c>
    </row>
    <row r="13" spans="1:36" ht="15.75" customHeight="1">
      <c r="A13" s="36"/>
      <c r="B13" s="37" t="s">
        <v>70</v>
      </c>
      <c r="C13" s="38">
        <v>166</v>
      </c>
      <c r="D13" s="39">
        <v>2.4</v>
      </c>
      <c r="E13" s="40">
        <f t="shared" si="3"/>
        <v>1.4457831325301203E-2</v>
      </c>
      <c r="F13" s="45">
        <v>3.94</v>
      </c>
      <c r="G13" s="41">
        <v>6.19</v>
      </c>
      <c r="H13" s="3"/>
      <c r="I13" s="42">
        <v>17.5</v>
      </c>
      <c r="J13" s="43">
        <v>36.4</v>
      </c>
      <c r="K13" s="44">
        <f t="shared" si="4"/>
        <v>4.4416243654822338</v>
      </c>
      <c r="L13" s="44">
        <f t="shared" si="5"/>
        <v>9.2385786802030463</v>
      </c>
      <c r="M13" s="3"/>
      <c r="N13" s="3"/>
      <c r="O13" s="3"/>
      <c r="V13" s="3" t="s">
        <v>71</v>
      </c>
      <c r="W13" s="3">
        <v>2390</v>
      </c>
      <c r="X13" s="3">
        <v>13.6</v>
      </c>
    </row>
    <row r="14" spans="1:36" ht="15.75" customHeight="1">
      <c r="A14" s="36"/>
      <c r="B14" s="37" t="s">
        <v>72</v>
      </c>
      <c r="C14" s="38">
        <v>228</v>
      </c>
      <c r="D14" s="39">
        <v>5.9</v>
      </c>
      <c r="E14" s="40">
        <f t="shared" si="3"/>
        <v>2.5877192982456141E-2</v>
      </c>
      <c r="F14" s="45">
        <v>9.52</v>
      </c>
      <c r="G14" s="41">
        <v>6.19</v>
      </c>
      <c r="H14" s="3"/>
      <c r="I14" s="42">
        <v>17.600000000000001</v>
      </c>
      <c r="J14" s="43">
        <v>32.75</v>
      </c>
      <c r="K14" s="44">
        <f t="shared" si="4"/>
        <v>1.8487394957983196</v>
      </c>
      <c r="L14" s="44">
        <f t="shared" si="5"/>
        <v>3.4401260504201683</v>
      </c>
      <c r="M14" s="3"/>
      <c r="N14" s="3"/>
      <c r="O14" s="3"/>
      <c r="V14" s="46" t="s">
        <v>73</v>
      </c>
      <c r="W14" s="47">
        <f t="shared" ref="W14:X14" ca="1" si="6">W12/W13</f>
        <v>61.79916317991632</v>
      </c>
      <c r="X14" s="47">
        <f t="shared" ca="1" si="6"/>
        <v>176.18382352941177</v>
      </c>
    </row>
    <row r="15" spans="1:36" ht="15.75" customHeight="1">
      <c r="B15" s="37" t="s">
        <v>74</v>
      </c>
      <c r="C15" s="38">
        <v>313</v>
      </c>
      <c r="D15" s="38">
        <v>21</v>
      </c>
      <c r="E15" s="40">
        <f t="shared" si="3"/>
        <v>6.7092651757188496E-2</v>
      </c>
      <c r="F15" s="45">
        <v>33.64</v>
      </c>
      <c r="G15" s="41">
        <v>6.19</v>
      </c>
      <c r="H15" s="3"/>
      <c r="I15" s="48">
        <v>28.45</v>
      </c>
      <c r="J15" s="48">
        <v>68.5</v>
      </c>
      <c r="K15" s="44">
        <f t="shared" si="4"/>
        <v>0.84571938168846605</v>
      </c>
      <c r="L15" s="44">
        <f t="shared" si="5"/>
        <v>2.0362663495838289</v>
      </c>
      <c r="M15" s="3"/>
      <c r="N15" s="3"/>
      <c r="O15" s="3"/>
      <c r="V15" s="49" t="s">
        <v>75</v>
      </c>
      <c r="W15" s="50">
        <v>0.05</v>
      </c>
      <c r="X15" s="50">
        <v>0.3</v>
      </c>
    </row>
    <row r="16" spans="1:36" ht="15.75" customHeight="1">
      <c r="A16" s="5" t="s">
        <v>76</v>
      </c>
      <c r="B16" s="37" t="s">
        <v>77</v>
      </c>
      <c r="C16" s="38">
        <v>365</v>
      </c>
      <c r="D16" s="38">
        <v>31.5</v>
      </c>
      <c r="E16" s="40">
        <f t="shared" si="3"/>
        <v>8.6301369863013705E-2</v>
      </c>
      <c r="F16" s="45">
        <v>24.42</v>
      </c>
      <c r="G16" s="41">
        <v>12.3</v>
      </c>
      <c r="H16" s="3">
        <f>H17-20</f>
        <v>125</v>
      </c>
      <c r="I16" s="48">
        <v>38.200000000000003</v>
      </c>
      <c r="J16" s="48">
        <v>404.65</v>
      </c>
      <c r="K16" s="44">
        <f t="shared" si="4"/>
        <v>1.5642915642915642</v>
      </c>
      <c r="L16" s="44">
        <f t="shared" si="5"/>
        <v>16.570434070434068</v>
      </c>
      <c r="M16" s="51">
        <f t="shared" ref="M16:M22" si="7">(G16+H16)/(G16/10)</f>
        <v>111.62601626016261</v>
      </c>
      <c r="N16" s="52">
        <f t="shared" ref="N16:N38" si="8">I16/M16</f>
        <v>0.34221412964311726</v>
      </c>
      <c r="O16" s="52">
        <f t="shared" ref="O16:O38" si="9">J16/M16</f>
        <v>3.6250509832483608</v>
      </c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</row>
    <row r="17" spans="1:36" ht="15.75" customHeight="1">
      <c r="B17" s="37" t="s">
        <v>78</v>
      </c>
      <c r="C17" s="38">
        <v>493</v>
      </c>
      <c r="D17" s="38">
        <v>63</v>
      </c>
      <c r="E17" s="40">
        <f t="shared" si="3"/>
        <v>0.12778904665314403</v>
      </c>
      <c r="F17" s="45">
        <v>51.01</v>
      </c>
      <c r="G17" s="41">
        <v>12.3</v>
      </c>
      <c r="H17" s="3">
        <v>145</v>
      </c>
      <c r="I17" s="48">
        <v>153.75</v>
      </c>
      <c r="J17" s="48">
        <v>466</v>
      </c>
      <c r="K17" s="44">
        <f t="shared" si="4"/>
        <v>3.0141148794354051</v>
      </c>
      <c r="L17" s="44">
        <f t="shared" si="5"/>
        <v>9.1354636345814555</v>
      </c>
      <c r="M17" s="51">
        <f t="shared" si="7"/>
        <v>127.88617886178862</v>
      </c>
      <c r="N17" s="52">
        <f t="shared" si="8"/>
        <v>1.2022409408773045</v>
      </c>
      <c r="O17" s="52">
        <f t="shared" si="9"/>
        <v>3.6438652256834074</v>
      </c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</row>
    <row r="18" spans="1:36" ht="15.75" customHeight="1">
      <c r="A18" s="5" t="s">
        <v>79</v>
      </c>
      <c r="B18" s="37" t="s">
        <v>80</v>
      </c>
      <c r="C18" s="38">
        <v>626</v>
      </c>
      <c r="D18" s="38">
        <v>69</v>
      </c>
      <c r="E18" s="40">
        <f t="shared" si="3"/>
        <v>0.11022364217252396</v>
      </c>
      <c r="F18" s="45">
        <v>36.950000000000003</v>
      </c>
      <c r="G18" s="41">
        <v>19.329999999999998</v>
      </c>
      <c r="H18" s="3">
        <v>268</v>
      </c>
      <c r="I18" s="48">
        <v>400</v>
      </c>
      <c r="J18" s="48">
        <v>1298</v>
      </c>
      <c r="K18" s="44">
        <f t="shared" si="4"/>
        <v>10.825439783491204</v>
      </c>
      <c r="L18" s="44">
        <f t="shared" si="5"/>
        <v>35.128552097428958</v>
      </c>
      <c r="M18" s="51">
        <f t="shared" si="7"/>
        <v>148.64459389549924</v>
      </c>
      <c r="N18" s="52">
        <f t="shared" si="8"/>
        <v>2.69098249399645</v>
      </c>
      <c r="O18" s="52">
        <f t="shared" si="9"/>
        <v>8.73223819301848</v>
      </c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</row>
    <row r="19" spans="1:36" ht="15.75" customHeight="1">
      <c r="A19" s="36"/>
      <c r="B19" s="37" t="s">
        <v>81</v>
      </c>
      <c r="C19" s="38">
        <v>884</v>
      </c>
      <c r="D19" s="38">
        <v>83</v>
      </c>
      <c r="E19" s="40">
        <f t="shared" si="3"/>
        <v>9.3891402714932126E-2</v>
      </c>
      <c r="F19" s="45">
        <v>42.98</v>
      </c>
      <c r="G19" s="41">
        <v>19.329999999999998</v>
      </c>
      <c r="H19" s="3">
        <v>328</v>
      </c>
      <c r="I19" s="48">
        <v>415</v>
      </c>
      <c r="J19" s="48">
        <v>895</v>
      </c>
      <c r="K19" s="44">
        <f t="shared" si="4"/>
        <v>9.6556537924616102</v>
      </c>
      <c r="L19" s="44">
        <f t="shared" si="5"/>
        <v>20.8236389018148</v>
      </c>
      <c r="M19" s="51">
        <f t="shared" si="7"/>
        <v>179.68442834971549</v>
      </c>
      <c r="N19" s="52">
        <f t="shared" si="8"/>
        <v>2.3096046987015226</v>
      </c>
      <c r="O19" s="52">
        <f t="shared" si="9"/>
        <v>4.9809547116575006</v>
      </c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</row>
    <row r="20" spans="1:36" ht="15.75" customHeight="1">
      <c r="A20" s="36"/>
      <c r="B20" s="37" t="s">
        <v>82</v>
      </c>
      <c r="C20" s="38">
        <v>995</v>
      </c>
      <c r="D20" s="38">
        <v>106</v>
      </c>
      <c r="E20" s="40">
        <f t="shared" si="3"/>
        <v>0.10653266331658291</v>
      </c>
      <c r="F20" s="45">
        <v>54.6</v>
      </c>
      <c r="G20" s="41">
        <v>19.329999999999998</v>
      </c>
      <c r="H20" s="3">
        <v>397</v>
      </c>
      <c r="I20" s="48">
        <v>427.4</v>
      </c>
      <c r="J20" s="48">
        <v>824.95</v>
      </c>
      <c r="K20" s="44">
        <f t="shared" si="4"/>
        <v>7.8278388278388276</v>
      </c>
      <c r="L20" s="44">
        <f t="shared" si="5"/>
        <v>15.108974358974359</v>
      </c>
      <c r="M20" s="51">
        <f t="shared" si="7"/>
        <v>215.38023797206415</v>
      </c>
      <c r="N20" s="52">
        <f t="shared" si="8"/>
        <v>1.9843974731583118</v>
      </c>
      <c r="O20" s="52">
        <f t="shared" si="9"/>
        <v>3.8302028438978697</v>
      </c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</row>
    <row r="21" spans="1:36" ht="15.75" customHeight="1">
      <c r="A21" s="36"/>
      <c r="B21" s="37" t="s">
        <v>83</v>
      </c>
      <c r="C21" s="38">
        <v>1258</v>
      </c>
      <c r="D21" s="38">
        <v>70</v>
      </c>
      <c r="E21" s="40">
        <f t="shared" si="3"/>
        <v>5.5643879173290937E-2</v>
      </c>
      <c r="F21" s="45">
        <v>36.35</v>
      </c>
      <c r="G21" s="41">
        <v>19.329999999999998</v>
      </c>
      <c r="H21" s="3">
        <v>458</v>
      </c>
      <c r="I21" s="48">
        <v>115</v>
      </c>
      <c r="J21" s="48">
        <v>697.95</v>
      </c>
      <c r="K21" s="44">
        <f t="shared" si="4"/>
        <v>3.1636863823933976</v>
      </c>
      <c r="L21" s="44">
        <f t="shared" si="5"/>
        <v>19.200825309491059</v>
      </c>
      <c r="M21" s="51">
        <f t="shared" si="7"/>
        <v>246.93740300051735</v>
      </c>
      <c r="N21" s="52">
        <f t="shared" si="8"/>
        <v>0.46570506777281961</v>
      </c>
      <c r="O21" s="52">
        <f t="shared" si="9"/>
        <v>2.826424800452517</v>
      </c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</row>
    <row r="22" spans="1:36" ht="15.75" customHeight="1">
      <c r="B22" s="37" t="s">
        <v>84</v>
      </c>
      <c r="C22" s="38">
        <v>1414</v>
      </c>
      <c r="D22" s="38">
        <v>209</v>
      </c>
      <c r="E22" s="40">
        <f t="shared" si="3"/>
        <v>0.1478076379066478</v>
      </c>
      <c r="F22" s="45">
        <v>107.92</v>
      </c>
      <c r="G22" s="41">
        <v>19.329999999999998</v>
      </c>
      <c r="H22" s="3">
        <v>662</v>
      </c>
      <c r="I22" s="48">
        <v>135.1</v>
      </c>
      <c r="J22" s="48">
        <v>655</v>
      </c>
      <c r="K22" s="44">
        <f t="shared" si="4"/>
        <v>1.2518532246108227</v>
      </c>
      <c r="L22" s="44">
        <f t="shared" si="5"/>
        <v>6.0693106004447737</v>
      </c>
      <c r="M22" s="51">
        <f t="shared" si="7"/>
        <v>352.47284014485263</v>
      </c>
      <c r="N22" s="52">
        <f t="shared" si="8"/>
        <v>0.38329194369835462</v>
      </c>
      <c r="O22" s="52">
        <f t="shared" si="9"/>
        <v>1.8582992089002388</v>
      </c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</row>
    <row r="23" spans="1:36" ht="15.75" customHeight="1">
      <c r="A23" s="36" t="s">
        <v>85</v>
      </c>
      <c r="B23" s="37" t="s">
        <v>86</v>
      </c>
      <c r="C23" s="38">
        <v>2013</v>
      </c>
      <c r="D23" s="38">
        <v>186</v>
      </c>
      <c r="E23" s="40">
        <f t="shared" si="3"/>
        <v>9.2399403874813713E-2</v>
      </c>
      <c r="F23" s="45">
        <v>19.21</v>
      </c>
      <c r="G23" s="41">
        <v>19.329999999999998</v>
      </c>
      <c r="H23" s="3">
        <v>842</v>
      </c>
      <c r="I23" s="48">
        <v>25.6</v>
      </c>
      <c r="J23" s="48">
        <v>161.6</v>
      </c>
      <c r="K23" s="44">
        <f t="shared" si="4"/>
        <v>1.3326392503904216</v>
      </c>
      <c r="L23" s="44">
        <f t="shared" si="5"/>
        <v>8.4122852680895353</v>
      </c>
      <c r="M23" s="51">
        <f t="shared" ref="M23:M38" si="10">(G23+H23)/(G23/2)</f>
        <v>89.118468701500277</v>
      </c>
      <c r="N23" s="52">
        <f t="shared" si="8"/>
        <v>0.28725807762413935</v>
      </c>
      <c r="O23" s="52">
        <f t="shared" si="9"/>
        <v>1.8133166150023796</v>
      </c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</row>
    <row r="24" spans="1:36" ht="15.75" customHeight="1">
      <c r="A24" s="53"/>
      <c r="B24" s="37" t="s">
        <v>87</v>
      </c>
      <c r="C24" s="38">
        <v>2820</v>
      </c>
      <c r="D24" s="38">
        <v>269</v>
      </c>
      <c r="E24" s="40">
        <f t="shared" si="3"/>
        <v>9.5390070921985815E-2</v>
      </c>
      <c r="F24" s="45">
        <v>27.43</v>
      </c>
      <c r="G24" s="41">
        <v>19.329999999999998</v>
      </c>
      <c r="H24" s="3">
        <v>1090</v>
      </c>
      <c r="I24" s="48">
        <v>128.55000000000001</v>
      </c>
      <c r="J24" s="48">
        <v>270</v>
      </c>
      <c r="K24" s="44">
        <f t="shared" si="4"/>
        <v>4.6864746627779805</v>
      </c>
      <c r="L24" s="44">
        <f t="shared" si="5"/>
        <v>9.8432373313889894</v>
      </c>
      <c r="M24" s="51">
        <f t="shared" si="10"/>
        <v>114.77806518365236</v>
      </c>
      <c r="N24" s="52">
        <f t="shared" si="8"/>
        <v>1.1199875149865235</v>
      </c>
      <c r="O24" s="52">
        <f t="shared" si="9"/>
        <v>2.3523658424454399</v>
      </c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</row>
    <row r="25" spans="1:36" ht="15.75" customHeight="1">
      <c r="A25" s="36"/>
      <c r="B25" s="37" t="s">
        <v>88</v>
      </c>
      <c r="C25" s="38">
        <v>3191</v>
      </c>
      <c r="D25" s="38">
        <v>356</v>
      </c>
      <c r="E25" s="40">
        <f t="shared" si="3"/>
        <v>0.11156377311187715</v>
      </c>
      <c r="F25" s="45">
        <v>36.81</v>
      </c>
      <c r="G25" s="41">
        <v>19.329999999999998</v>
      </c>
      <c r="H25" s="3">
        <v>1443</v>
      </c>
      <c r="I25" s="48">
        <v>241.5</v>
      </c>
      <c r="J25" s="48">
        <v>317.85000000000002</v>
      </c>
      <c r="K25" s="44">
        <f t="shared" si="4"/>
        <v>6.5607171964140178</v>
      </c>
      <c r="L25" s="44">
        <f t="shared" si="5"/>
        <v>8.6348818255908721</v>
      </c>
      <c r="M25" s="51">
        <f t="shared" si="10"/>
        <v>151.30160372478014</v>
      </c>
      <c r="N25" s="52">
        <f t="shared" si="8"/>
        <v>1.5961496379066284</v>
      </c>
      <c r="O25" s="52">
        <f t="shared" si="9"/>
        <v>2.1007708588348732</v>
      </c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</row>
    <row r="26" spans="1:36" ht="15.75" customHeight="1">
      <c r="A26" s="36"/>
      <c r="B26" s="37" t="s">
        <v>89</v>
      </c>
      <c r="C26" s="38">
        <v>3577</v>
      </c>
      <c r="D26" s="38">
        <v>488</v>
      </c>
      <c r="E26" s="40">
        <f t="shared" si="3"/>
        <v>0.1364271736091697</v>
      </c>
      <c r="F26" s="45">
        <v>50.53</v>
      </c>
      <c r="G26" s="41">
        <v>19.329999999999998</v>
      </c>
      <c r="H26" s="3">
        <v>1876</v>
      </c>
      <c r="I26" s="48">
        <v>199</v>
      </c>
      <c r="J26" s="48">
        <v>513</v>
      </c>
      <c r="K26" s="44">
        <f t="shared" si="4"/>
        <v>3.9382545022758757</v>
      </c>
      <c r="L26" s="44">
        <f t="shared" si="5"/>
        <v>10.152384721947358</v>
      </c>
      <c r="M26" s="51">
        <f t="shared" si="10"/>
        <v>196.10243145369893</v>
      </c>
      <c r="N26" s="52">
        <f t="shared" si="8"/>
        <v>1.0147757910231991</v>
      </c>
      <c r="O26" s="52">
        <f t="shared" si="9"/>
        <v>2.615979802989453</v>
      </c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</row>
    <row r="27" spans="1:36" ht="15.75" customHeight="1">
      <c r="A27" s="36" t="s">
        <v>90</v>
      </c>
      <c r="B27" s="37" t="s">
        <v>91</v>
      </c>
      <c r="C27" s="38">
        <v>3780</v>
      </c>
      <c r="D27" s="38">
        <v>489</v>
      </c>
      <c r="E27" s="40">
        <f t="shared" si="3"/>
        <v>0.12936507936507938</v>
      </c>
      <c r="F27" s="45">
        <v>50.57</v>
      </c>
      <c r="G27" s="41">
        <v>19.329999999999998</v>
      </c>
      <c r="H27" s="3">
        <v>2257</v>
      </c>
      <c r="I27" s="48">
        <v>476</v>
      </c>
      <c r="J27" s="48">
        <v>855</v>
      </c>
      <c r="K27" s="44">
        <f t="shared" si="4"/>
        <v>9.4126952738777927</v>
      </c>
      <c r="L27" s="44">
        <f t="shared" si="5"/>
        <v>16.907257267154439</v>
      </c>
      <c r="M27" s="51">
        <f t="shared" si="10"/>
        <v>235.52302121055357</v>
      </c>
      <c r="N27" s="52">
        <f t="shared" si="8"/>
        <v>2.021033857129678</v>
      </c>
      <c r="O27" s="52">
        <f t="shared" si="9"/>
        <v>3.6302183778274677</v>
      </c>
      <c r="Y27" s="54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</row>
    <row r="28" spans="1:36" ht="15.75" customHeight="1">
      <c r="A28" s="36"/>
      <c r="B28" s="37" t="s">
        <v>92</v>
      </c>
      <c r="C28" s="38">
        <v>3259</v>
      </c>
      <c r="D28" s="38">
        <v>576</v>
      </c>
      <c r="E28" s="40">
        <f t="shared" si="3"/>
        <v>0.17674133169683953</v>
      </c>
      <c r="F28" s="45">
        <v>59.58</v>
      </c>
      <c r="G28" s="41">
        <v>19.329999999999998</v>
      </c>
      <c r="H28" s="3">
        <v>2756</v>
      </c>
      <c r="I28" s="48">
        <v>551.35</v>
      </c>
      <c r="J28" s="48">
        <v>798.65</v>
      </c>
      <c r="K28" s="44">
        <f t="shared" si="4"/>
        <v>9.253944276602887</v>
      </c>
      <c r="L28" s="44">
        <f t="shared" si="5"/>
        <v>13.404665995300437</v>
      </c>
      <c r="M28" s="51">
        <f t="shared" si="10"/>
        <v>287.1526125193999</v>
      </c>
      <c r="N28" s="52">
        <f t="shared" si="8"/>
        <v>1.9200591461195606</v>
      </c>
      <c r="O28" s="52">
        <f t="shared" si="9"/>
        <v>2.7812736683565555</v>
      </c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</row>
    <row r="29" spans="1:36" ht="15.75" customHeight="1">
      <c r="B29" s="37" t="s">
        <v>93</v>
      </c>
      <c r="C29" s="38">
        <v>4038</v>
      </c>
      <c r="D29" s="38">
        <v>717</v>
      </c>
      <c r="E29" s="40">
        <f t="shared" si="3"/>
        <v>0.17756315007429421</v>
      </c>
      <c r="F29" s="45">
        <v>74.17</v>
      </c>
      <c r="G29" s="41">
        <v>19.329999999999998</v>
      </c>
      <c r="H29" s="3">
        <v>3524</v>
      </c>
      <c r="I29" s="48">
        <v>607</v>
      </c>
      <c r="J29" s="48">
        <v>1480</v>
      </c>
      <c r="K29" s="44">
        <f t="shared" si="4"/>
        <v>8.183901847107995</v>
      </c>
      <c r="L29" s="44">
        <f t="shared" si="5"/>
        <v>19.954159363624107</v>
      </c>
      <c r="M29" s="51">
        <f t="shared" si="10"/>
        <v>366.6145887221935</v>
      </c>
      <c r="N29" s="52">
        <f t="shared" si="8"/>
        <v>1.6556897043176897</v>
      </c>
      <c r="O29" s="52">
        <f t="shared" si="9"/>
        <v>4.0369370055851412</v>
      </c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</row>
    <row r="30" spans="1:36" ht="15.75" customHeight="1">
      <c r="A30" s="36" t="s">
        <v>76</v>
      </c>
      <c r="B30" s="37" t="s">
        <v>94</v>
      </c>
      <c r="C30" s="38">
        <v>4800</v>
      </c>
      <c r="D30" s="38">
        <v>736</v>
      </c>
      <c r="E30" s="40">
        <f t="shared" si="3"/>
        <v>0.15333333333333332</v>
      </c>
      <c r="F30" s="45">
        <v>38.06</v>
      </c>
      <c r="G30" s="55">
        <v>38.659999999999997</v>
      </c>
      <c r="H30" s="3">
        <v>4045</v>
      </c>
      <c r="I30" s="48">
        <v>569</v>
      </c>
      <c r="J30" s="48">
        <v>1285.6199999999999</v>
      </c>
      <c r="K30" s="44">
        <f t="shared" si="4"/>
        <v>14.950078822911191</v>
      </c>
      <c r="L30" s="44">
        <f t="shared" si="5"/>
        <v>33.778770362585384</v>
      </c>
      <c r="M30" s="51">
        <f t="shared" si="10"/>
        <v>211.2602172788412</v>
      </c>
      <c r="N30" s="52">
        <f t="shared" si="8"/>
        <v>2.693360857661999</v>
      </c>
      <c r="O30" s="52">
        <f t="shared" si="9"/>
        <v>6.0854808186773619</v>
      </c>
      <c r="Y30" s="22"/>
      <c r="Z30" s="34"/>
      <c r="AA30" s="34"/>
      <c r="AB30" s="34"/>
      <c r="AC30" s="22"/>
      <c r="AD30" s="22"/>
      <c r="AE30" s="22"/>
      <c r="AF30" s="22"/>
      <c r="AG30" s="22"/>
      <c r="AH30" s="22"/>
      <c r="AI30" s="22"/>
      <c r="AJ30" s="22"/>
    </row>
    <row r="31" spans="1:36" ht="15.75" customHeight="1">
      <c r="A31" s="56"/>
      <c r="B31" s="37" t="s">
        <v>95</v>
      </c>
      <c r="C31" s="38">
        <v>5210</v>
      </c>
      <c r="D31" s="38">
        <v>774</v>
      </c>
      <c r="E31" s="40">
        <f t="shared" si="3"/>
        <v>0.14856046065259118</v>
      </c>
      <c r="F31" s="45">
        <v>40.020000000000003</v>
      </c>
      <c r="G31" s="55">
        <v>38.659999999999997</v>
      </c>
      <c r="H31" s="3">
        <v>4615</v>
      </c>
      <c r="I31" s="48">
        <v>741.1</v>
      </c>
      <c r="J31" s="48">
        <v>1467.4</v>
      </c>
      <c r="K31" s="44">
        <f t="shared" si="4"/>
        <v>18.518240879560221</v>
      </c>
      <c r="L31" s="44">
        <f t="shared" si="5"/>
        <v>36.666666666666664</v>
      </c>
      <c r="M31" s="51">
        <f t="shared" si="10"/>
        <v>240.74806001034662</v>
      </c>
      <c r="N31" s="52">
        <f t="shared" si="8"/>
        <v>3.0783217940287861</v>
      </c>
      <c r="O31" s="52">
        <f t="shared" si="9"/>
        <v>6.0951685340140882</v>
      </c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</row>
    <row r="32" spans="1:36" ht="15.75" customHeight="1">
      <c r="A32" s="36"/>
      <c r="B32" s="37" t="s">
        <v>96</v>
      </c>
      <c r="C32" s="38">
        <v>4811</v>
      </c>
      <c r="D32" s="38">
        <v>960</v>
      </c>
      <c r="E32" s="40">
        <f t="shared" si="3"/>
        <v>0.19954271461234671</v>
      </c>
      <c r="F32" s="45">
        <v>49.64</v>
      </c>
      <c r="G32" s="55">
        <v>38.659999999999997</v>
      </c>
      <c r="H32" s="3">
        <v>4970</v>
      </c>
      <c r="I32" s="38">
        <v>680</v>
      </c>
      <c r="J32" s="38">
        <v>1298</v>
      </c>
      <c r="K32" s="44">
        <f t="shared" si="4"/>
        <v>13.698630136986301</v>
      </c>
      <c r="L32" s="44">
        <f t="shared" si="5"/>
        <v>26.148267526188558</v>
      </c>
      <c r="M32" s="51">
        <f t="shared" si="10"/>
        <v>259.11329539575792</v>
      </c>
      <c r="N32" s="52">
        <f t="shared" si="8"/>
        <v>2.6243346523820739</v>
      </c>
      <c r="O32" s="52">
        <f t="shared" si="9"/>
        <v>5.0093917335175471</v>
      </c>
      <c r="AF32" s="22"/>
      <c r="AG32" s="22"/>
      <c r="AH32" s="22"/>
      <c r="AI32" s="22"/>
      <c r="AJ32" s="22"/>
    </row>
    <row r="33" spans="1:36" ht="15.75" customHeight="1">
      <c r="A33" s="57"/>
      <c r="B33" s="37" t="s">
        <v>97</v>
      </c>
      <c r="C33" s="48">
        <v>5783</v>
      </c>
      <c r="D33" s="48">
        <v>1178</v>
      </c>
      <c r="E33" s="40">
        <f t="shared" si="3"/>
        <v>0.20370050146982535</v>
      </c>
      <c r="F33" s="58">
        <v>60.91</v>
      </c>
      <c r="G33" s="55">
        <v>38.659999999999997</v>
      </c>
      <c r="H33" s="3">
        <v>5961</v>
      </c>
      <c r="I33" s="48">
        <v>739</v>
      </c>
      <c r="J33" s="48">
        <v>1885</v>
      </c>
      <c r="K33" s="44">
        <f t="shared" si="4"/>
        <v>12.132654736496471</v>
      </c>
      <c r="L33" s="44">
        <f t="shared" si="5"/>
        <v>30.947299294040388</v>
      </c>
      <c r="M33" s="51">
        <f t="shared" si="10"/>
        <v>310.38075530263842</v>
      </c>
      <c r="N33" s="52">
        <f t="shared" si="8"/>
        <v>2.3809465869732613</v>
      </c>
      <c r="O33" s="52">
        <f t="shared" si="9"/>
        <v>6.0731858138627848</v>
      </c>
      <c r="AF33" s="22"/>
      <c r="AG33" s="22"/>
      <c r="AH33" s="22"/>
      <c r="AI33" s="22"/>
      <c r="AJ33" s="22"/>
    </row>
    <row r="34" spans="1:36" ht="15.75" customHeight="1">
      <c r="A34" s="59"/>
      <c r="B34" s="37" t="s">
        <v>98</v>
      </c>
      <c r="C34" s="3">
        <v>8295</v>
      </c>
      <c r="D34" s="3">
        <v>1435</v>
      </c>
      <c r="E34" s="40">
        <f t="shared" si="3"/>
        <v>0.1729957805907173</v>
      </c>
      <c r="F34" s="58">
        <v>74.25</v>
      </c>
      <c r="G34" s="55">
        <v>38.659999999999997</v>
      </c>
      <c r="H34" s="3">
        <v>6894</v>
      </c>
      <c r="I34" s="60">
        <v>1542</v>
      </c>
      <c r="J34" s="60">
        <v>2707</v>
      </c>
      <c r="K34" s="44">
        <f t="shared" si="4"/>
        <v>20.767676767676768</v>
      </c>
      <c r="L34" s="44">
        <f t="shared" si="5"/>
        <v>36.457912457912457</v>
      </c>
      <c r="M34" s="51">
        <f t="shared" si="10"/>
        <v>358.64769787894465</v>
      </c>
      <c r="N34" s="52">
        <f t="shared" si="8"/>
        <v>4.2994838921856831</v>
      </c>
      <c r="O34" s="52">
        <f t="shared" si="9"/>
        <v>7.5477969495114428</v>
      </c>
      <c r="AF34" s="22"/>
      <c r="AG34" s="22"/>
      <c r="AH34" s="22"/>
      <c r="AI34" s="22"/>
      <c r="AJ34" s="22"/>
    </row>
    <row r="35" spans="1:36" ht="15.75" customHeight="1">
      <c r="A35" s="59"/>
      <c r="B35" s="37" t="s">
        <v>99</v>
      </c>
      <c r="C35" s="60">
        <v>9759</v>
      </c>
      <c r="D35" s="60">
        <v>1057</v>
      </c>
      <c r="E35" s="40">
        <f t="shared" si="3"/>
        <v>0.10831027769238652</v>
      </c>
      <c r="F35" s="61">
        <v>54.7</v>
      </c>
      <c r="G35" s="55">
        <v>38.659999999999997</v>
      </c>
      <c r="H35" s="3">
        <v>7518</v>
      </c>
      <c r="I35" s="51">
        <v>1796</v>
      </c>
      <c r="J35" s="51">
        <v>2522</v>
      </c>
      <c r="K35" s="44">
        <f t="shared" si="4"/>
        <v>32.833638025594148</v>
      </c>
      <c r="L35" s="44">
        <f t="shared" si="5"/>
        <v>46.106032906764163</v>
      </c>
      <c r="M35" s="51">
        <f t="shared" si="10"/>
        <v>390.92912571132956</v>
      </c>
      <c r="N35" s="52">
        <f t="shared" si="8"/>
        <v>4.5941831444050676</v>
      </c>
      <c r="O35" s="52">
        <f t="shared" si="9"/>
        <v>6.4512972662525501</v>
      </c>
      <c r="AA35" s="62"/>
      <c r="AF35" s="22"/>
      <c r="AG35" s="22"/>
      <c r="AH35" s="22"/>
      <c r="AI35" s="22"/>
      <c r="AJ35" s="22"/>
    </row>
    <row r="36" spans="1:36" ht="15.75" customHeight="1">
      <c r="A36" s="3"/>
      <c r="B36" s="37" t="s">
        <v>100</v>
      </c>
      <c r="C36" s="60">
        <v>9368</v>
      </c>
      <c r="D36" s="60">
        <v>1471</v>
      </c>
      <c r="E36" s="40">
        <f t="shared" si="3"/>
        <v>0.15702391118701964</v>
      </c>
      <c r="F36" s="61">
        <v>76.12</v>
      </c>
      <c r="G36" s="55">
        <v>38.659999999999997</v>
      </c>
      <c r="H36" s="3">
        <v>8815</v>
      </c>
      <c r="I36" s="51">
        <v>1932</v>
      </c>
      <c r="J36" s="51">
        <v>2795</v>
      </c>
      <c r="K36" s="44">
        <f t="shared" si="4"/>
        <v>25.38097740409879</v>
      </c>
      <c r="L36" s="44">
        <f t="shared" si="5"/>
        <v>36.718339464004202</v>
      </c>
      <c r="M36" s="51">
        <f t="shared" si="10"/>
        <v>458.02690118986033</v>
      </c>
      <c r="N36" s="52">
        <f t="shared" si="8"/>
        <v>4.2180928565135778</v>
      </c>
      <c r="O36" s="52">
        <f t="shared" si="9"/>
        <v>6.1022616635380169</v>
      </c>
      <c r="AF36" s="54"/>
      <c r="AG36" s="63"/>
      <c r="AH36" s="63"/>
      <c r="AI36" s="63"/>
      <c r="AJ36" s="22"/>
    </row>
    <row r="37" spans="1:36" ht="15.75" customHeight="1">
      <c r="A37" s="3"/>
      <c r="B37" s="37" t="s">
        <v>101</v>
      </c>
      <c r="C37" s="60">
        <v>10447</v>
      </c>
      <c r="D37" s="60">
        <v>1655</v>
      </c>
      <c r="E37" s="40">
        <f t="shared" si="3"/>
        <v>0.15841868478989182</v>
      </c>
      <c r="F37" s="61">
        <v>85.61</v>
      </c>
      <c r="G37" s="55">
        <v>38.659999999999997</v>
      </c>
      <c r="H37" s="3">
        <v>10349</v>
      </c>
      <c r="I37" s="51">
        <v>2265</v>
      </c>
      <c r="J37" s="51">
        <v>3375</v>
      </c>
      <c r="K37" s="44">
        <f t="shared" si="4"/>
        <v>26.457189580656465</v>
      </c>
      <c r="L37" s="44">
        <f t="shared" si="5"/>
        <v>39.422964606938443</v>
      </c>
      <c r="M37" s="51">
        <f t="shared" si="10"/>
        <v>537.38541127780661</v>
      </c>
      <c r="N37" s="52">
        <f t="shared" si="8"/>
        <v>4.2148520456002592</v>
      </c>
      <c r="O37" s="52">
        <f t="shared" si="9"/>
        <v>6.2804086772189303</v>
      </c>
      <c r="AF37" s="54"/>
      <c r="AG37" s="63"/>
      <c r="AH37" s="63"/>
      <c r="AI37" s="63"/>
      <c r="AJ37" s="22"/>
    </row>
    <row r="38" spans="1:36" ht="15.75" customHeight="1">
      <c r="A38" s="3"/>
      <c r="B38" s="37" t="s">
        <v>102</v>
      </c>
      <c r="C38" s="60">
        <f>C37+C54-D54</f>
        <v>10493</v>
      </c>
      <c r="D38" s="60">
        <f>D37+C57-D57</f>
        <v>1453</v>
      </c>
      <c r="E38" s="40">
        <f t="shared" si="3"/>
        <v>0.13847326789288097</v>
      </c>
      <c r="F38" s="61">
        <f>N48</f>
        <v>75.17</v>
      </c>
      <c r="G38" s="55">
        <v>38.659999999999997</v>
      </c>
      <c r="H38" s="3">
        <v>10349</v>
      </c>
      <c r="I38" s="51">
        <v>2152</v>
      </c>
      <c r="J38" s="51">
        <v>2817</v>
      </c>
      <c r="K38" s="44">
        <f t="shared" si="4"/>
        <v>28.628442197685246</v>
      </c>
      <c r="L38" s="44">
        <f t="shared" si="5"/>
        <v>37.475056538512703</v>
      </c>
      <c r="M38" s="51">
        <f t="shared" si="10"/>
        <v>537.38541127780661</v>
      </c>
      <c r="N38" s="52">
        <f t="shared" si="8"/>
        <v>4.0045746587778188</v>
      </c>
      <c r="O38" s="52">
        <f t="shared" si="9"/>
        <v>5.2420477759187332</v>
      </c>
      <c r="AF38" s="63"/>
      <c r="AG38" s="34"/>
      <c r="AH38" s="34"/>
      <c r="AI38" s="34"/>
      <c r="AJ38" s="22"/>
    </row>
    <row r="39" spans="1:36" ht="15.75" customHeight="1">
      <c r="AF39" s="22"/>
      <c r="AG39" s="22"/>
      <c r="AH39" s="22"/>
      <c r="AI39" s="22"/>
      <c r="AJ39" s="22"/>
    </row>
    <row r="40" spans="1:36" ht="15.75" customHeight="1">
      <c r="A40" s="64" t="s">
        <v>28</v>
      </c>
      <c r="B40" s="65" t="s">
        <v>54</v>
      </c>
      <c r="C40" s="65" t="s">
        <v>55</v>
      </c>
      <c r="D40" s="65" t="s">
        <v>9</v>
      </c>
      <c r="E40" s="64" t="s">
        <v>103</v>
      </c>
      <c r="F40" s="65" t="s">
        <v>11</v>
      </c>
      <c r="G40" s="64" t="s">
        <v>12</v>
      </c>
      <c r="H40" s="64" t="s">
        <v>58</v>
      </c>
      <c r="I40" s="66" t="s">
        <v>59</v>
      </c>
      <c r="J40" s="66" t="s">
        <v>60</v>
      </c>
      <c r="K40" s="64" t="s">
        <v>61</v>
      </c>
      <c r="L40" s="64" t="s">
        <v>62</v>
      </c>
      <c r="M40" s="64" t="s">
        <v>63</v>
      </c>
      <c r="N40" s="64" t="s">
        <v>64</v>
      </c>
      <c r="O40" s="64" t="s">
        <v>65</v>
      </c>
      <c r="AI40" s="22"/>
      <c r="AJ40" s="22"/>
    </row>
    <row r="41" spans="1:36" ht="15.75" customHeight="1">
      <c r="A41" s="59"/>
      <c r="B41" s="37" t="s">
        <v>104</v>
      </c>
      <c r="C41" s="67">
        <f t="shared" ref="C41:D41" si="11">(C37/C12)^(1/25)-1</f>
        <v>0.18999822348903095</v>
      </c>
      <c r="D41" s="67">
        <f t="shared" si="11"/>
        <v>0.24296419955870485</v>
      </c>
      <c r="E41" s="68">
        <f>MEDIAN(E12:E37)</f>
        <v>0.11967640988251059</v>
      </c>
      <c r="F41" s="67">
        <f>((30*F37)/F12)^(1/25)-1</f>
        <v>0.24016974172632621</v>
      </c>
      <c r="G41" s="67">
        <f t="shared" ref="G41:J41" si="12">(G37/G12)^(1/25)-1</f>
        <v>7.6026204947372777E-2</v>
      </c>
      <c r="H41" s="67" t="e">
        <f t="shared" si="12"/>
        <v>#DIV/0!</v>
      </c>
      <c r="I41" s="67">
        <f t="shared" si="12"/>
        <v>0.20080158603566822</v>
      </c>
      <c r="J41" s="67">
        <f t="shared" si="12"/>
        <v>0.17732389038704488</v>
      </c>
      <c r="K41" s="69">
        <f t="shared" ref="K41:L41" si="13">MEDIAN(K12:K37)</f>
        <v>8.0058703374734108</v>
      </c>
      <c r="L41" s="69">
        <f t="shared" si="13"/>
        <v>16.738845668794255</v>
      </c>
      <c r="M41" s="67" t="e">
        <f>((30*M37)/M12)^(1/25)-1</f>
        <v>#DIV/0!</v>
      </c>
      <c r="N41" s="70">
        <f t="shared" ref="N41:O41" si="14">MEDIAN(N12:N37)</f>
        <v>2.0027156651439948</v>
      </c>
      <c r="O41" s="70">
        <f t="shared" si="14"/>
        <v>3.9335699247415055</v>
      </c>
      <c r="AI41" s="22"/>
      <c r="AJ41" s="22"/>
    </row>
    <row r="42" spans="1:36" ht="15.75" customHeight="1">
      <c r="A42" s="59"/>
      <c r="B42" s="37" t="s">
        <v>105</v>
      </c>
      <c r="C42" s="67">
        <f t="shared" ref="C42:D42" si="15">(C37/C17)^(1/20)-1</f>
        <v>0.16494986066970019</v>
      </c>
      <c r="D42" s="67">
        <f t="shared" si="15"/>
        <v>0.17753241839015366</v>
      </c>
      <c r="E42" s="68">
        <f>MEDIAN(E17:E37)</f>
        <v>0.1364271736091697</v>
      </c>
      <c r="F42" s="67">
        <f>((15*F37)/F17)^(1/20)-1</f>
        <v>0.17502747511118155</v>
      </c>
      <c r="G42" s="67">
        <f t="shared" ref="G42:H42" si="16">(G37/G17)^(1/20)-1</f>
        <v>5.8931425564248352E-2</v>
      </c>
      <c r="H42" s="67">
        <f t="shared" si="16"/>
        <v>0.23787422237094513</v>
      </c>
      <c r="I42" s="67">
        <f t="shared" ref="I42:J42" si="17">((15*I37)/I17)^(1/20)-1</f>
        <v>0.3098368881742859</v>
      </c>
      <c r="J42" s="67">
        <f t="shared" si="17"/>
        <v>0.26415100998577801</v>
      </c>
      <c r="K42" s="69">
        <f t="shared" ref="K42:L42" si="18">MEDIAN(K17:K37)</f>
        <v>9.4126952738777927</v>
      </c>
      <c r="L42" s="69">
        <f t="shared" si="18"/>
        <v>19.954159363624107</v>
      </c>
      <c r="M42" s="67">
        <f>((15*M37)/M17)^(1/20)-1</f>
        <v>0.23020553305427538</v>
      </c>
      <c r="N42" s="70">
        <f t="shared" ref="N42:O42" si="19">MEDIAN(N17:N37)</f>
        <v>2.021033857129678</v>
      </c>
      <c r="O42" s="70">
        <f t="shared" si="19"/>
        <v>4.0369370055851412</v>
      </c>
      <c r="AI42" s="22"/>
      <c r="AJ42" s="22"/>
    </row>
    <row r="43" spans="1:36" ht="15.75" customHeight="1">
      <c r="A43" s="36"/>
      <c r="B43" s="37" t="s">
        <v>106</v>
      </c>
      <c r="C43" s="67">
        <f t="shared" ref="C43:D43" si="20">(C37/C27)^(1/10)-1</f>
        <v>0.10700601201807292</v>
      </c>
      <c r="D43" s="67">
        <f t="shared" si="20"/>
        <v>0.12966302448805744</v>
      </c>
      <c r="E43" s="68">
        <f>MEDIAN(E27:E37)</f>
        <v>0.15841868478989182</v>
      </c>
      <c r="F43" s="67">
        <f>((2*F37)/F27)^(1/10)-1</f>
        <v>0.12970786914649901</v>
      </c>
      <c r="G43" s="67">
        <f t="shared" ref="G43:H43" si="21">(G37/G27)^(1/10)-1</f>
        <v>7.1773462536293131E-2</v>
      </c>
      <c r="H43" s="67">
        <f t="shared" si="21"/>
        <v>0.16449246517697347</v>
      </c>
      <c r="I43" s="67">
        <f t="shared" ref="I43:J43" si="22">((2*I37)/I27)^(1/10)-1</f>
        <v>0.25270590593892073</v>
      </c>
      <c r="J43" s="67">
        <f t="shared" si="22"/>
        <v>0.22951481411204844</v>
      </c>
      <c r="K43" s="69">
        <f t="shared" ref="K43:L43" si="23">MEDIAN(K27:K37)</f>
        <v>14.950078822911191</v>
      </c>
      <c r="L43" s="69">
        <f t="shared" si="23"/>
        <v>33.778770362585384</v>
      </c>
      <c r="M43" s="67">
        <f>((2*M37)/M27)^(1/10)-1</f>
        <v>0.1639337205997291</v>
      </c>
      <c r="N43" s="70">
        <f t="shared" ref="N43:O43" si="24">MEDIAN(N27:N37)</f>
        <v>2.693360857661999</v>
      </c>
      <c r="O43" s="70">
        <f t="shared" si="24"/>
        <v>6.0854808186773619</v>
      </c>
      <c r="AH43" s="34"/>
      <c r="AI43" s="63"/>
      <c r="AJ43" s="22"/>
    </row>
    <row r="44" spans="1:36" ht="15.75" customHeight="1">
      <c r="A44" s="36"/>
      <c r="B44" s="37" t="s">
        <v>107</v>
      </c>
      <c r="C44" s="67">
        <f t="shared" ref="C44:D44" si="25">(C37/C32)^(1/5)-1</f>
        <v>0.16775368802602264</v>
      </c>
      <c r="D44" s="67">
        <f t="shared" si="25"/>
        <v>0.11507827101703283</v>
      </c>
      <c r="E44" s="68">
        <f>MEDIAN(E32:E37)</f>
        <v>0.16570723269030457</v>
      </c>
      <c r="F44" s="67">
        <f t="shared" ref="F44:J44" si="26">(F37/F32)^(1/5)-1</f>
        <v>0.1151634963760928</v>
      </c>
      <c r="G44" s="67">
        <f t="shared" si="26"/>
        <v>0</v>
      </c>
      <c r="H44" s="67">
        <f t="shared" si="26"/>
        <v>0.15799957404679654</v>
      </c>
      <c r="I44" s="67">
        <f t="shared" si="26"/>
        <v>0.27207248448119792</v>
      </c>
      <c r="J44" s="67">
        <f t="shared" si="26"/>
        <v>0.21059762327138665</v>
      </c>
      <c r="K44" s="69">
        <f t="shared" ref="K44:L44" si="27">MEDIAN(K32:K37)</f>
        <v>23.074327085887781</v>
      </c>
      <c r="L44" s="69">
        <f t="shared" si="27"/>
        <v>36.58812596095833</v>
      </c>
      <c r="M44" s="67">
        <f>(M37/M32)^(1/5)-1</f>
        <v>0.15706893793764798</v>
      </c>
      <c r="N44" s="70">
        <f t="shared" ref="N44:O44" si="28">MEDIAN(N32:N37)</f>
        <v>4.2164724510569185</v>
      </c>
      <c r="O44" s="70">
        <f t="shared" si="28"/>
        <v>6.1913351703784736</v>
      </c>
    </row>
    <row r="45" spans="1:36" ht="15.75" customHeight="1">
      <c r="B45" s="37" t="s">
        <v>108</v>
      </c>
      <c r="C45" s="71">
        <f t="shared" ref="C45:D45" si="29">(C37/C36)-1</f>
        <v>0.11517933390264723</v>
      </c>
      <c r="D45" s="71">
        <f t="shared" si="29"/>
        <v>0.12508497620666215</v>
      </c>
      <c r="E45" s="72">
        <f>E37</f>
        <v>0.15841868478989182</v>
      </c>
      <c r="F45" s="71">
        <f t="shared" ref="F45:J45" si="30">(F37/F36)-1</f>
        <v>0.12467157120336303</v>
      </c>
      <c r="G45" s="71">
        <f t="shared" si="30"/>
        <v>0</v>
      </c>
      <c r="H45" s="71">
        <f t="shared" si="30"/>
        <v>0.17402155416902998</v>
      </c>
      <c r="I45" s="71">
        <f t="shared" si="30"/>
        <v>0.17236024844720488</v>
      </c>
      <c r="J45" s="71">
        <f t="shared" si="30"/>
        <v>0.20751341681574242</v>
      </c>
      <c r="K45" s="73">
        <f t="shared" ref="K45:L45" si="31">K37</f>
        <v>26.457189580656465</v>
      </c>
      <c r="L45" s="73">
        <f t="shared" si="31"/>
        <v>39.422964606938443</v>
      </c>
      <c r="M45" s="71">
        <f>(M37/M36)-1</f>
        <v>0.1732616793506867</v>
      </c>
      <c r="N45" s="74">
        <f t="shared" ref="N45:O45" si="32">N37</f>
        <v>4.2148520456002592</v>
      </c>
      <c r="O45" s="74">
        <f t="shared" si="32"/>
        <v>6.2804086772189303</v>
      </c>
    </row>
    <row r="46" spans="1:36" ht="15.75" customHeight="1"/>
    <row r="47" spans="1:36" ht="15.75" customHeight="1">
      <c r="A47" s="64" t="s">
        <v>109</v>
      </c>
      <c r="B47" s="75" t="s">
        <v>110</v>
      </c>
      <c r="C47" s="75" t="s">
        <v>111</v>
      </c>
      <c r="D47" s="75" t="s">
        <v>112</v>
      </c>
      <c r="E47" s="75" t="s">
        <v>113</v>
      </c>
      <c r="F47" s="75" t="s">
        <v>114</v>
      </c>
      <c r="G47" s="75" t="s">
        <v>115</v>
      </c>
      <c r="I47" s="75" t="s">
        <v>116</v>
      </c>
      <c r="J47" s="75" t="s">
        <v>117</v>
      </c>
      <c r="K47" s="75" t="s">
        <v>118</v>
      </c>
      <c r="L47" s="75" t="s">
        <v>119</v>
      </c>
      <c r="M47" s="75" t="s">
        <v>114</v>
      </c>
      <c r="N47" s="75" t="s">
        <v>120</v>
      </c>
      <c r="P47" s="76" t="s">
        <v>121</v>
      </c>
      <c r="Q47" s="77" t="s">
        <v>122</v>
      </c>
      <c r="R47" s="77" t="s">
        <v>123</v>
      </c>
      <c r="S47" s="77" t="s">
        <v>49</v>
      </c>
    </row>
    <row r="48" spans="1:36" ht="15.75" customHeight="1">
      <c r="B48" s="78" t="s">
        <v>124</v>
      </c>
      <c r="C48" s="79">
        <v>0.16</v>
      </c>
      <c r="D48" s="79">
        <v>0.15</v>
      </c>
      <c r="E48" s="79">
        <v>0.12</v>
      </c>
      <c r="F48" s="79">
        <v>0.02</v>
      </c>
      <c r="G48" s="80">
        <v>0.01</v>
      </c>
      <c r="I48" s="81" t="s">
        <v>11</v>
      </c>
      <c r="J48" s="82">
        <v>17.95</v>
      </c>
      <c r="K48" s="82">
        <v>23.25</v>
      </c>
      <c r="L48" s="82">
        <v>19.059999999999999</v>
      </c>
      <c r="M48" s="82">
        <v>14.91</v>
      </c>
      <c r="N48" s="83">
        <f>SUM(J48:M48)</f>
        <v>75.17</v>
      </c>
      <c r="P48" s="84">
        <v>76.12</v>
      </c>
      <c r="Q48" s="85">
        <f>N48</f>
        <v>75.17</v>
      </c>
      <c r="R48" s="86">
        <f>E67</f>
        <v>65.063599999999994</v>
      </c>
      <c r="S48" s="87">
        <f ca="1">R50/-1</f>
        <v>-36.827043077849986</v>
      </c>
    </row>
    <row r="49" spans="1:33" ht="15.75" customHeight="1">
      <c r="B49" s="78" t="s">
        <v>125</v>
      </c>
      <c r="C49" s="88">
        <v>0.23</v>
      </c>
      <c r="D49" s="88">
        <v>0.31</v>
      </c>
      <c r="E49" s="88">
        <v>0.13</v>
      </c>
      <c r="F49" s="88">
        <v>-0.41</v>
      </c>
      <c r="G49" s="80">
        <v>-0.24</v>
      </c>
      <c r="P49" s="89" t="s">
        <v>126</v>
      </c>
      <c r="Q49" s="90" t="s">
        <v>127</v>
      </c>
      <c r="R49" s="90" t="s">
        <v>45</v>
      </c>
      <c r="S49" s="91"/>
    </row>
    <row r="50" spans="1:33" ht="15.75" customHeight="1">
      <c r="B50" s="92" t="s">
        <v>128</v>
      </c>
      <c r="C50" s="93">
        <v>0.16300000000000001</v>
      </c>
      <c r="D50" s="93">
        <v>0.16700000000000001</v>
      </c>
      <c r="E50" s="93">
        <v>0.158</v>
      </c>
      <c r="F50" s="93">
        <v>0.104</v>
      </c>
      <c r="G50" s="94">
        <v>0.11899999999999999</v>
      </c>
      <c r="P50" s="95">
        <f>C4/P48</f>
        <v>33.55228586442459</v>
      </c>
      <c r="Q50" s="96">
        <f ca="1">C3/Q48</f>
        <v>31.875748303844617</v>
      </c>
      <c r="R50" s="97">
        <f ca="1">C3/R48</f>
        <v>36.827043077849986</v>
      </c>
      <c r="S50" s="91"/>
      <c r="X50" s="22"/>
    </row>
    <row r="51" spans="1:33" ht="15.75" customHeight="1">
      <c r="F51" s="98"/>
    </row>
    <row r="52" spans="1:33" ht="15.75" customHeight="1">
      <c r="D52" s="75" t="s">
        <v>129</v>
      </c>
      <c r="E52" s="99">
        <v>-0.03</v>
      </c>
      <c r="I52" s="75" t="s">
        <v>129</v>
      </c>
      <c r="J52" s="100">
        <v>0</v>
      </c>
      <c r="K52" s="22"/>
      <c r="N52" s="75" t="s">
        <v>129</v>
      </c>
      <c r="O52" s="99">
        <v>0.08</v>
      </c>
      <c r="X52" s="75" t="s">
        <v>130</v>
      </c>
      <c r="AA52" s="63"/>
    </row>
    <row r="53" spans="1:33" ht="15.75" customHeight="1">
      <c r="A53" s="75" t="s">
        <v>131</v>
      </c>
      <c r="B53" s="75" t="s">
        <v>114</v>
      </c>
      <c r="C53" s="75" t="s">
        <v>114</v>
      </c>
      <c r="D53" s="75" t="s">
        <v>132</v>
      </c>
      <c r="E53" s="75" t="s">
        <v>133</v>
      </c>
      <c r="F53" s="13"/>
      <c r="G53" s="75" t="s">
        <v>119</v>
      </c>
      <c r="H53" s="75" t="s">
        <v>119</v>
      </c>
      <c r="I53" s="75" t="s">
        <v>134</v>
      </c>
      <c r="J53" s="75" t="s">
        <v>133</v>
      </c>
      <c r="K53" s="22"/>
      <c r="L53" s="75" t="s">
        <v>113</v>
      </c>
      <c r="M53" s="75" t="s">
        <v>113</v>
      </c>
      <c r="N53" s="75" t="s">
        <v>135</v>
      </c>
      <c r="O53" s="75" t="s">
        <v>133</v>
      </c>
      <c r="Q53" s="75" t="s">
        <v>136</v>
      </c>
      <c r="R53" s="75" t="s">
        <v>137</v>
      </c>
      <c r="S53" s="75" t="s">
        <v>138</v>
      </c>
      <c r="T53" s="75" t="s">
        <v>137</v>
      </c>
      <c r="U53" s="75" t="s">
        <v>139</v>
      </c>
      <c r="V53" s="75" t="s">
        <v>137</v>
      </c>
      <c r="X53" s="75" t="s">
        <v>130</v>
      </c>
      <c r="Y53" s="75" t="s">
        <v>114</v>
      </c>
      <c r="Z53" s="75" t="s">
        <v>132</v>
      </c>
      <c r="AA53" s="75" t="s">
        <v>140</v>
      </c>
      <c r="AB53" s="75" t="s">
        <v>28</v>
      </c>
    </row>
    <row r="54" spans="1:33" ht="15.75" customHeight="1">
      <c r="B54" s="101" t="s">
        <v>8</v>
      </c>
      <c r="C54" s="102">
        <v>2760</v>
      </c>
      <c r="D54" s="102">
        <v>2714</v>
      </c>
      <c r="E54" s="103">
        <f t="shared" ref="E54:E58" si="33">(C54/D54)^(1/1)-1</f>
        <v>1.6949152542372836E-2</v>
      </c>
      <c r="F54" s="104"/>
      <c r="G54" s="105" t="s">
        <v>8</v>
      </c>
      <c r="H54" s="102">
        <v>2752</v>
      </c>
      <c r="I54" s="102">
        <v>2682</v>
      </c>
      <c r="J54" s="106">
        <f t="shared" ref="J54:J58" si="34">(H54/I54)^(1/1)-1</f>
        <v>2.6099925428784587E-2</v>
      </c>
      <c r="L54" s="101" t="s">
        <v>8</v>
      </c>
      <c r="M54" s="102">
        <v>10447</v>
      </c>
      <c r="N54" s="102">
        <v>9368</v>
      </c>
      <c r="O54" s="103">
        <f t="shared" ref="O54:O58" si="35">(M54/N54)^(1/1)-1</f>
        <v>0.11517933390264723</v>
      </c>
      <c r="Q54" s="107" t="s">
        <v>141</v>
      </c>
      <c r="R54" s="108">
        <v>0.58899999999999997</v>
      </c>
      <c r="S54" s="107" t="s">
        <v>142</v>
      </c>
      <c r="T54" s="108">
        <v>0.73299999999999998</v>
      </c>
      <c r="U54" s="107" t="s">
        <v>143</v>
      </c>
      <c r="V54" s="108">
        <v>0.38400000000000001</v>
      </c>
      <c r="X54" s="107" t="s">
        <v>144</v>
      </c>
      <c r="Y54" s="48">
        <v>1251</v>
      </c>
      <c r="Z54" s="109">
        <v>1275</v>
      </c>
      <c r="AA54" s="108">
        <f t="shared" ref="AA54:AA60" si="36">Y54/$Y$63</f>
        <v>0.5060679611650486</v>
      </c>
      <c r="AB54" s="110">
        <f t="shared" ref="AB54:AB60" si="37">(Y54/Z54)^(1/1)-1</f>
        <v>-1.8823529411764683E-2</v>
      </c>
    </row>
    <row r="55" spans="1:33" ht="15.75" customHeight="1">
      <c r="B55" s="111" t="s">
        <v>145</v>
      </c>
      <c r="C55" s="102">
        <v>2473</v>
      </c>
      <c r="D55" s="102">
        <v>2236</v>
      </c>
      <c r="E55" s="112">
        <f t="shared" si="33"/>
        <v>0.10599284436493739</v>
      </c>
      <c r="F55" s="104"/>
      <c r="G55" s="113" t="s">
        <v>145</v>
      </c>
      <c r="H55" s="102">
        <v>2367</v>
      </c>
      <c r="I55" s="102">
        <v>2206</v>
      </c>
      <c r="J55" s="106">
        <f t="shared" si="34"/>
        <v>7.2982774252039917E-2</v>
      </c>
      <c r="L55" s="111" t="s">
        <v>145</v>
      </c>
      <c r="M55" s="102">
        <v>8798</v>
      </c>
      <c r="N55" s="102">
        <v>7877</v>
      </c>
      <c r="O55" s="112">
        <f t="shared" si="35"/>
        <v>0.11692268630189151</v>
      </c>
      <c r="Q55" s="107" t="s">
        <v>146</v>
      </c>
      <c r="R55" s="108">
        <v>0.373</v>
      </c>
      <c r="S55" s="107" t="s">
        <v>147</v>
      </c>
      <c r="T55" s="108">
        <v>0.252</v>
      </c>
      <c r="U55" s="107" t="s">
        <v>148</v>
      </c>
      <c r="V55" s="108">
        <v>0.17</v>
      </c>
      <c r="X55" s="107" t="s">
        <v>149</v>
      </c>
      <c r="Y55" s="48">
        <v>769</v>
      </c>
      <c r="Z55" s="109">
        <v>626</v>
      </c>
      <c r="AA55" s="108">
        <f t="shared" si="36"/>
        <v>0.31108414239482202</v>
      </c>
      <c r="AB55" s="110">
        <f t="shared" si="37"/>
        <v>0.22843450479233218</v>
      </c>
    </row>
    <row r="56" spans="1:33" ht="15.75" customHeight="1">
      <c r="B56" s="114" t="s">
        <v>150</v>
      </c>
      <c r="C56" s="102">
        <v>31</v>
      </c>
      <c r="D56" s="102">
        <v>22</v>
      </c>
      <c r="E56" s="115">
        <f t="shared" si="33"/>
        <v>0.40909090909090917</v>
      </c>
      <c r="F56" s="104"/>
      <c r="G56" s="116" t="s">
        <v>150</v>
      </c>
      <c r="H56" s="102">
        <v>50</v>
      </c>
      <c r="I56" s="102">
        <v>31</v>
      </c>
      <c r="J56" s="103">
        <f t="shared" si="34"/>
        <v>0.61290322580645151</v>
      </c>
      <c r="L56" s="114" t="s">
        <v>150</v>
      </c>
      <c r="M56" s="102">
        <v>128</v>
      </c>
      <c r="N56" s="102">
        <v>113</v>
      </c>
      <c r="O56" s="115">
        <f t="shared" si="35"/>
        <v>0.13274336283185839</v>
      </c>
      <c r="Q56" s="107" t="s">
        <v>151</v>
      </c>
      <c r="R56" s="108">
        <v>3.7999999999999999E-2</v>
      </c>
      <c r="S56" s="107" t="s">
        <v>151</v>
      </c>
      <c r="T56" s="108">
        <v>1.4999999999999999E-2</v>
      </c>
      <c r="U56" s="107" t="s">
        <v>152</v>
      </c>
      <c r="V56" s="108">
        <v>0.34899999999999998</v>
      </c>
      <c r="X56" s="107" t="s">
        <v>153</v>
      </c>
      <c r="Y56" s="48">
        <v>188</v>
      </c>
      <c r="Z56" s="109">
        <v>163</v>
      </c>
      <c r="AA56" s="108">
        <f t="shared" si="36"/>
        <v>7.605177993527508E-2</v>
      </c>
      <c r="AB56" s="110">
        <f t="shared" si="37"/>
        <v>0.15337423312883436</v>
      </c>
    </row>
    <row r="57" spans="1:33" ht="15.75" customHeight="1">
      <c r="B57" s="117" t="s">
        <v>154</v>
      </c>
      <c r="C57" s="118">
        <v>288</v>
      </c>
      <c r="D57" s="118">
        <v>490</v>
      </c>
      <c r="E57" s="119">
        <f t="shared" si="33"/>
        <v>-0.41224489795918362</v>
      </c>
      <c r="F57" s="104"/>
      <c r="G57" s="120" t="s">
        <v>154</v>
      </c>
      <c r="H57" s="121">
        <v>368</v>
      </c>
      <c r="I57" s="121">
        <v>487</v>
      </c>
      <c r="J57" s="115">
        <f t="shared" si="34"/>
        <v>-0.24435318275154005</v>
      </c>
      <c r="L57" s="117" t="s">
        <v>154</v>
      </c>
      <c r="M57" s="118">
        <v>1655</v>
      </c>
      <c r="N57" s="118">
        <v>1471</v>
      </c>
      <c r="O57" s="119">
        <f t="shared" si="35"/>
        <v>0.12508497620666215</v>
      </c>
      <c r="Q57" s="34"/>
      <c r="R57" s="34"/>
      <c r="S57" s="34"/>
      <c r="T57" s="34"/>
      <c r="U57" s="107" t="s">
        <v>155</v>
      </c>
      <c r="V57" s="108">
        <v>9.7000000000000003E-2</v>
      </c>
      <c r="X57" s="107" t="s">
        <v>156</v>
      </c>
      <c r="Y57" s="48">
        <v>148</v>
      </c>
      <c r="Z57" s="109">
        <v>129</v>
      </c>
      <c r="AA57" s="108">
        <f t="shared" si="36"/>
        <v>5.9870550161812294E-2</v>
      </c>
      <c r="AB57" s="110">
        <f t="shared" si="37"/>
        <v>0.1472868217054264</v>
      </c>
      <c r="AF57" s="34"/>
      <c r="AG57" s="34"/>
    </row>
    <row r="58" spans="1:33" ht="15.75" customHeight="1">
      <c r="B58" s="122" t="s">
        <v>11</v>
      </c>
      <c r="C58" s="123">
        <v>14.91</v>
      </c>
      <c r="D58" s="123">
        <v>25.35</v>
      </c>
      <c r="E58" s="124">
        <f t="shared" si="33"/>
        <v>-0.4118343195266273</v>
      </c>
      <c r="F58" s="104"/>
      <c r="G58" s="125" t="s">
        <v>11</v>
      </c>
      <c r="H58" s="123">
        <v>19.059999999999999</v>
      </c>
      <c r="I58" s="123">
        <v>25.18</v>
      </c>
      <c r="J58" s="126">
        <f t="shared" si="34"/>
        <v>-0.24305003971405881</v>
      </c>
      <c r="L58" s="122" t="s">
        <v>11</v>
      </c>
      <c r="M58" s="123">
        <v>85.61</v>
      </c>
      <c r="N58" s="123">
        <v>76.12</v>
      </c>
      <c r="O58" s="124">
        <f t="shared" si="35"/>
        <v>0.12467157120336303</v>
      </c>
      <c r="X58" s="107" t="s">
        <v>157</v>
      </c>
      <c r="Y58" s="48">
        <v>35</v>
      </c>
      <c r="Z58" s="109">
        <v>35</v>
      </c>
      <c r="AA58" s="108">
        <f t="shared" si="36"/>
        <v>1.4158576051779935E-2</v>
      </c>
      <c r="AB58" s="110">
        <f t="shared" si="37"/>
        <v>0</v>
      </c>
    </row>
    <row r="59" spans="1:33" ht="15.75" customHeight="1">
      <c r="B59" s="81" t="s">
        <v>103</v>
      </c>
      <c r="C59" s="127">
        <f t="shared" ref="C59:D59" si="38">C57/C54</f>
        <v>0.10434782608695652</v>
      </c>
      <c r="D59" s="127">
        <f t="shared" si="38"/>
        <v>0.18054532056005895</v>
      </c>
      <c r="E59" s="128">
        <f>C59-D59</f>
        <v>-7.6197494473102437E-2</v>
      </c>
      <c r="F59" s="129"/>
      <c r="G59" s="130" t="s">
        <v>103</v>
      </c>
      <c r="H59" s="127">
        <f t="shared" ref="H59:I59" si="39">H57/H54</f>
        <v>0.13372093023255813</v>
      </c>
      <c r="I59" s="127">
        <f t="shared" si="39"/>
        <v>0.18158090976882924</v>
      </c>
      <c r="J59" s="128">
        <f>H59-I59</f>
        <v>-4.7859979536271108E-2</v>
      </c>
      <c r="L59" s="81" t="s">
        <v>103</v>
      </c>
      <c r="M59" s="127">
        <f t="shared" ref="M59:N59" si="40">M57/M54</f>
        <v>0.15841868478989182</v>
      </c>
      <c r="N59" s="127">
        <f t="shared" si="40"/>
        <v>0.15702391118701964</v>
      </c>
      <c r="O59" s="128">
        <f>M59-N59</f>
        <v>1.3947736028721847E-3</v>
      </c>
      <c r="Q59" s="131" t="s">
        <v>158</v>
      </c>
      <c r="R59" s="132">
        <f>SUM(R54:R56)</f>
        <v>1</v>
      </c>
      <c r="S59" s="131" t="s">
        <v>158</v>
      </c>
      <c r="T59" s="132">
        <f>SUM(T54:T56)</f>
        <v>1</v>
      </c>
      <c r="U59" s="131" t="s">
        <v>158</v>
      </c>
      <c r="V59" s="132">
        <f>SUM(V54:V57)</f>
        <v>1</v>
      </c>
      <c r="X59" s="107" t="s">
        <v>159</v>
      </c>
      <c r="Y59" s="102">
        <v>31</v>
      </c>
      <c r="Z59" s="102">
        <v>22</v>
      </c>
      <c r="AA59" s="108">
        <f t="shared" si="36"/>
        <v>1.2540453074433657E-2</v>
      </c>
      <c r="AB59" s="110">
        <f t="shared" si="37"/>
        <v>0.40909090909090917</v>
      </c>
    </row>
    <row r="60" spans="1:33" ht="15.75" customHeight="1">
      <c r="B60" s="81" t="s">
        <v>41</v>
      </c>
      <c r="C60" s="123">
        <f t="shared" ref="C60:D60" si="41">(C54-C55+C56)/C56</f>
        <v>10.258064516129032</v>
      </c>
      <c r="D60" s="123">
        <f t="shared" si="41"/>
        <v>22.727272727272727</v>
      </c>
      <c r="E60" s="128">
        <f>(C60/D60)^(1/1)-1</f>
        <v>-0.54864516129032259</v>
      </c>
      <c r="F60" s="129"/>
      <c r="G60" s="130" t="s">
        <v>103</v>
      </c>
      <c r="H60" s="123">
        <f t="shared" ref="H60:I60" si="42">(H54-H55+H56)/H56</f>
        <v>8.6999999999999993</v>
      </c>
      <c r="I60" s="123">
        <f t="shared" si="42"/>
        <v>16.35483870967742</v>
      </c>
      <c r="J60" s="133">
        <f>(H60/I60)^(1/1)-1</f>
        <v>-0.46804733727810655</v>
      </c>
      <c r="L60" s="81" t="s">
        <v>41</v>
      </c>
      <c r="M60" s="123">
        <f t="shared" ref="M60:N60" si="43">(M54-M55+M56)/M56</f>
        <v>13.8828125</v>
      </c>
      <c r="N60" s="123">
        <f t="shared" si="43"/>
        <v>14.194690265486726</v>
      </c>
      <c r="O60" s="128">
        <f>(M60/N60)^(1/1)-1</f>
        <v>-2.1971438591022463E-2</v>
      </c>
      <c r="X60" s="107" t="s">
        <v>160</v>
      </c>
      <c r="Y60" s="134">
        <v>50</v>
      </c>
      <c r="Z60" s="135">
        <v>-15</v>
      </c>
      <c r="AA60" s="108">
        <f t="shared" si="36"/>
        <v>2.0226537216828478E-2</v>
      </c>
      <c r="AB60" s="110">
        <f t="shared" si="37"/>
        <v>-4.3333333333333339</v>
      </c>
    </row>
    <row r="61" spans="1:33" ht="15.75" customHeight="1">
      <c r="L61" s="22"/>
    </row>
    <row r="62" spans="1:33" ht="15.75" customHeight="1">
      <c r="A62" s="136" t="s">
        <v>161</v>
      </c>
      <c r="B62" s="65" t="s">
        <v>54</v>
      </c>
      <c r="C62" s="65" t="s">
        <v>55</v>
      </c>
      <c r="D62" s="65" t="s">
        <v>9</v>
      </c>
      <c r="E62" s="65" t="s">
        <v>11</v>
      </c>
      <c r="F62" s="64" t="s">
        <v>128</v>
      </c>
      <c r="L62" s="22"/>
    </row>
    <row r="63" spans="1:33" ht="15.75" customHeight="1">
      <c r="A63" s="59"/>
      <c r="B63" s="3" t="s">
        <v>162</v>
      </c>
      <c r="C63" s="67">
        <v>0.01</v>
      </c>
      <c r="D63" s="67">
        <f>(D67/D37)-1</f>
        <v>-0.2413142416918429</v>
      </c>
      <c r="E63" s="67">
        <v>-0.24</v>
      </c>
      <c r="F63" s="137">
        <v>0.11899999999999999</v>
      </c>
      <c r="J63" s="22"/>
      <c r="K63" s="22"/>
      <c r="L63" s="22"/>
      <c r="X63" s="138" t="s">
        <v>163</v>
      </c>
      <c r="Y63" s="139">
        <f t="shared" ref="Y63:Z63" si="44">SUM(Y54:Y60)</f>
        <v>2472</v>
      </c>
      <c r="Z63" s="139">
        <f t="shared" si="44"/>
        <v>2235</v>
      </c>
      <c r="AA63" s="108">
        <f>Y63/$Y$63</f>
        <v>1</v>
      </c>
      <c r="AB63" s="110">
        <f>(Y63/Z63)^(1/1)-1</f>
        <v>0.10604026845637593</v>
      </c>
    </row>
    <row r="64" spans="1:33" ht="15.75" customHeight="1">
      <c r="A64" s="59"/>
      <c r="B64" s="3" t="s">
        <v>164</v>
      </c>
      <c r="C64" s="67">
        <v>0.17</v>
      </c>
      <c r="D64" s="67">
        <v>0.17</v>
      </c>
      <c r="E64" s="67">
        <v>0.17</v>
      </c>
      <c r="F64" s="137">
        <f>AVERAGE(E42:E45)</f>
        <v>0.15474294396981447</v>
      </c>
      <c r="J64" s="22"/>
      <c r="K64" s="22"/>
      <c r="L64" s="22"/>
      <c r="T64" s="22"/>
      <c r="X64" s="22"/>
    </row>
    <row r="65" spans="1:24" ht="15.75" customHeight="1">
      <c r="J65" s="22"/>
      <c r="K65" s="22"/>
      <c r="L65" s="22"/>
      <c r="T65" s="75" t="s">
        <v>165</v>
      </c>
      <c r="V65" s="22"/>
      <c r="W65" s="22"/>
      <c r="X65" s="22"/>
    </row>
    <row r="66" spans="1:24" ht="15.75" customHeight="1">
      <c r="A66" s="140" t="s">
        <v>161</v>
      </c>
      <c r="B66" s="141" t="s">
        <v>166</v>
      </c>
      <c r="C66" s="142" t="s">
        <v>167</v>
      </c>
      <c r="D66" s="143" t="s">
        <v>168</v>
      </c>
      <c r="E66" s="143" t="s">
        <v>11</v>
      </c>
      <c r="F66" s="143" t="s">
        <v>63</v>
      </c>
      <c r="G66" s="143" t="s">
        <v>169</v>
      </c>
      <c r="H66" s="143" t="s">
        <v>170</v>
      </c>
      <c r="I66" s="143" t="s">
        <v>171</v>
      </c>
      <c r="J66" s="143" t="s">
        <v>169</v>
      </c>
      <c r="K66" s="143" t="s">
        <v>172</v>
      </c>
      <c r="L66" s="143" t="s">
        <v>171</v>
      </c>
      <c r="M66" s="143" t="s">
        <v>173</v>
      </c>
      <c r="T66" s="75" t="s">
        <v>174</v>
      </c>
      <c r="U66" s="75" t="s">
        <v>175</v>
      </c>
      <c r="W66" s="22"/>
      <c r="X66" s="22"/>
    </row>
    <row r="67" spans="1:24" ht="15.75" customHeight="1">
      <c r="A67" s="144"/>
      <c r="B67" s="145" t="s">
        <v>176</v>
      </c>
      <c r="C67" s="146">
        <f>FV(C63,1,0,-C37,0)</f>
        <v>10551.47</v>
      </c>
      <c r="D67" s="146">
        <f t="shared" ref="D67:D68" si="45">C67*F63</f>
        <v>1255.6249299999999</v>
      </c>
      <c r="E67" s="146">
        <f>FV(E63,1,0,-F37,0)</f>
        <v>65.063599999999994</v>
      </c>
      <c r="F67" s="147">
        <f>(85%*E67)+M37</f>
        <v>592.68947127780666</v>
      </c>
      <c r="G67" s="148">
        <f t="shared" ref="G67:G69" si="46">E67*16</f>
        <v>1041.0175999999999</v>
      </c>
      <c r="H67" s="148">
        <f t="shared" ref="H67:H69" si="47">AVERAGE(G67,I67)</f>
        <v>1496.4627999999998</v>
      </c>
      <c r="I67" s="148">
        <f t="shared" ref="I67:I69" si="48">E67*30</f>
        <v>1951.9079999999999</v>
      </c>
      <c r="J67" s="147">
        <f t="shared" ref="J67:J69" si="49">F67*3</f>
        <v>1778.06841383342</v>
      </c>
      <c r="K67" s="148">
        <f t="shared" ref="K67:K69" si="50">AVERAGE(J67,L67)</f>
        <v>2459.6613058028979</v>
      </c>
      <c r="L67" s="147">
        <f t="shared" ref="L67:L69" si="51">F67*5.3</f>
        <v>3141.2541977723754</v>
      </c>
      <c r="M67" s="148">
        <f t="shared" ref="M67:M69" si="52">H67*60%+K67*40%</f>
        <v>1881.7422023211591</v>
      </c>
      <c r="T67" s="107" t="s">
        <v>177</v>
      </c>
      <c r="U67" s="149">
        <v>0.58299999999999996</v>
      </c>
      <c r="W67" s="34"/>
      <c r="X67" s="22"/>
    </row>
    <row r="68" spans="1:24" ht="15.75" customHeight="1">
      <c r="A68" s="150"/>
      <c r="B68" s="145" t="s">
        <v>178</v>
      </c>
      <c r="C68" s="151">
        <f>FV(C64,4,0,-C67,0)</f>
        <v>19772.264679698692</v>
      </c>
      <c r="D68" s="151">
        <f t="shared" si="45"/>
        <v>3059.6184454869563</v>
      </c>
      <c r="E68" s="151">
        <f>D68*E67/D67</f>
        <v>158.54240062737932</v>
      </c>
      <c r="F68" s="152">
        <f>FV(15%,4,0,-F67,0)</f>
        <v>1036.6175895740789</v>
      </c>
      <c r="G68" s="148">
        <f t="shared" si="46"/>
        <v>2536.6784100380692</v>
      </c>
      <c r="H68" s="148">
        <f t="shared" si="47"/>
        <v>3646.4752144297245</v>
      </c>
      <c r="I68" s="148">
        <f t="shared" si="48"/>
        <v>4756.2720188213798</v>
      </c>
      <c r="J68" s="147">
        <f t="shared" si="49"/>
        <v>3109.8527687222368</v>
      </c>
      <c r="K68" s="148">
        <f t="shared" si="50"/>
        <v>4301.9629967324272</v>
      </c>
      <c r="L68" s="147">
        <f t="shared" si="51"/>
        <v>5494.0732247426176</v>
      </c>
      <c r="M68" s="148">
        <f t="shared" si="52"/>
        <v>3908.6703273508056</v>
      </c>
      <c r="T68" s="107" t="s">
        <v>179</v>
      </c>
      <c r="U68" s="137">
        <v>0.2142</v>
      </c>
      <c r="W68" s="34"/>
      <c r="X68" s="22"/>
    </row>
    <row r="69" spans="1:24" ht="15.75" customHeight="1">
      <c r="A69" s="144"/>
      <c r="B69" s="145" t="s">
        <v>180</v>
      </c>
      <c r="C69" s="151">
        <f t="shared" ref="C69:E69" si="53">FV(12%,5,0,-C68,0)</f>
        <v>34845.486216296114</v>
      </c>
      <c r="D69" s="151">
        <f t="shared" si="53"/>
        <v>5392.0931211692514</v>
      </c>
      <c r="E69" s="151">
        <f t="shared" si="53"/>
        <v>279.40588118022447</v>
      </c>
      <c r="F69" s="152">
        <f>FV(12%,5,0,-F68,0)</f>
        <v>1826.8743876447095</v>
      </c>
      <c r="G69" s="148">
        <f t="shared" si="46"/>
        <v>4470.4940988835915</v>
      </c>
      <c r="H69" s="148">
        <f t="shared" si="47"/>
        <v>6426.335267145163</v>
      </c>
      <c r="I69" s="148">
        <f t="shared" si="48"/>
        <v>8382.1764354067345</v>
      </c>
      <c r="J69" s="147">
        <f t="shared" si="49"/>
        <v>5480.6231629341282</v>
      </c>
      <c r="K69" s="148">
        <f t="shared" si="50"/>
        <v>7581.5287087255438</v>
      </c>
      <c r="L69" s="147">
        <f t="shared" si="51"/>
        <v>9682.4342545169602</v>
      </c>
      <c r="M69" s="148">
        <f t="shared" si="52"/>
        <v>6888.4126437773157</v>
      </c>
      <c r="T69" s="107" t="s">
        <v>181</v>
      </c>
      <c r="U69" s="137">
        <v>0.12690000000000001</v>
      </c>
      <c r="W69" s="34"/>
      <c r="X69" s="22"/>
    </row>
    <row r="70" spans="1:24" ht="15.75" customHeight="1">
      <c r="T70" s="107" t="s">
        <v>182</v>
      </c>
      <c r="U70" s="137">
        <v>7.5999999999999998E-2</v>
      </c>
      <c r="W70" s="34"/>
      <c r="X70" s="22"/>
    </row>
    <row r="71" spans="1:24" ht="15.75" customHeight="1">
      <c r="B71" s="153" t="s">
        <v>5</v>
      </c>
      <c r="C71" s="153" t="s">
        <v>6</v>
      </c>
      <c r="D71" s="153" t="s">
        <v>183</v>
      </c>
      <c r="E71" s="153" t="s">
        <v>184</v>
      </c>
      <c r="F71" s="153" t="s">
        <v>185</v>
      </c>
      <c r="J71" s="22"/>
      <c r="K71" s="22"/>
      <c r="X71" s="22"/>
    </row>
    <row r="72" spans="1:24" ht="15.75" customHeight="1">
      <c r="B72" s="3" t="s">
        <v>26</v>
      </c>
      <c r="C72" s="154">
        <f ca="1">IFERROR(__xludf.DUMMYFUNCTION("GOOGLEFINANCE(""NSE:""&amp;B72,""price"")"),2396.1)</f>
        <v>2396.1</v>
      </c>
      <c r="D72" s="155">
        <v>1.0500000000000001E-2</v>
      </c>
      <c r="E72" s="156">
        <f ca="1">IFERROR(MAX(0.25, MIN(1,1.25 - 0.5*(C72/M67))),"")</f>
        <v>0.61332936651886416</v>
      </c>
      <c r="F72" s="157">
        <f ca="1">D72*E72</f>
        <v>6.4399583484480742E-3</v>
      </c>
      <c r="T72" s="107" t="s">
        <v>186</v>
      </c>
      <c r="U72" s="158">
        <f>SUM(U67:U70)</f>
        <v>1.0001</v>
      </c>
      <c r="W72" s="34"/>
    </row>
    <row r="73" spans="1:24" ht="15.75" customHeight="1"/>
    <row r="74" spans="1:24" ht="15.75" customHeight="1">
      <c r="T74" s="22"/>
    </row>
    <row r="75" spans="1:24" ht="15.75" customHeight="1">
      <c r="T75" s="22"/>
    </row>
    <row r="76" spans="1:24" ht="15.75" customHeight="1">
      <c r="T76" s="22"/>
    </row>
    <row r="77" spans="1:24" ht="15.75" customHeight="1"/>
    <row r="78" spans="1:24" ht="15.75" customHeight="1"/>
    <row r="79" spans="1:24" ht="15.75" customHeight="1">
      <c r="L79" s="22"/>
    </row>
    <row r="80" spans="1:24" ht="15.75" customHeight="1">
      <c r="B80" s="159"/>
      <c r="L80" s="22"/>
    </row>
    <row r="81" spans="8:15" ht="15.75" customHeight="1">
      <c r="H81" s="63"/>
      <c r="I81" s="22"/>
      <c r="J81" s="22"/>
      <c r="K81" s="22"/>
      <c r="L81" s="22"/>
      <c r="M81" s="22"/>
    </row>
    <row r="82" spans="8:15" ht="15.75" customHeight="1">
      <c r="J82" s="22"/>
      <c r="K82" s="22"/>
      <c r="L82" s="22"/>
      <c r="M82" s="22"/>
    </row>
    <row r="83" spans="8:15" ht="15.75" customHeight="1">
      <c r="J83" s="22"/>
      <c r="K83" s="22"/>
      <c r="L83" s="22"/>
      <c r="M83" s="22"/>
    </row>
    <row r="84" spans="8:15" ht="15.75" customHeight="1">
      <c r="J84" s="22"/>
      <c r="K84" s="22"/>
      <c r="L84" s="22"/>
      <c r="M84" s="22"/>
    </row>
    <row r="85" spans="8:15" ht="15.75" customHeight="1">
      <c r="J85" s="22"/>
      <c r="K85" s="22"/>
      <c r="L85" s="22"/>
      <c r="M85" s="22"/>
    </row>
    <row r="86" spans="8:15" ht="15.75" customHeight="1">
      <c r="J86" s="22"/>
      <c r="K86" s="22"/>
      <c r="L86" s="22"/>
      <c r="M86" s="22"/>
    </row>
    <row r="87" spans="8:15" ht="15.75" customHeight="1">
      <c r="J87" s="22"/>
      <c r="K87" s="22"/>
      <c r="L87" s="22"/>
      <c r="M87" s="22"/>
    </row>
    <row r="88" spans="8:15" ht="15.75" customHeight="1">
      <c r="J88" s="22"/>
      <c r="K88" s="22"/>
      <c r="L88" s="22"/>
      <c r="M88" s="22"/>
    </row>
    <row r="89" spans="8:15" ht="15.75" customHeight="1">
      <c r="J89" s="22"/>
      <c r="K89" s="22"/>
      <c r="L89" s="22"/>
      <c r="M89" s="22"/>
    </row>
    <row r="90" spans="8:15" ht="15.75" customHeight="1">
      <c r="J90" s="63"/>
      <c r="K90" s="63"/>
      <c r="L90" s="63"/>
      <c r="M90" s="63"/>
    </row>
    <row r="91" spans="8:15" ht="15.75" customHeight="1"/>
    <row r="92" spans="8:15" ht="15.75" customHeight="1">
      <c r="M92" s="22"/>
    </row>
    <row r="93" spans="8:15" ht="15.75" customHeight="1">
      <c r="M93" s="22"/>
      <c r="O93" s="54"/>
    </row>
    <row r="94" spans="8:15" ht="15.75" customHeight="1">
      <c r="M94" s="22"/>
    </row>
    <row r="95" spans="8:15" ht="15.75" customHeight="1"/>
    <row r="96" spans="8:15" ht="15.75" customHeight="1"/>
    <row r="97" spans="2:16" ht="15.75" customHeight="1"/>
    <row r="98" spans="2:16" ht="15.75" customHeight="1"/>
    <row r="99" spans="2:16" ht="15.75" customHeight="1"/>
    <row r="100" spans="2:16" ht="15.75" customHeight="1">
      <c r="B100" s="160" t="s">
        <v>187</v>
      </c>
      <c r="C100" s="161"/>
      <c r="D100" s="161"/>
      <c r="E100" s="161"/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2"/>
    </row>
    <row r="101" spans="2:16" ht="15.75" customHeight="1">
      <c r="B101" s="163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164"/>
    </row>
    <row r="102" spans="2:16" ht="15.75" customHeight="1">
      <c r="B102" s="165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67"/>
    </row>
    <row r="103" spans="2:16" ht="15.75" customHeight="1"/>
    <row r="104" spans="2:16" ht="15.75" customHeight="1"/>
    <row r="105" spans="2:16" ht="15.75" customHeight="1"/>
    <row r="106" spans="2:16" ht="15.75" customHeight="1"/>
    <row r="107" spans="2:16" ht="15.75" customHeight="1"/>
    <row r="108" spans="2:16" ht="15.75" customHeight="1"/>
    <row r="109" spans="2:16" ht="15.75" customHeight="1"/>
    <row r="110" spans="2:16" ht="15.75" customHeight="1"/>
    <row r="111" spans="2:16" ht="15.75" customHeight="1"/>
    <row r="112" spans="2:16" ht="15.75" customHeight="1">
      <c r="B112" s="65" t="s">
        <v>166</v>
      </c>
      <c r="C112" s="65" t="s">
        <v>167</v>
      </c>
      <c r="D112" s="65" t="s">
        <v>168</v>
      </c>
      <c r="E112" s="65" t="s">
        <v>11</v>
      </c>
      <c r="F112" s="3"/>
    </row>
    <row r="113" spans="2:11" ht="15.75" customHeight="1">
      <c r="B113" s="37" t="s">
        <v>98</v>
      </c>
      <c r="C113" s="3">
        <v>8295</v>
      </c>
      <c r="D113" s="3">
        <v>1435</v>
      </c>
      <c r="E113" s="51">
        <v>74.25</v>
      </c>
      <c r="F113" s="3"/>
      <c r="I113" s="22"/>
      <c r="J113" s="22"/>
      <c r="K113" s="54"/>
    </row>
    <row r="114" spans="2:11" ht="15.75" customHeight="1">
      <c r="B114" s="37" t="s">
        <v>99</v>
      </c>
      <c r="C114" s="51">
        <v>9759</v>
      </c>
      <c r="D114" s="51">
        <v>1057</v>
      </c>
      <c r="E114" s="51">
        <v>54.7</v>
      </c>
      <c r="F114" s="3"/>
      <c r="I114" s="54"/>
      <c r="J114" s="54"/>
      <c r="K114" s="54"/>
    </row>
    <row r="115" spans="2:11" ht="15.75" customHeight="1">
      <c r="B115" s="65" t="s">
        <v>166</v>
      </c>
      <c r="C115" s="65" t="s">
        <v>167</v>
      </c>
      <c r="D115" s="65" t="s">
        <v>168</v>
      </c>
      <c r="E115" s="65" t="s">
        <v>11</v>
      </c>
      <c r="F115" s="65" t="s">
        <v>188</v>
      </c>
    </row>
    <row r="116" spans="2:11" ht="15.75" customHeight="1">
      <c r="B116" s="3" t="s">
        <v>100</v>
      </c>
      <c r="C116" s="168">
        <v>9271.0499999999993</v>
      </c>
      <c r="D116" s="168">
        <v>1362.8443499999998</v>
      </c>
      <c r="E116" s="168">
        <v>70.527517450331118</v>
      </c>
      <c r="F116" s="168">
        <v>1354.4172937898563</v>
      </c>
    </row>
    <row r="117" spans="2:11" ht="15.75" customHeight="1">
      <c r="B117" s="3" t="s">
        <v>178</v>
      </c>
      <c r="C117" s="168">
        <v>21760.219923019435</v>
      </c>
      <c r="D117" s="168">
        <v>3222.5938189746958</v>
      </c>
      <c r="E117" s="168">
        <v>166.7699923348305</v>
      </c>
      <c r="F117" s="168">
        <v>3202.6671272325602</v>
      </c>
    </row>
    <row r="118" spans="2:11" ht="15.75" customHeight="1">
      <c r="B118" s="3" t="s">
        <v>180</v>
      </c>
      <c r="C118" s="168">
        <v>38348.942605936259</v>
      </c>
      <c r="D118" s="168">
        <v>5679.3114152017833</v>
      </c>
      <c r="E118" s="168">
        <v>293.90570899861643</v>
      </c>
      <c r="F118" s="168">
        <v>5644.1937757363412</v>
      </c>
      <c r="H118" s="169"/>
    </row>
    <row r="119" spans="2:11" ht="15.75" customHeight="1"/>
    <row r="120" spans="2:11" ht="15.75" customHeight="1"/>
    <row r="121" spans="2:11" ht="15.75" customHeight="1"/>
    <row r="122" spans="2:11" ht="15.75" customHeight="1"/>
    <row r="123" spans="2:11" ht="15.75" customHeight="1"/>
    <row r="124" spans="2:11" ht="15.75" customHeight="1"/>
    <row r="125" spans="2:11" ht="15.75" customHeight="1"/>
    <row r="126" spans="2:11" ht="15.75" customHeight="1"/>
    <row r="127" spans="2:11" ht="15.75" customHeight="1"/>
    <row r="128" spans="2:11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2">
    <mergeCell ref="S48:S50"/>
    <mergeCell ref="B100:P102"/>
  </mergeCells>
  <conditionalFormatting sqref="C12:C38">
    <cfRule type="colorScale" priority="1">
      <colorScale>
        <cfvo type="min"/>
        <cfvo type="max"/>
        <color rgb="FFFFFFFF"/>
        <color rgb="FF57BB8A"/>
      </colorScale>
    </cfRule>
  </conditionalFormatting>
  <conditionalFormatting sqref="C111:C117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41:D45 F41:J45 M41:M45">
    <cfRule type="colorScale" priority="2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63:E65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50:F50">
    <cfRule type="colorScale" priority="2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2:D38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11:D117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12:E38 K12:L38">
    <cfRule type="colorScale" priority="7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E12:E38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41:E45">
    <cfRule type="colorScale" priority="2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12:F38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63:F65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2:G38 I12:J38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2:G38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17:H38">
    <cfRule type="colorScale" priority="1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48:M48">
    <cfRule type="colorScale" priority="2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41:L45">
    <cfRule type="colorScale" priority="24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M16:M38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N16:O38">
    <cfRule type="colorScale" priority="19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N41:O45">
    <cfRule type="colorScale" priority="25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R54:R56 T54:T56 V54:V57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U65:U70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W49:W50 E52:E60 O52:O60 J59">
    <cfRule type="colorScale" priority="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AA52:AA60 W51 Z61 AA63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AB52:AB60 X51 AA61 AB63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hyperlinks>
    <hyperlink ref="B100" r:id="rId1" xr:uid="{BC4C323E-47D7-4C61-8597-DC1F152816AB}"/>
  </hyperlinks>
  <pageMargins left="0.7" right="0.7" top="0.75" bottom="0.75" header="0" footer="0"/>
  <pageSetup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BALKRISIND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2025-08-22T08:37:52Z</dcterms:created>
  <dcterms:modified xsi:type="dcterms:W3CDTF">2025-08-22T08:38:10Z</dcterms:modified>
</cp:coreProperties>
</file>