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7C369055-43F4-44AC-898F-6988BB463112}" xr6:coauthVersionLast="47" xr6:coauthVersionMax="47" xr10:uidLastSave="{00000000-0000-0000-0000-000000000000}"/>
  <bookViews>
    <workbookView xWindow="-108" yWindow="-108" windowWidth="23256" windowHeight="12456" xr2:uid="{5CDC43B9-AF13-4B84-A2AC-9A58B571C955}"/>
  </bookViews>
  <sheets>
    <sheet name="BALKRISIND" sheetId="1" r:id="rId1"/>
    <sheet name="Tyres &amp; Rubber Product" sheetId="2" r:id="rId2"/>
  </sheets>
  <externalReferences>
    <externalReference r:id="rId3"/>
  </externalReferences>
  <definedNames>
    <definedName name="_xlnm._FilterDatabase" localSheetId="1" hidden="1">'Tyres &amp; Rubber Product'!$A$1:$AO$18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0" i="2" l="1"/>
  <c r="K180" i="2"/>
  <c r="H178" i="2"/>
  <c r="G178" i="2"/>
  <c r="F178" i="2"/>
  <c r="H177" i="2"/>
  <c r="G177" i="2"/>
  <c r="F177" i="2"/>
  <c r="H176" i="2"/>
  <c r="G176" i="2"/>
  <c r="F176" i="2"/>
  <c r="H175" i="2"/>
  <c r="G175" i="2"/>
  <c r="F175" i="2"/>
  <c r="H174" i="2"/>
  <c r="G174" i="2"/>
  <c r="F174" i="2"/>
  <c r="H173" i="2"/>
  <c r="G173" i="2"/>
  <c r="F173" i="2"/>
  <c r="H172" i="2"/>
  <c r="H180" i="2" s="1"/>
  <c r="G172" i="2"/>
  <c r="G180" i="2" s="1"/>
  <c r="F172" i="2"/>
  <c r="F180" i="2" s="1"/>
  <c r="Q38" i="2"/>
  <c r="M38" i="2"/>
  <c r="I38" i="2"/>
  <c r="E22" i="2"/>
  <c r="AN18" i="2"/>
  <c r="AF18" i="2"/>
  <c r="X18" i="2"/>
  <c r="AD18" i="2" s="1"/>
  <c r="W18" i="2"/>
  <c r="V18" i="2"/>
  <c r="U18" i="2"/>
  <c r="AC18" i="2" s="1"/>
  <c r="T18" i="2"/>
  <c r="S18" i="2"/>
  <c r="Y18" i="2" s="1"/>
  <c r="R18" i="2"/>
  <c r="Q18" i="2"/>
  <c r="AB18" i="2" s="1"/>
  <c r="P18" i="2"/>
  <c r="AA18" i="2" s="1"/>
  <c r="M18" i="2"/>
  <c r="L18" i="2"/>
  <c r="K18" i="2"/>
  <c r="AG18" i="2" s="1"/>
  <c r="J18" i="2"/>
  <c r="AI18" i="2" s="1"/>
  <c r="I18" i="2"/>
  <c r="AJ18" i="2" s="1"/>
  <c r="H18" i="2"/>
  <c r="AH18" i="2" s="1"/>
  <c r="G18" i="2"/>
  <c r="AK18" i="2" s="1"/>
  <c r="F18" i="2"/>
  <c r="E18" i="2"/>
  <c r="AE18" i="2" s="1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AN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N8" i="2"/>
  <c r="AM8" i="2" s="1"/>
  <c r="D8" i="2"/>
  <c r="C8" i="2"/>
  <c r="AO8" i="2" s="1"/>
  <c r="AN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N7" i="2"/>
  <c r="AM7" i="2" s="1"/>
  <c r="D7" i="2"/>
  <c r="C7" i="2"/>
  <c r="AN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N6" i="2"/>
  <c r="AM6" i="2" s="1"/>
  <c r="D6" i="2"/>
  <c r="C6" i="2"/>
  <c r="AN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N5" i="2"/>
  <c r="AM5" i="2" s="1"/>
  <c r="D5" i="2"/>
  <c r="C5" i="2"/>
  <c r="AO5" i="2" s="1"/>
  <c r="AN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N4" i="2"/>
  <c r="D4" i="2"/>
  <c r="C4" i="2"/>
  <c r="AL4" i="2" s="1"/>
  <c r="AN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N3" i="2"/>
  <c r="D3" i="2"/>
  <c r="C3" i="2"/>
  <c r="AO3" i="2" s="1"/>
  <c r="AO2" i="2"/>
  <c r="AN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N2" i="2"/>
  <c r="D2" i="2"/>
  <c r="D18" i="2" s="1"/>
  <c r="C2" i="2"/>
  <c r="N72" i="1"/>
  <c r="O63" i="1"/>
  <c r="N63" i="1"/>
  <c r="Q63" i="1" s="1"/>
  <c r="Q61" i="1"/>
  <c r="P61" i="1"/>
  <c r="Q60" i="1"/>
  <c r="P60" i="1"/>
  <c r="Q59" i="1"/>
  <c r="Q58" i="1"/>
  <c r="P58" i="1"/>
  <c r="Q57" i="1"/>
  <c r="P57" i="1"/>
  <c r="Q56" i="1"/>
  <c r="P56" i="1"/>
  <c r="Q55" i="1"/>
  <c r="P55" i="1"/>
  <c r="Q54" i="1"/>
  <c r="P54" i="1"/>
  <c r="T50" i="1"/>
  <c r="S50" i="1"/>
  <c r="U50" i="1" s="1"/>
  <c r="O50" i="1"/>
  <c r="N50" i="1"/>
  <c r="P50" i="1" s="1"/>
  <c r="U49" i="1"/>
  <c r="T49" i="1"/>
  <c r="S49" i="1"/>
  <c r="O49" i="1"/>
  <c r="P49" i="1" s="1"/>
  <c r="N49" i="1"/>
  <c r="U48" i="1"/>
  <c r="P48" i="1"/>
  <c r="C48" i="1"/>
  <c r="E3" i="1" s="1"/>
  <c r="U47" i="1"/>
  <c r="P47" i="1"/>
  <c r="U46" i="1"/>
  <c r="P46" i="1"/>
  <c r="H46" i="1"/>
  <c r="U45" i="1"/>
  <c r="P45" i="1"/>
  <c r="U44" i="1"/>
  <c r="P44" i="1"/>
  <c r="B9" i="1" s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C45" i="1" s="1"/>
  <c r="C49" i="1" s="1"/>
  <c r="R35" i="1"/>
  <c r="K35" i="1"/>
  <c r="J41" i="1" s="1"/>
  <c r="J35" i="1"/>
  <c r="I41" i="1" s="1"/>
  <c r="I35" i="1"/>
  <c r="H41" i="1" s="1"/>
  <c r="K34" i="1"/>
  <c r="J34" i="1"/>
  <c r="I34" i="1"/>
  <c r="K33" i="1"/>
  <c r="J33" i="1"/>
  <c r="I33" i="1"/>
  <c r="T32" i="1"/>
  <c r="Q32" i="1"/>
  <c r="N32" i="1"/>
  <c r="K32" i="1"/>
  <c r="J32" i="1"/>
  <c r="I32" i="1"/>
  <c r="K31" i="1"/>
  <c r="J31" i="1"/>
  <c r="I40" i="1" s="1"/>
  <c r="K40" i="1" s="1"/>
  <c r="I31" i="1"/>
  <c r="K30" i="1"/>
  <c r="J40" i="1" s="1"/>
  <c r="J30" i="1"/>
  <c r="I30" i="1"/>
  <c r="H40" i="1" s="1"/>
  <c r="K29" i="1"/>
  <c r="J29" i="1"/>
  <c r="I29" i="1"/>
  <c r="K28" i="1"/>
  <c r="J28" i="1"/>
  <c r="I28" i="1"/>
  <c r="K27" i="1"/>
  <c r="J27" i="1"/>
  <c r="I27" i="1"/>
  <c r="K26" i="1"/>
  <c r="J26" i="1"/>
  <c r="I26" i="1"/>
  <c r="H39" i="1" s="1"/>
  <c r="K25" i="1"/>
  <c r="J39" i="1" s="1"/>
  <c r="J25" i="1"/>
  <c r="I39" i="1" s="1"/>
  <c r="I25" i="1"/>
  <c r="O24" i="1"/>
  <c r="N24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H38" i="1" s="1"/>
  <c r="K17" i="1"/>
  <c r="J17" i="1"/>
  <c r="I17" i="1"/>
  <c r="K16" i="1"/>
  <c r="J16" i="1"/>
  <c r="I16" i="1"/>
  <c r="K15" i="1"/>
  <c r="J38" i="1" s="1"/>
  <c r="J15" i="1"/>
  <c r="I38" i="1" s="1"/>
  <c r="I15" i="1"/>
  <c r="K14" i="1"/>
  <c r="J14" i="1"/>
  <c r="I14" i="1"/>
  <c r="K13" i="1"/>
  <c r="J13" i="1"/>
  <c r="I13" i="1"/>
  <c r="K12" i="1"/>
  <c r="J12" i="1"/>
  <c r="I12" i="1"/>
  <c r="T9" i="1"/>
  <c r="S9" i="1"/>
  <c r="R9" i="1"/>
  <c r="O9" i="1"/>
  <c r="I9" i="1"/>
  <c r="H9" i="1"/>
  <c r="G9" i="1"/>
  <c r="E9" i="1"/>
  <c r="D9" i="1"/>
  <c r="C9" i="1"/>
  <c r="V5" i="1"/>
  <c r="U5" i="1"/>
  <c r="T5" i="1"/>
  <c r="S5" i="1"/>
  <c r="R5" i="1"/>
  <c r="Q5" i="1"/>
  <c r="P5" i="1"/>
  <c r="O5" i="1"/>
  <c r="N5" i="1"/>
  <c r="M5" i="1"/>
  <c r="L5" i="1"/>
  <c r="J5" i="1"/>
  <c r="I5" i="1"/>
  <c r="G5" i="1"/>
  <c r="V4" i="1"/>
  <c r="P4" i="1"/>
  <c r="K4" i="1"/>
  <c r="H4" i="1"/>
  <c r="F4" i="1"/>
  <c r="E4" i="1"/>
  <c r="V3" i="1"/>
  <c r="P3" i="1"/>
  <c r="K3" i="1"/>
  <c r="K5" i="1" s="1"/>
  <c r="D3" i="1"/>
  <c r="C3" i="1"/>
  <c r="C5" i="1" s="1"/>
  <c r="AM4" i="2" l="1"/>
  <c r="AL6" i="2"/>
  <c r="AL3" i="2"/>
  <c r="AL18" i="2" s="1"/>
  <c r="AL7" i="2"/>
  <c r="AO7" i="2"/>
  <c r="N18" i="2"/>
  <c r="AO4" i="2"/>
  <c r="AL2" i="2"/>
  <c r="AL8" i="2"/>
  <c r="O8" i="2"/>
  <c r="O3" i="2"/>
  <c r="O9" i="2"/>
  <c r="O13" i="2"/>
  <c r="O16" i="2"/>
  <c r="O12" i="2"/>
  <c r="O4" i="2"/>
  <c r="O14" i="2"/>
  <c r="O7" i="2"/>
  <c r="O15" i="2"/>
  <c r="O5" i="2"/>
  <c r="O6" i="2"/>
  <c r="O10" i="2"/>
  <c r="AO18" i="2"/>
  <c r="O11" i="2"/>
  <c r="AL5" i="2"/>
  <c r="AO6" i="2"/>
  <c r="AM3" i="2"/>
  <c r="Z18" i="2"/>
  <c r="AM2" i="2"/>
  <c r="O2" i="2"/>
  <c r="K38" i="1"/>
  <c r="F45" i="1"/>
  <c r="K39" i="1"/>
  <c r="C50" i="1"/>
  <c r="D49" i="1"/>
  <c r="F9" i="1"/>
  <c r="E5" i="1"/>
  <c r="P9" i="1"/>
  <c r="D48" i="1"/>
  <c r="I46" i="1"/>
  <c r="K44" i="1" s="1"/>
  <c r="Q9" i="1" s="1"/>
  <c r="P59" i="1"/>
  <c r="P63" i="1"/>
  <c r="D4" i="1"/>
  <c r="D5" i="1" s="1"/>
  <c r="AM18" i="2" l="1"/>
  <c r="O18" i="2"/>
  <c r="D50" i="1"/>
  <c r="D44" i="1"/>
  <c r="E48" i="1"/>
  <c r="F3" i="1"/>
  <c r="K41" i="1"/>
  <c r="L9" i="1" l="1"/>
  <c r="K9" i="1"/>
  <c r="J9" i="1"/>
  <c r="F5" i="1"/>
  <c r="F48" i="1"/>
  <c r="H3" i="1"/>
  <c r="E44" i="1"/>
  <c r="J44" i="1"/>
  <c r="J46" i="1" s="1"/>
  <c r="E49" i="1"/>
  <c r="E50" i="1" l="1"/>
  <c r="F50" i="1" s="1"/>
  <c r="F49" i="1"/>
  <c r="N9" i="1"/>
  <c r="H5" i="1"/>
  <c r="M9" i="1"/>
</calcChain>
</file>

<file path=xl/sharedStrings.xml><?xml version="1.0" encoding="utf-8"?>
<sst xmlns="http://schemas.openxmlformats.org/spreadsheetml/2006/main" count="460" uniqueCount="225">
  <si>
    <t>MARKET</t>
  </si>
  <si>
    <t>FINANCIAL</t>
  </si>
  <si>
    <t>BALANCESHEET</t>
  </si>
  <si>
    <t>CASHFLOW</t>
  </si>
  <si>
    <t>DATA</t>
  </si>
  <si>
    <t>Company</t>
  </si>
  <si>
    <t>Price</t>
  </si>
  <si>
    <t>Marketcap</t>
  </si>
  <si>
    <t>Sales</t>
  </si>
  <si>
    <t>Profit</t>
  </si>
  <si>
    <t>FV</t>
  </si>
  <si>
    <t>F_EPS</t>
  </si>
  <si>
    <t>Equity</t>
  </si>
  <si>
    <t>Total Equity</t>
  </si>
  <si>
    <t>Borrowing</t>
  </si>
  <si>
    <t>Lease</t>
  </si>
  <si>
    <t>Cur.Assets</t>
  </si>
  <si>
    <t>Curr.Liabilites</t>
  </si>
  <si>
    <t>Assets</t>
  </si>
  <si>
    <t>Liabilities</t>
  </si>
  <si>
    <t>Trade Rec.</t>
  </si>
  <si>
    <t>PPE</t>
  </si>
  <si>
    <t>CFO</t>
  </si>
  <si>
    <t>CFI</t>
  </si>
  <si>
    <t>CFF</t>
  </si>
  <si>
    <t>NETCASHFLOW</t>
  </si>
  <si>
    <t>BALKRISIND</t>
  </si>
  <si>
    <t>Last Year_22</t>
  </si>
  <si>
    <t>Growth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</si>
  <si>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</si>
  <si>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</si>
  <si>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</si>
  <si>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</si>
  <si>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</si>
  <si>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</si>
  <si>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</si>
  <si>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</si>
  <si>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</si>
  <si>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TRADE CYC</t>
  </si>
  <si>
    <t>DEBT2EQUITY</t>
  </si>
  <si>
    <t>DEBTRATIO</t>
  </si>
  <si>
    <t>ICR</t>
  </si>
  <si>
    <t>ROE</t>
  </si>
  <si>
    <t>ROPE</t>
  </si>
  <si>
    <t>ROA</t>
  </si>
  <si>
    <t>F_PE</t>
  </si>
  <si>
    <t>F_YIELD%</t>
  </si>
  <si>
    <t>BOOKVALUE</t>
  </si>
  <si>
    <t>PBV</t>
  </si>
  <si>
    <t>PEG</t>
  </si>
  <si>
    <t>OCFR</t>
  </si>
  <si>
    <t>CFD</t>
  </si>
  <si>
    <t>FCF (INC R)</t>
  </si>
  <si>
    <t>Actual</t>
  </si>
  <si>
    <t>Year</t>
  </si>
  <si>
    <t>Revenue</t>
  </si>
  <si>
    <t>EPS</t>
  </si>
  <si>
    <t>EQUITY</t>
  </si>
  <si>
    <t>HighPrice</t>
  </si>
  <si>
    <t>LowPrice</t>
  </si>
  <si>
    <t>Margin %</t>
  </si>
  <si>
    <t>HPE</t>
  </si>
  <si>
    <t>LPE</t>
  </si>
  <si>
    <t>FY_2000</t>
  </si>
  <si>
    <t>FY_2001</t>
  </si>
  <si>
    <t>FY_2002</t>
  </si>
  <si>
    <t>FY_2003</t>
  </si>
  <si>
    <t>Bonus 1:1</t>
  </si>
  <si>
    <t>FY_2004</t>
  </si>
  <si>
    <t>FY_2005</t>
  </si>
  <si>
    <t>Bonus 1:2</t>
  </si>
  <si>
    <t>FY_2006</t>
  </si>
  <si>
    <t>FY_2007</t>
  </si>
  <si>
    <t>FY_2008</t>
  </si>
  <si>
    <t>FY_2009</t>
  </si>
  <si>
    <t>PRICE</t>
  </si>
  <si>
    <t>MRF</t>
  </si>
  <si>
    <t>BALKRISHNA</t>
  </si>
  <si>
    <t>SPLIT 10:2</t>
  </si>
  <si>
    <t>FY_2010</t>
  </si>
  <si>
    <t>PRICE CMP</t>
  </si>
  <si>
    <t>FY_2011</t>
  </si>
  <si>
    <t>PRICE 2004</t>
  </si>
  <si>
    <t>FY_2012</t>
  </si>
  <si>
    <t>X TIMES</t>
  </si>
  <si>
    <t>FY_2013</t>
  </si>
  <si>
    <t>DIVIDEND %</t>
  </si>
  <si>
    <t>FY_2014</t>
  </si>
  <si>
    <t>GEOGRAPHY</t>
  </si>
  <si>
    <t>9M_FY_24</t>
  </si>
  <si>
    <t>FY_2015</t>
  </si>
  <si>
    <t>SEGMENTAL</t>
  </si>
  <si>
    <t>CHANNEL</t>
  </si>
  <si>
    <t>EUROPE</t>
  </si>
  <si>
    <t>FY_2016</t>
  </si>
  <si>
    <t>AGRICULTURE</t>
  </si>
  <si>
    <t>REPLACEMENT</t>
  </si>
  <si>
    <t>AMERICA</t>
  </si>
  <si>
    <t>FY_2017</t>
  </si>
  <si>
    <t>OTR</t>
  </si>
  <si>
    <t>OEM</t>
  </si>
  <si>
    <t>INDIA</t>
  </si>
  <si>
    <t>FY_2018</t>
  </si>
  <si>
    <t>OTHERS</t>
  </si>
  <si>
    <t>ROW</t>
  </si>
  <si>
    <t>FY_2019</t>
  </si>
  <si>
    <t>FY_2020</t>
  </si>
  <si>
    <t>TOTAL</t>
  </si>
  <si>
    <t>FY_2021</t>
  </si>
  <si>
    <t>FY_2022</t>
  </si>
  <si>
    <t>TRAIL</t>
  </si>
  <si>
    <t>Q4_FY_23</t>
  </si>
  <si>
    <t>Q1_FY_24</t>
  </si>
  <si>
    <t>Q2_FY_24</t>
  </si>
  <si>
    <t>Q3_FY_24</t>
  </si>
  <si>
    <t>TRAIL_EPS</t>
  </si>
  <si>
    <t>FY_2023</t>
  </si>
  <si>
    <t>Margin</t>
  </si>
  <si>
    <t>FairPE</t>
  </si>
  <si>
    <t>TREND</t>
  </si>
  <si>
    <t>FY_23</t>
  </si>
  <si>
    <t>H1_FY_24</t>
  </si>
  <si>
    <t>EST-2024</t>
  </si>
  <si>
    <t>20 Year CAGR</t>
  </si>
  <si>
    <t>SALES</t>
  </si>
  <si>
    <t>10 Year CAGR</t>
  </si>
  <si>
    <t>PROFIT</t>
  </si>
  <si>
    <t>5 Year CAGR</t>
  </si>
  <si>
    <t>MARGIN</t>
  </si>
  <si>
    <t>CY Year</t>
  </si>
  <si>
    <t>VOLUME</t>
  </si>
  <si>
    <t>Estimate</t>
  </si>
  <si>
    <t>EPS_23</t>
  </si>
  <si>
    <t>T_EPS_24</t>
  </si>
  <si>
    <t>F_EPS_24</t>
  </si>
  <si>
    <t>9M_FY_23</t>
  </si>
  <si>
    <t>CAGR</t>
  </si>
  <si>
    <t>H1_FY_23</t>
  </si>
  <si>
    <t>Current Year</t>
  </si>
  <si>
    <t>LongTerm</t>
  </si>
  <si>
    <t>PE</t>
  </si>
  <si>
    <t>TRAILPE</t>
  </si>
  <si>
    <t>COST</t>
  </si>
  <si>
    <t>Finance</t>
  </si>
  <si>
    <t>F-YEAR</t>
  </si>
  <si>
    <t>Total Income</t>
  </si>
  <si>
    <t>NET PROFIT</t>
  </si>
  <si>
    <t>Fairvalue</t>
  </si>
  <si>
    <t>Net Profit</t>
  </si>
  <si>
    <t>FY_2024</t>
  </si>
  <si>
    <t>FY_2030</t>
  </si>
  <si>
    <t>FY_2035</t>
  </si>
  <si>
    <t>Major Cost</t>
  </si>
  <si>
    <t>Head</t>
  </si>
  <si>
    <t>Share</t>
  </si>
  <si>
    <t>Raw Material</t>
  </si>
  <si>
    <t>Others</t>
  </si>
  <si>
    <t>Depreciation</t>
  </si>
  <si>
    <t>Employee</t>
  </si>
  <si>
    <t>FREIGHT&amp;FORWARDING</t>
  </si>
  <si>
    <t>stock in trade</t>
  </si>
  <si>
    <t>FINANCE</t>
  </si>
  <si>
    <t>Inventory</t>
  </si>
  <si>
    <t>Total</t>
  </si>
  <si>
    <t>SHP</t>
  </si>
  <si>
    <t>9M_FY24</t>
  </si>
  <si>
    <t>Promoters</t>
  </si>
  <si>
    <t>MF &amp; INSURANCE</t>
  </si>
  <si>
    <t>FII</t>
  </si>
  <si>
    <t>Retail</t>
  </si>
  <si>
    <t>NET</t>
  </si>
  <si>
    <t>WWW.PROFITFROMIT.IN</t>
  </si>
  <si>
    <t>Security Code</t>
  </si>
  <si>
    <t>COMPANY</t>
  </si>
  <si>
    <t>CMP</t>
  </si>
  <si>
    <t>market cap</t>
  </si>
  <si>
    <t>CUR ASSET</t>
  </si>
  <si>
    <t>CUR LIABILITY</t>
  </si>
  <si>
    <t>TOT. ASSET</t>
  </si>
  <si>
    <t>TOT. LIABILITY</t>
  </si>
  <si>
    <t>TOT. EQUITY</t>
  </si>
  <si>
    <t>BORROWING</t>
  </si>
  <si>
    <t>TRADE REC.</t>
  </si>
  <si>
    <t>Companies weightage</t>
  </si>
  <si>
    <t>SALES_18</t>
  </si>
  <si>
    <t>SALES_23</t>
  </si>
  <si>
    <t>PROFIT_23</t>
  </si>
  <si>
    <t>9M_FY24_SALES</t>
  </si>
  <si>
    <t>9M_FY23_SALES</t>
  </si>
  <si>
    <t>9M_FY24_PROFIT</t>
  </si>
  <si>
    <t>9M_FY23_PROFIT</t>
  </si>
  <si>
    <t>EXPENSE</t>
  </si>
  <si>
    <t>CY_SALES GR</t>
  </si>
  <si>
    <t>CY_PRPFIT_GR</t>
  </si>
  <si>
    <t>SALES_5Y_GR</t>
  </si>
  <si>
    <t>MARGIN_23</t>
  </si>
  <si>
    <t>CY_MARGIN</t>
  </si>
  <si>
    <t>CUR. RATIO</t>
  </si>
  <si>
    <t>TR.DAYS</t>
  </si>
  <si>
    <t>TRAIL_PE</t>
  </si>
  <si>
    <t>YIELD</t>
  </si>
  <si>
    <t>APOLLOTYRE</t>
  </si>
  <si>
    <t>JKTYRE</t>
  </si>
  <si>
    <t>CEATLTD</t>
  </si>
  <si>
    <t>TVSSRICHAK</t>
  </si>
  <si>
    <t>GOODYEAR</t>
  </si>
  <si>
    <t>RUBFILA</t>
  </si>
  <si>
    <t>INDAG</t>
  </si>
  <si>
    <t>MODIRUBBER</t>
  </si>
  <si>
    <t>TTIL</t>
  </si>
  <si>
    <t>DOLFIN</t>
  </si>
  <si>
    <t>MMRUBBR-B</t>
  </si>
  <si>
    <t>EASTRED</t>
  </si>
  <si>
    <t>COCHMAL</t>
  </si>
  <si>
    <t>INDUSTRY</t>
  </si>
  <si>
    <t>SEGMENT</t>
  </si>
  <si>
    <t>EST_FY_2032</t>
  </si>
  <si>
    <t>GROWTH 9Y</t>
  </si>
  <si>
    <t>MARKETCAP</t>
  </si>
  <si>
    <t>TYRES UNIT (CR)</t>
  </si>
  <si>
    <t>RETURN</t>
  </si>
  <si>
    <t>CAGR 10Y</t>
  </si>
  <si>
    <t>CAGR 20Y</t>
  </si>
  <si>
    <t>20Y -X</t>
  </si>
  <si>
    <t>YIELD@20Y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</si>
</sst>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;\(#,##0\)"/>
    <numFmt numFmtId="165" formatCode="m/d/yyyy\ h:mm:ss"/>
    <numFmt numFmtId="166" formatCode="0.0%"/>
    <numFmt numFmtId="167" formatCode="#,##0.0"/>
    <numFmt numFmtId="168" formatCode="#,##0.0;\(#,##0.0\)"/>
    <numFmt numFmtId="169" formatCode="0.0"/>
    <numFmt numFmtId="170" formatCode="&quot;Rs.&quot;\ #,##0.00;[Red]&quot;Rs.&quot;\ \-#,##0.00"/>
    <numFmt numFmtId="171" formatCode="&quot;$&quot;#,##0.00"/>
  </numFmts>
  <fonts count="30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Calibri"/>
      <scheme val="minor"/>
    </font>
    <font>
      <b/>
      <sz val="12"/>
      <color rgb="FF777777"/>
      <name val="&quot;Helvetica Neue&quot;"/>
    </font>
    <font>
      <sz val="11"/>
      <color theme="1"/>
      <name val="Calibri"/>
    </font>
    <font>
      <b/>
      <i/>
      <sz val="11"/>
      <color theme="1"/>
      <name val="Calibri"/>
      <scheme val="minor"/>
    </font>
    <font>
      <sz val="11"/>
      <color rgb="FFFFFFFF"/>
      <name val="Arial"/>
    </font>
    <font>
      <i/>
      <sz val="11"/>
      <color theme="1"/>
      <name val="Arial"/>
    </font>
    <font>
      <sz val="11"/>
      <color rgb="FF000000"/>
      <name val="Calibri"/>
      <scheme val="minor"/>
    </font>
    <font>
      <sz val="11"/>
      <color theme="1"/>
      <name val="Arial"/>
    </font>
    <font>
      <sz val="11"/>
      <color rgb="FFFFFFFF"/>
      <name val="Calibri"/>
      <scheme val="minor"/>
    </font>
    <font>
      <sz val="11"/>
      <color rgb="FF000000"/>
      <name val="Arial"/>
    </font>
    <font>
      <sz val="11"/>
      <color theme="0"/>
      <name val="Calibri"/>
      <scheme val="minor"/>
    </font>
    <font>
      <i/>
      <sz val="11"/>
      <color theme="1"/>
      <name val="Calibri"/>
      <scheme val="minor"/>
    </font>
    <font>
      <b/>
      <sz val="14"/>
      <color rgb="FFFFFFFF"/>
      <name val="Calibri"/>
    </font>
    <font>
      <sz val="34"/>
      <color theme="1"/>
      <name val="Calibri"/>
    </font>
    <font>
      <sz val="9"/>
      <color theme="1"/>
      <name val="Arial"/>
    </font>
    <font>
      <b/>
      <sz val="11"/>
      <color rgb="FFFFFFFF"/>
      <name val="Calibri"/>
    </font>
    <font>
      <b/>
      <sz val="11"/>
      <color theme="1"/>
      <name val="Arial"/>
    </font>
    <font>
      <b/>
      <sz val="11"/>
      <color theme="1"/>
      <name val="Calibri"/>
    </font>
    <font>
      <b/>
      <u/>
      <sz val="20"/>
      <color rgb="FFFFFFFF"/>
      <name val="Calibri"/>
    </font>
    <font>
      <sz val="11"/>
      <name val="Calibri"/>
    </font>
    <font>
      <sz val="10"/>
      <color rgb="FFFFFFFF"/>
      <name val="Calibri"/>
    </font>
    <font>
      <b/>
      <sz val="10"/>
      <color rgb="FFFFFFFF"/>
      <name val="Arial"/>
    </font>
    <font>
      <sz val="11"/>
      <color rgb="FF000000"/>
      <name val="Calibri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Calibri"/>
    </font>
    <font>
      <i/>
      <u/>
      <sz val="10"/>
      <color theme="1"/>
      <name val="Calibri"/>
    </font>
    <font>
      <u/>
      <sz val="17"/>
      <color rgb="FFFFFFFF"/>
      <name val="Arial"/>
    </font>
  </fonts>
  <fills count="30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FFFFF"/>
        <bgColor rgb="FFFFFFFF"/>
      </patternFill>
    </fill>
    <fill>
      <patternFill patternType="solid">
        <fgColor rgb="FF999999"/>
        <bgColor rgb="FF999999"/>
      </patternFill>
    </fill>
    <fill>
      <patternFill patternType="solid">
        <fgColor rgb="FF20124D"/>
        <bgColor rgb="FF20124D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1C4587"/>
        <bgColor rgb="FF1C4587"/>
      </patternFill>
    </fill>
    <fill>
      <patternFill patternType="solid">
        <fgColor rgb="FFF0B0AB"/>
        <bgColor rgb="FFF0B0AB"/>
      </patternFill>
    </fill>
    <fill>
      <patternFill patternType="solid">
        <fgColor rgb="FF99D6B8"/>
        <bgColor rgb="FF99D6B8"/>
      </patternFill>
    </fill>
    <fill>
      <patternFill patternType="solid">
        <fgColor rgb="FF57BB8A"/>
        <bgColor rgb="FF57BB8A"/>
      </patternFill>
    </fill>
    <fill>
      <patternFill patternType="solid">
        <fgColor theme="4"/>
        <bgColor theme="4"/>
      </patternFill>
    </fill>
    <fill>
      <patternFill patternType="solid">
        <fgColor rgb="FFE67C73"/>
        <bgColor rgb="FFE67C73"/>
      </patternFill>
    </fill>
    <fill>
      <patternFill patternType="solid">
        <fgColor rgb="FFEDA49E"/>
        <bgColor rgb="FFEDA49E"/>
      </patternFill>
    </fill>
    <fill>
      <patternFill patternType="solid">
        <fgColor rgb="FF71C69C"/>
        <bgColor rgb="FF71C69C"/>
      </patternFill>
    </fill>
    <fill>
      <patternFill patternType="solid">
        <fgColor rgb="FFEAF7F1"/>
        <bgColor rgb="FFEAF7F1"/>
      </patternFill>
    </fill>
    <fill>
      <patternFill patternType="solid">
        <fgColor rgb="FF92D3B3"/>
        <bgColor rgb="FF92D3B3"/>
      </patternFill>
    </fill>
    <fill>
      <patternFill patternType="solid">
        <fgColor rgb="FFF6D2CF"/>
        <bgColor rgb="FFF6D2CF"/>
      </patternFill>
    </fill>
    <fill>
      <patternFill patternType="solid">
        <fgColor rgb="FFFDF9F9"/>
        <bgColor rgb="FFFDF9F9"/>
      </patternFill>
    </fill>
    <fill>
      <patternFill patternType="solid">
        <fgColor rgb="FFF3BFBB"/>
        <bgColor rgb="FFF3BFBB"/>
      </patternFill>
    </fill>
    <fill>
      <patternFill patternType="solid">
        <fgColor rgb="FFFEFFFE"/>
        <bgColor rgb="FFFEFFFE"/>
      </patternFill>
    </fill>
    <fill>
      <patternFill patternType="solid">
        <fgColor rgb="FFF2FAF6"/>
        <bgColor rgb="FFF2FAF6"/>
      </patternFill>
    </fill>
    <fill>
      <patternFill patternType="solid">
        <fgColor rgb="FF4F81BD"/>
        <bgColor rgb="FF4F81BD"/>
      </patternFill>
    </fill>
    <fill>
      <patternFill patternType="solid">
        <fgColor rgb="FFEBF7F1"/>
        <bgColor rgb="FFEBF7F1"/>
      </patternFill>
    </fill>
    <fill>
      <patternFill patternType="solid">
        <fgColor rgb="FF59BC8B"/>
        <bgColor rgb="FF59BC8B"/>
      </patternFill>
    </fill>
    <fill>
      <patternFill patternType="solid">
        <fgColor rgb="FFFEFEFE"/>
        <bgColor rgb="FFFEFEFE"/>
      </patternFill>
    </fill>
    <fill>
      <patternFill patternType="solid">
        <fgColor rgb="FFFCFEFD"/>
        <bgColor rgb="FFFCFEFD"/>
      </patternFill>
    </fill>
    <fill>
      <patternFill patternType="solid">
        <fgColor rgb="FF4C1130"/>
        <bgColor rgb="FF4C1130"/>
      </patternFill>
    </fill>
    <fill>
      <patternFill patternType="solid">
        <fgColor rgb="FFCCCCCC"/>
        <bgColor rgb="FFCCCCCC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3" fillId="3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3" fontId="3" fillId="3" borderId="0" xfId="0" applyNumberFormat="1" applyFont="1" applyFill="1" applyAlignment="1">
      <alignment horizontal="right" wrapText="1"/>
    </xf>
    <xf numFmtId="0" fontId="4" fillId="0" borderId="0" xfId="0" applyFont="1"/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9" fontId="5" fillId="4" borderId="1" xfId="0" applyNumberFormat="1" applyFont="1" applyFill="1" applyBorder="1" applyAlignment="1">
      <alignment horizontal="center"/>
    </xf>
    <xf numFmtId="166" fontId="0" fillId="0" borderId="0" xfId="0" applyNumberFormat="1"/>
    <xf numFmtId="1" fontId="0" fillId="0" borderId="0" xfId="0" applyNumberFormat="1"/>
    <xf numFmtId="0" fontId="1" fillId="0" borderId="0" xfId="0" applyFont="1"/>
    <xf numFmtId="0" fontId="6" fillId="5" borderId="2" xfId="0" applyFont="1" applyFill="1" applyBorder="1"/>
    <xf numFmtId="0" fontId="4" fillId="0" borderId="2" xfId="0" applyFont="1" applyBorder="1"/>
    <xf numFmtId="166" fontId="4" fillId="0" borderId="2" xfId="0" applyNumberFormat="1" applyFont="1" applyBorder="1"/>
    <xf numFmtId="1" fontId="4" fillId="0" borderId="2" xfId="0" applyNumberFormat="1" applyFont="1" applyBorder="1"/>
    <xf numFmtId="1" fontId="6" fillId="5" borderId="2" xfId="0" applyNumberFormat="1" applyFont="1" applyFill="1" applyBorder="1"/>
    <xf numFmtId="9" fontId="7" fillId="6" borderId="3" xfId="0" applyNumberFormat="1" applyFont="1" applyFill="1" applyBorder="1" applyAlignment="1">
      <alignment horizontal="right"/>
    </xf>
    <xf numFmtId="9" fontId="7" fillId="6" borderId="4" xfId="0" applyNumberFormat="1" applyFont="1" applyFill="1" applyBorder="1" applyAlignment="1">
      <alignment horizontal="right"/>
    </xf>
    <xf numFmtId="167" fontId="7" fillId="6" borderId="4" xfId="0" applyNumberFormat="1" applyFont="1" applyFill="1" applyBorder="1" applyAlignment="1">
      <alignment horizontal="right"/>
    </xf>
    <xf numFmtId="3" fontId="7" fillId="6" borderId="4" xfId="0" applyNumberFormat="1" applyFont="1" applyFill="1" applyBorder="1" applyAlignment="1">
      <alignment horizontal="right"/>
    </xf>
    <xf numFmtId="166" fontId="7" fillId="6" borderId="4" xfId="0" applyNumberFormat="1" applyFont="1" applyFill="1" applyBorder="1" applyAlignment="1">
      <alignment horizontal="right"/>
    </xf>
    <xf numFmtId="9" fontId="0" fillId="0" borderId="0" xfId="0" applyNumberFormat="1"/>
    <xf numFmtId="9" fontId="1" fillId="0" borderId="0" xfId="0" applyNumberFormat="1" applyFont="1"/>
    <xf numFmtId="0" fontId="0" fillId="0" borderId="1" xfId="0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164" fontId="8" fillId="0" borderId="1" xfId="0" applyNumberFormat="1" applyFont="1" applyBorder="1"/>
    <xf numFmtId="168" fontId="8" fillId="0" borderId="1" xfId="0" applyNumberFormat="1" applyFont="1" applyBorder="1"/>
    <xf numFmtId="169" fontId="9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/>
    <xf numFmtId="0" fontId="10" fillId="2" borderId="1" xfId="0" applyFont="1" applyFill="1" applyBorder="1"/>
    <xf numFmtId="1" fontId="1" fillId="0" borderId="1" xfId="0" applyNumberFormat="1" applyFont="1" applyBorder="1"/>
    <xf numFmtId="49" fontId="0" fillId="0" borderId="1" xfId="0" applyNumberFormat="1" applyBorder="1" applyAlignment="1">
      <alignment horizontal="left" vertical="center"/>
    </xf>
    <xf numFmtId="0" fontId="5" fillId="6" borderId="1" xfId="0" applyFont="1" applyFill="1" applyBorder="1"/>
    <xf numFmtId="1" fontId="5" fillId="6" borderId="1" xfId="0" applyNumberFormat="1" applyFont="1" applyFill="1" applyBorder="1"/>
    <xf numFmtId="0" fontId="5" fillId="4" borderId="1" xfId="0" applyFont="1" applyFill="1" applyBorder="1"/>
    <xf numFmtId="9" fontId="5" fillId="4" borderId="1" xfId="0" applyNumberFormat="1" applyFont="1" applyFill="1" applyBorder="1"/>
    <xf numFmtId="170" fontId="1" fillId="0" borderId="0" xfId="0" applyNumberFormat="1" applyFont="1"/>
    <xf numFmtId="170" fontId="0" fillId="0" borderId="0" xfId="0" applyNumberFormat="1" applyAlignment="1">
      <alignment horizontal="center" vertical="center"/>
    </xf>
    <xf numFmtId="17" fontId="0" fillId="0" borderId="0" xfId="0" applyNumberFormat="1"/>
    <xf numFmtId="0" fontId="2" fillId="8" borderId="1" xfId="0" applyFont="1" applyFill="1" applyBorder="1"/>
    <xf numFmtId="0" fontId="8" fillId="0" borderId="1" xfId="0" applyFont="1" applyBorder="1"/>
    <xf numFmtId="9" fontId="0" fillId="0" borderId="1" xfId="0" applyNumberFormat="1" applyBorder="1"/>
    <xf numFmtId="1" fontId="1" fillId="0" borderId="0" xfId="0" applyNumberFormat="1" applyFont="1"/>
    <xf numFmtId="169" fontId="11" fillId="3" borderId="1" xfId="0" applyNumberFormat="1" applyFont="1" applyFill="1" applyBorder="1" applyAlignment="1">
      <alignment horizontal="right"/>
    </xf>
    <xf numFmtId="2" fontId="0" fillId="0" borderId="1" xfId="0" applyNumberFormat="1" applyBorder="1" applyAlignment="1">
      <alignment horizontal="left" vertical="center"/>
    </xf>
    <xf numFmtId="1" fontId="5" fillId="0" borderId="6" xfId="0" applyNumberFormat="1" applyFont="1" applyBorder="1"/>
    <xf numFmtId="9" fontId="5" fillId="0" borderId="6" xfId="0" applyNumberFormat="1" applyFont="1" applyBorder="1"/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/>
    <xf numFmtId="0" fontId="9" fillId="0" borderId="3" xfId="0" applyFont="1" applyBorder="1"/>
    <xf numFmtId="169" fontId="9" fillId="9" borderId="4" xfId="0" applyNumberFormat="1" applyFont="1" applyFill="1" applyBorder="1" applyAlignment="1">
      <alignment horizontal="right"/>
    </xf>
    <xf numFmtId="169" fontId="9" fillId="10" borderId="4" xfId="0" applyNumberFormat="1" applyFont="1" applyFill="1" applyBorder="1" applyAlignment="1">
      <alignment horizontal="right"/>
    </xf>
    <xf numFmtId="169" fontId="4" fillId="11" borderId="4" xfId="0" applyNumberFormat="1" applyFont="1" applyFill="1" applyBorder="1" applyAlignment="1">
      <alignment horizontal="right"/>
    </xf>
    <xf numFmtId="169" fontId="4" fillId="0" borderId="4" xfId="0" applyNumberFormat="1" applyFont="1" applyBorder="1" applyAlignment="1">
      <alignment horizontal="right"/>
    </xf>
    <xf numFmtId="0" fontId="10" fillId="12" borderId="1" xfId="0" applyFont="1" applyFill="1" applyBorder="1" applyAlignment="1">
      <alignment horizontal="left" vertical="center"/>
    </xf>
    <xf numFmtId="0" fontId="12" fillId="12" borderId="1" xfId="0" applyFont="1" applyFill="1" applyBorder="1" applyAlignment="1">
      <alignment horizontal="left" vertical="center"/>
    </xf>
    <xf numFmtId="1" fontId="10" fillId="12" borderId="1" xfId="0" applyNumberFormat="1" applyFont="1" applyFill="1" applyBorder="1" applyAlignment="1">
      <alignment horizontal="left" vertical="center"/>
    </xf>
    <xf numFmtId="10" fontId="1" fillId="0" borderId="0" xfId="0" applyNumberFormat="1" applyFont="1"/>
    <xf numFmtId="9" fontId="13" fillId="3" borderId="1" xfId="0" applyNumberFormat="1" applyFont="1" applyFill="1" applyBorder="1" applyAlignment="1">
      <alignment horizontal="right" vertical="center"/>
    </xf>
    <xf numFmtId="166" fontId="13" fillId="3" borderId="1" xfId="0" applyNumberFormat="1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1" fontId="13" fillId="3" borderId="1" xfId="0" applyNumberFormat="1" applyFont="1" applyFill="1" applyBorder="1"/>
    <xf numFmtId="1" fontId="9" fillId="0" borderId="3" xfId="0" applyNumberFormat="1" applyFont="1" applyBorder="1"/>
    <xf numFmtId="9" fontId="9" fillId="13" borderId="4" xfId="0" applyNumberFormat="1" applyFont="1" applyFill="1" applyBorder="1" applyAlignment="1">
      <alignment horizontal="right"/>
    </xf>
    <xf numFmtId="166" fontId="4" fillId="14" borderId="4" xfId="0" applyNumberFormat="1" applyFont="1" applyFill="1" applyBorder="1" applyAlignment="1">
      <alignment horizontal="right"/>
    </xf>
    <xf numFmtId="9" fontId="4" fillId="0" borderId="4" xfId="0" applyNumberFormat="1" applyFont="1" applyBorder="1" applyAlignment="1">
      <alignment horizontal="right"/>
    </xf>
    <xf numFmtId="2" fontId="1" fillId="0" borderId="0" xfId="0" applyNumberFormat="1" applyFont="1"/>
    <xf numFmtId="9" fontId="9" fillId="15" borderId="4" xfId="0" applyNumberFormat="1" applyFont="1" applyFill="1" applyBorder="1" applyAlignment="1">
      <alignment horizontal="right"/>
    </xf>
    <xf numFmtId="9" fontId="4" fillId="11" borderId="4" xfId="0" applyNumberFormat="1" applyFont="1" applyFill="1" applyBorder="1" applyAlignment="1">
      <alignment horizontal="right"/>
    </xf>
    <xf numFmtId="1" fontId="4" fillId="0" borderId="3" xfId="0" applyNumberFormat="1" applyFont="1" applyBorder="1"/>
    <xf numFmtId="166" fontId="4" fillId="11" borderId="4" xfId="0" applyNumberFormat="1" applyFont="1" applyFill="1" applyBorder="1" applyAlignment="1">
      <alignment horizontal="right"/>
    </xf>
    <xf numFmtId="166" fontId="4" fillId="16" borderId="4" xfId="0" applyNumberFormat="1" applyFont="1" applyFill="1" applyBorder="1" applyAlignment="1">
      <alignment horizontal="right"/>
    </xf>
    <xf numFmtId="166" fontId="4" fillId="0" borderId="4" xfId="0" applyNumberFormat="1" applyFont="1" applyBorder="1" applyAlignment="1">
      <alignment horizontal="right"/>
    </xf>
    <xf numFmtId="9" fontId="13" fillId="0" borderId="1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" fontId="13" fillId="0" borderId="1" xfId="0" applyNumberFormat="1" applyFont="1" applyBorder="1"/>
    <xf numFmtId="166" fontId="2" fillId="8" borderId="1" xfId="0" applyNumberFormat="1" applyFont="1" applyFill="1" applyBorder="1"/>
    <xf numFmtId="4" fontId="1" fillId="0" borderId="0" xfId="0" applyNumberFormat="1" applyFont="1"/>
    <xf numFmtId="0" fontId="2" fillId="1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66" fontId="1" fillId="0" borderId="1" xfId="0" applyNumberFormat="1" applyFont="1" applyBorder="1"/>
    <xf numFmtId="0" fontId="9" fillId="0" borderId="3" xfId="0" applyFont="1" applyBorder="1" applyAlignment="1">
      <alignment horizontal="center"/>
    </xf>
    <xf numFmtId="0" fontId="9" fillId="11" borderId="4" xfId="0" applyFont="1" applyFill="1" applyBorder="1" applyAlignment="1">
      <alignment horizontal="center"/>
    </xf>
    <xf numFmtId="3" fontId="9" fillId="17" borderId="4" xfId="0" applyNumberFormat="1" applyFont="1" applyFill="1" applyBorder="1" applyAlignment="1">
      <alignment horizontal="center"/>
    </xf>
    <xf numFmtId="169" fontId="15" fillId="6" borderId="0" xfId="0" applyNumberFormat="1" applyFont="1" applyFill="1" applyAlignment="1">
      <alignment horizontal="center"/>
    </xf>
    <xf numFmtId="4" fontId="16" fillId="3" borderId="3" xfId="0" applyNumberFormat="1" applyFont="1" applyFill="1" applyBorder="1" applyAlignment="1">
      <alignment wrapText="1"/>
    </xf>
    <xf numFmtId="1" fontId="9" fillId="0" borderId="4" xfId="0" applyNumberFormat="1" applyFont="1" applyBorder="1" applyAlignment="1">
      <alignment horizontal="right"/>
    </xf>
    <xf numFmtId="9" fontId="9" fillId="3" borderId="4" xfId="0" applyNumberFormat="1" applyFont="1" applyFill="1" applyBorder="1" applyAlignment="1">
      <alignment horizontal="right"/>
    </xf>
    <xf numFmtId="9" fontId="4" fillId="0" borderId="7" xfId="0" applyNumberFormat="1" applyFont="1" applyBorder="1"/>
    <xf numFmtId="4" fontId="16" fillId="3" borderId="4" xfId="0" applyNumberFormat="1" applyFont="1" applyFill="1" applyBorder="1" applyAlignment="1">
      <alignment wrapText="1"/>
    </xf>
    <xf numFmtId="9" fontId="9" fillId="18" borderId="4" xfId="0" applyNumberFormat="1" applyFont="1" applyFill="1" applyBorder="1" applyAlignment="1">
      <alignment horizontal="right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0" fillId="0" borderId="0" xfId="0"/>
    <xf numFmtId="3" fontId="16" fillId="3" borderId="3" xfId="0" applyNumberFormat="1" applyFont="1" applyFill="1" applyBorder="1" applyAlignment="1">
      <alignment wrapText="1"/>
    </xf>
    <xf numFmtId="9" fontId="9" fillId="19" borderId="4" xfId="0" applyNumberFormat="1" applyFont="1" applyFill="1" applyBorder="1" applyAlignment="1">
      <alignment horizontal="right"/>
    </xf>
    <xf numFmtId="0" fontId="16" fillId="3" borderId="4" xfId="0" applyFont="1" applyFill="1" applyBorder="1" applyAlignment="1">
      <alignment wrapText="1"/>
    </xf>
    <xf numFmtId="1" fontId="9" fillId="20" borderId="3" xfId="0" applyNumberFormat="1" applyFont="1" applyFill="1" applyBorder="1" applyAlignment="1">
      <alignment horizontal="center"/>
    </xf>
    <xf numFmtId="1" fontId="9" fillId="21" borderId="4" xfId="0" applyNumberFormat="1" applyFont="1" applyFill="1" applyBorder="1" applyAlignment="1">
      <alignment horizontal="center"/>
    </xf>
    <xf numFmtId="1" fontId="9" fillId="22" borderId="4" xfId="0" applyNumberFormat="1" applyFont="1" applyFill="1" applyBorder="1" applyAlignment="1">
      <alignment horizontal="center"/>
    </xf>
    <xf numFmtId="3" fontId="9" fillId="0" borderId="3" xfId="0" applyNumberFormat="1" applyFont="1" applyBorder="1"/>
    <xf numFmtId="9" fontId="9" fillId="11" borderId="4" xfId="0" applyNumberFormat="1" applyFont="1" applyFill="1" applyBorder="1" applyAlignment="1">
      <alignment horizontal="right"/>
    </xf>
    <xf numFmtId="1" fontId="9" fillId="0" borderId="4" xfId="0" applyNumberFormat="1" applyFont="1" applyBorder="1"/>
    <xf numFmtId="0" fontId="17" fillId="23" borderId="1" xfId="0" applyFont="1" applyFill="1" applyBorder="1"/>
    <xf numFmtId="0" fontId="17" fillId="23" borderId="5" xfId="0" applyFont="1" applyFill="1" applyBorder="1"/>
    <xf numFmtId="171" fontId="17" fillId="23" borderId="5" xfId="0" applyNumberFormat="1" applyFont="1" applyFill="1" applyBorder="1" applyAlignment="1">
      <alignment horizontal="center"/>
    </xf>
    <xf numFmtId="0" fontId="17" fillId="23" borderId="5" xfId="0" applyFont="1" applyFill="1" applyBorder="1" applyAlignment="1">
      <alignment horizontal="center"/>
    </xf>
    <xf numFmtId="1" fontId="17" fillId="23" borderId="5" xfId="0" applyNumberFormat="1" applyFont="1" applyFill="1" applyBorder="1" applyAlignment="1">
      <alignment horizontal="center"/>
    </xf>
    <xf numFmtId="9" fontId="9" fillId="0" borderId="3" xfId="0" applyNumberFormat="1" applyFont="1" applyBorder="1"/>
    <xf numFmtId="3" fontId="9" fillId="0" borderId="4" xfId="0" applyNumberFormat="1" applyFont="1" applyBorder="1" applyAlignment="1">
      <alignment horizontal="right"/>
    </xf>
    <xf numFmtId="9" fontId="9" fillId="16" borderId="4" xfId="0" applyNumberFormat="1" applyFont="1" applyFill="1" applyBorder="1" applyAlignment="1">
      <alignment horizontal="right"/>
    </xf>
    <xf numFmtId="9" fontId="9" fillId="0" borderId="4" xfId="0" applyNumberFormat="1" applyFont="1" applyBorder="1"/>
    <xf numFmtId="0" fontId="9" fillId="0" borderId="4" xfId="0" applyFont="1" applyBorder="1" applyAlignment="1">
      <alignment horizontal="right"/>
    </xf>
    <xf numFmtId="4" fontId="4" fillId="3" borderId="7" xfId="0" applyNumberFormat="1" applyFont="1" applyFill="1" applyBorder="1"/>
    <xf numFmtId="0" fontId="18" fillId="3" borderId="4" xfId="0" applyFont="1" applyFill="1" applyBorder="1"/>
    <xf numFmtId="3" fontId="18" fillId="7" borderId="4" xfId="0" applyNumberFormat="1" applyFont="1" applyFill="1" applyBorder="1" applyAlignment="1">
      <alignment horizontal="right"/>
    </xf>
    <xf numFmtId="2" fontId="9" fillId="0" borderId="3" xfId="0" applyNumberFormat="1" applyFont="1" applyBorder="1"/>
    <xf numFmtId="2" fontId="9" fillId="0" borderId="4" xfId="0" applyNumberFormat="1" applyFont="1" applyBorder="1" applyAlignment="1">
      <alignment horizontal="right"/>
    </xf>
    <xf numFmtId="9" fontId="9" fillId="24" borderId="4" xfId="0" applyNumberFormat="1" applyFont="1" applyFill="1" applyBorder="1" applyAlignment="1">
      <alignment horizontal="right"/>
    </xf>
    <xf numFmtId="0" fontId="9" fillId="0" borderId="4" xfId="0" applyFont="1" applyBorder="1"/>
    <xf numFmtId="9" fontId="9" fillId="25" borderId="4" xfId="0" applyNumberFormat="1" applyFont="1" applyFill="1" applyBorder="1" applyAlignment="1">
      <alignment horizontal="right"/>
    </xf>
    <xf numFmtId="0" fontId="4" fillId="3" borderId="7" xfId="0" applyFont="1" applyFill="1" applyBorder="1"/>
    <xf numFmtId="3" fontId="19" fillId="7" borderId="4" xfId="0" applyNumberFormat="1" applyFont="1" applyFill="1" applyBorder="1" applyAlignment="1">
      <alignment horizontal="right"/>
    </xf>
    <xf numFmtId="166" fontId="9" fillId="0" borderId="4" xfId="0" applyNumberFormat="1" applyFont="1" applyBorder="1" applyAlignment="1">
      <alignment horizontal="right"/>
    </xf>
    <xf numFmtId="166" fontId="9" fillId="26" borderId="4" xfId="0" applyNumberFormat="1" applyFont="1" applyFill="1" applyBorder="1" applyAlignment="1">
      <alignment horizontal="right"/>
    </xf>
    <xf numFmtId="166" fontId="4" fillId="0" borderId="7" xfId="0" applyNumberFormat="1" applyFont="1" applyBorder="1"/>
    <xf numFmtId="166" fontId="9" fillId="0" borderId="4" xfId="0" applyNumberFormat="1" applyFont="1" applyBorder="1"/>
    <xf numFmtId="9" fontId="9" fillId="27" borderId="4" xfId="0" applyNumberFormat="1" applyFont="1" applyFill="1" applyBorder="1" applyAlignment="1">
      <alignment horizontal="right"/>
    </xf>
    <xf numFmtId="164" fontId="1" fillId="0" borderId="1" xfId="0" applyNumberFormat="1" applyFont="1" applyBorder="1"/>
    <xf numFmtId="9" fontId="1" fillId="0" borderId="1" xfId="0" applyNumberFormat="1" applyFont="1" applyBorder="1"/>
    <xf numFmtId="1" fontId="9" fillId="0" borderId="1" xfId="0" applyNumberFormat="1" applyFont="1" applyBorder="1" applyAlignment="1">
      <alignment horizontal="right"/>
    </xf>
    <xf numFmtId="164" fontId="0" fillId="0" borderId="4" xfId="0" applyNumberFormat="1" applyBorder="1"/>
    <xf numFmtId="164" fontId="1" fillId="0" borderId="4" xfId="0" applyNumberFormat="1" applyFont="1" applyBorder="1"/>
    <xf numFmtId="0" fontId="5" fillId="0" borderId="6" xfId="0" applyFont="1" applyBorder="1"/>
    <xf numFmtId="164" fontId="5" fillId="0" borderId="6" xfId="0" applyNumberFormat="1" applyFont="1" applyBorder="1"/>
    <xf numFmtId="166" fontId="11" fillId="3" borderId="1" xfId="0" applyNumberFormat="1" applyFont="1" applyFill="1" applyBorder="1" applyAlignment="1">
      <alignment horizontal="right"/>
    </xf>
    <xf numFmtId="166" fontId="0" fillId="0" borderId="1" xfId="0" applyNumberFormat="1" applyBorder="1"/>
    <xf numFmtId="0" fontId="8" fillId="0" borderId="0" xfId="0" applyFont="1"/>
    <xf numFmtId="0" fontId="20" fillId="8" borderId="8" xfId="0" applyFont="1" applyFill="1" applyBorder="1" applyAlignment="1">
      <alignment horizontal="center" vertical="center"/>
    </xf>
    <xf numFmtId="0" fontId="21" fillId="0" borderId="6" xfId="0" applyFont="1" applyBorder="1"/>
    <xf numFmtId="0" fontId="21" fillId="0" borderId="9" xfId="0" applyFont="1" applyBorder="1"/>
    <xf numFmtId="0" fontId="21" fillId="0" borderId="10" xfId="0" applyFont="1" applyBorder="1"/>
    <xf numFmtId="0" fontId="21" fillId="0" borderId="7" xfId="0" applyFont="1" applyBorder="1"/>
    <xf numFmtId="0" fontId="21" fillId="0" borderId="11" xfId="0" applyFont="1" applyBorder="1"/>
    <xf numFmtId="0" fontId="21" fillId="0" borderId="2" xfId="0" applyFont="1" applyBorder="1"/>
    <xf numFmtId="0" fontId="21" fillId="0" borderId="4" xfId="0" applyFont="1" applyBorder="1"/>
    <xf numFmtId="0" fontId="22" fillId="2" borderId="1" xfId="0" applyFont="1" applyFill="1" applyBorder="1"/>
    <xf numFmtId="0" fontId="23" fillId="2" borderId="1" xfId="0" applyFont="1" applyFill="1" applyBorder="1"/>
    <xf numFmtId="0" fontId="23" fillId="28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4" fillId="0" borderId="1" xfId="0" applyFont="1" applyBorder="1"/>
    <xf numFmtId="0" fontId="25" fillId="0" borderId="1" xfId="0" applyFont="1" applyBorder="1"/>
    <xf numFmtId="1" fontId="25" fillId="0" borderId="1" xfId="0" applyNumberFormat="1" applyFont="1" applyBorder="1"/>
    <xf numFmtId="0" fontId="26" fillId="0" borderId="3" xfId="0" applyFont="1" applyBorder="1" applyAlignment="1">
      <alignment horizontal="right"/>
    </xf>
    <xf numFmtId="10" fontId="25" fillId="0" borderId="1" xfId="0" applyNumberFormat="1" applyFont="1" applyBorder="1"/>
    <xf numFmtId="1" fontId="26" fillId="0" borderId="1" xfId="0" applyNumberFormat="1" applyFont="1" applyBorder="1" applyAlignment="1">
      <alignment horizontal="right"/>
    </xf>
    <xf numFmtId="169" fontId="25" fillId="0" borderId="1" xfId="0" applyNumberFormat="1" applyFont="1" applyBorder="1"/>
    <xf numFmtId="2" fontId="25" fillId="0" borderId="1" xfId="0" applyNumberFormat="1" applyFont="1" applyBorder="1"/>
    <xf numFmtId="4" fontId="25" fillId="0" borderId="1" xfId="0" applyNumberFormat="1" applyFont="1" applyBorder="1"/>
    <xf numFmtId="1" fontId="26" fillId="0" borderId="3" xfId="0" applyNumberFormat="1" applyFont="1" applyBorder="1" applyAlignment="1">
      <alignment horizontal="right"/>
    </xf>
    <xf numFmtId="0" fontId="27" fillId="0" borderId="1" xfId="0" applyFont="1" applyBorder="1"/>
    <xf numFmtId="1" fontId="27" fillId="0" borderId="1" xfId="0" applyNumberFormat="1" applyFont="1" applyBorder="1"/>
    <xf numFmtId="10" fontId="27" fillId="0" borderId="1" xfId="0" applyNumberFormat="1" applyFont="1" applyBorder="1"/>
    <xf numFmtId="1" fontId="25" fillId="0" borderId="0" xfId="0" applyNumberFormat="1" applyFont="1"/>
    <xf numFmtId="169" fontId="22" fillId="2" borderId="1" xfId="0" applyNumberFormat="1" applyFont="1" applyFill="1" applyBorder="1"/>
    <xf numFmtId="0" fontId="23" fillId="2" borderId="0" xfId="0" applyFont="1" applyFill="1"/>
    <xf numFmtId="0" fontId="23" fillId="2" borderId="5" xfId="0" applyFont="1" applyFill="1" applyBorder="1"/>
    <xf numFmtId="0" fontId="25" fillId="0" borderId="0" xfId="0" applyFont="1"/>
    <xf numFmtId="169" fontId="25" fillId="0" borderId="0" xfId="0" applyNumberFormat="1" applyFont="1"/>
    <xf numFmtId="166" fontId="25" fillId="0" borderId="0" xfId="0" applyNumberFormat="1" applyFont="1"/>
    <xf numFmtId="1" fontId="26" fillId="0" borderId="0" xfId="0" applyNumberFormat="1" applyFont="1" applyAlignment="1">
      <alignment horizontal="right"/>
    </xf>
    <xf numFmtId="0" fontId="4" fillId="0" borderId="3" xfId="0" applyFont="1" applyBorder="1"/>
    <xf numFmtId="0" fontId="26" fillId="0" borderId="4" xfId="0" applyFont="1" applyBorder="1" applyAlignment="1">
      <alignment horizontal="right"/>
    </xf>
    <xf numFmtId="1" fontId="26" fillId="0" borderId="2" xfId="0" applyNumberFormat="1" applyFont="1" applyBorder="1" applyAlignment="1">
      <alignment horizontal="right"/>
    </xf>
    <xf numFmtId="0" fontId="28" fillId="29" borderId="1" xfId="0" applyFont="1" applyFill="1" applyBorder="1"/>
    <xf numFmtId="1" fontId="28" fillId="29" borderId="2" xfId="0" applyNumberFormat="1" applyFont="1" applyFill="1" applyBorder="1"/>
    <xf numFmtId="0" fontId="28" fillId="29" borderId="2" xfId="0" applyFont="1" applyFill="1" applyBorder="1"/>
    <xf numFmtId="166" fontId="26" fillId="0" borderId="4" xfId="0" applyNumberFormat="1" applyFont="1" applyBorder="1" applyAlignment="1">
      <alignment horizontal="right"/>
    </xf>
    <xf numFmtId="166" fontId="28" fillId="29" borderId="2" xfId="0" applyNumberFormat="1" applyFont="1" applyFill="1" applyBorder="1"/>
    <xf numFmtId="0" fontId="23" fillId="28" borderId="5" xfId="0" applyFont="1" applyFill="1" applyBorder="1" applyAlignment="1">
      <alignment horizontal="center"/>
    </xf>
    <xf numFmtId="2" fontId="26" fillId="0" borderId="4" xfId="0" applyNumberFormat="1" applyFont="1" applyBorder="1" applyAlignment="1">
      <alignment horizontal="right"/>
    </xf>
    <xf numFmtId="1" fontId="26" fillId="0" borderId="4" xfId="0" applyNumberFormat="1" applyFont="1" applyBorder="1" applyAlignment="1">
      <alignment horizontal="right"/>
    </xf>
    <xf numFmtId="4" fontId="26" fillId="0" borderId="4" xfId="0" applyNumberFormat="1" applyFont="1" applyBorder="1" applyAlignment="1">
      <alignment horizontal="right"/>
    </xf>
    <xf numFmtId="169" fontId="26" fillId="0" borderId="4" xfId="0" applyNumberFormat="1" applyFont="1" applyBorder="1" applyAlignment="1">
      <alignment horizontal="right"/>
    </xf>
    <xf numFmtId="10" fontId="26" fillId="0" borderId="4" xfId="0" applyNumberFormat="1" applyFont="1" applyBorder="1" applyAlignment="1">
      <alignment horizontal="right"/>
    </xf>
    <xf numFmtId="0" fontId="22" fillId="2" borderId="0" xfId="0" applyFont="1" applyFill="1"/>
    <xf numFmtId="0" fontId="24" fillId="0" borderId="0" xfId="0" applyFont="1"/>
    <xf numFmtId="0" fontId="24" fillId="0" borderId="2" xfId="0" applyFont="1" applyBorder="1"/>
    <xf numFmtId="0" fontId="25" fillId="0" borderId="2" xfId="0" applyFont="1" applyBorder="1"/>
    <xf numFmtId="1" fontId="25" fillId="0" borderId="2" xfId="0" applyNumberFormat="1" applyFont="1" applyBorder="1"/>
    <xf numFmtId="166" fontId="25" fillId="0" borderId="2" xfId="0" applyNumberFormat="1" applyFont="1" applyBorder="1"/>
    <xf numFmtId="0" fontId="25" fillId="29" borderId="0" xfId="0" applyFont="1" applyFill="1"/>
    <xf numFmtId="1" fontId="25" fillId="29" borderId="0" xfId="0" applyNumberFormat="1" applyFont="1" applyFill="1"/>
    <xf numFmtId="166" fontId="25" fillId="29" borderId="0" xfId="0" applyNumberFormat="1" applyFont="1" applyFill="1"/>
    <xf numFmtId="166" fontId="28" fillId="29" borderId="1" xfId="0" applyNumberFormat="1" applyFont="1" applyFill="1" applyBorder="1"/>
    <xf numFmtId="0" fontId="2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600" b="1" i="0">
                <a:solidFill>
                  <a:srgbClr val="757575"/>
                </a:solidFill>
                <a:latin typeface="+mn-lt"/>
              </a:defRPr>
            </a:pPr>
            <a:r>
              <a:rPr lang="en-IN" sz="1600" b="1" i="0">
                <a:solidFill>
                  <a:srgbClr val="757575"/>
                </a:solidFill>
                <a:latin typeface="+mn-lt"/>
              </a:rPr>
              <a:t>TYRES UNIT (CR): 2.9% UNIT GROWTH</a:t>
            </a:r>
          </a:p>
        </c:rich>
      </c:tx>
      <c:layout>
        <c:manualLayout>
          <c:xMode val="edge"/>
          <c:yMode val="edge"/>
          <c:x val="3.515789473684211E-2"/>
          <c:y val="0.05"/>
        </c:manualLayout>
      </c:layout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TYRES UNIT (CR)</c:v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49F5-4BBA-BF96-84A5351A2693}"/>
              </c:ext>
            </c:extLst>
          </c:dPt>
          <c:dPt>
            <c:idx val="1"/>
            <c:invertIfNegative val="1"/>
            <c:bubble3D val="0"/>
            <c:spPr>
              <a:solidFill>
                <a:schemeClr val="accent2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9F5-4BBA-BF96-84A5351A26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0" i="0">
                    <a:latin typeface="+mn-lt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Product'!$C$21:$D$21</c:f>
              <c:strCache>
                <c:ptCount val="2"/>
                <c:pt idx="0">
                  <c:v>FY_2023</c:v>
                </c:pt>
                <c:pt idx="1">
                  <c:v>EST_FY_2032</c:v>
                </c:pt>
              </c:strCache>
            </c:strRef>
          </c:cat>
          <c:val>
            <c:numRef>
              <c:f>'Tyres &amp; Rubber Product'!$C$22:$D$22</c:f>
              <c:numCache>
                <c:formatCode>0.0</c:formatCode>
                <c:ptCount val="2"/>
                <c:pt idx="0">
                  <c:v>19.63</c:v>
                </c:pt>
                <c:pt idx="1">
                  <c:v>25.39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9F5-4BBA-BF96-84A5351A2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3258771"/>
        <c:axId val="1490635846"/>
      </c:barChart>
      <c:catAx>
        <c:axId val="6932587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sz="900" b="1" i="0">
                    <a:solidFill>
                      <a:srgbClr val="000000"/>
                    </a:solidFill>
                    <a:latin typeface="+mn-lt"/>
                  </a:rPr>
                  <a:t>SEGMENT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90635846"/>
        <c:crosses val="autoZero"/>
        <c:auto val="1"/>
        <c:lblAlgn val="ctr"/>
        <c:lblOffset val="100"/>
        <c:noMultiLvlLbl val="1"/>
      </c:catAx>
      <c:valAx>
        <c:axId val="149063584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sz="900" b="1" i="0">
                    <a:solidFill>
                      <a:srgbClr val="000000"/>
                    </a:solidFill>
                    <a:latin typeface="+mn-lt"/>
                  </a:rPr>
                  <a:t>TYRES UNIT (CR)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9325877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MARKETCAP: 17424 CR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'Tyres &amp; Rubber Product'!$I$21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1800-459A-80D9-FAC59B26E915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1800-459A-80D9-FAC59B26E915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1800-459A-80D9-FAC59B26E915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1800-459A-80D9-FAC59B26E915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1800-459A-80D9-FAC59B26E915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1800-459A-80D9-FAC59B26E915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1800-459A-80D9-FAC59B26E915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1800-459A-80D9-FAC59B26E915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1800-459A-80D9-FAC59B26E915}"/>
              </c:ext>
            </c:extLst>
          </c:dPt>
          <c:dPt>
            <c:idx val="9"/>
            <c:bubble3D val="0"/>
            <c:spPr>
              <a:solidFill>
                <a:srgbClr val="71C287"/>
              </a:solidFill>
            </c:spPr>
            <c:extLst>
              <c:ext xmlns:c16="http://schemas.microsoft.com/office/drawing/2014/chart" uri="{C3380CC4-5D6E-409C-BE32-E72D297353CC}">
                <c16:uniqueId val="{00000013-1800-459A-80D9-FAC59B26E915}"/>
              </c:ext>
            </c:extLst>
          </c:dPt>
          <c:dPt>
            <c:idx val="10"/>
            <c:bubble3D val="0"/>
            <c:spPr>
              <a:solidFill>
                <a:srgbClr val="FF994D"/>
              </a:solidFill>
            </c:spPr>
            <c:extLst>
              <c:ext xmlns:c16="http://schemas.microsoft.com/office/drawing/2014/chart" uri="{C3380CC4-5D6E-409C-BE32-E72D297353CC}">
                <c16:uniqueId val="{00000015-1800-459A-80D9-FAC59B26E915}"/>
              </c:ext>
            </c:extLst>
          </c:dPt>
          <c:dPt>
            <c:idx val="11"/>
            <c:bubble3D val="0"/>
            <c:spPr>
              <a:solidFill>
                <a:srgbClr val="7ED1D7"/>
              </a:solidFill>
            </c:spPr>
            <c:extLst>
              <c:ext xmlns:c16="http://schemas.microsoft.com/office/drawing/2014/chart" uri="{C3380CC4-5D6E-409C-BE32-E72D297353CC}">
                <c16:uniqueId val="{00000017-1800-459A-80D9-FAC59B26E915}"/>
              </c:ext>
            </c:extLst>
          </c:dPt>
          <c:dPt>
            <c:idx val="12"/>
            <c:bubble3D val="0"/>
            <c:spPr>
              <a:solidFill>
                <a:srgbClr val="B3CEFB"/>
              </a:solidFill>
            </c:spPr>
            <c:extLst>
              <c:ext xmlns:c16="http://schemas.microsoft.com/office/drawing/2014/chart" uri="{C3380CC4-5D6E-409C-BE32-E72D297353CC}">
                <c16:uniqueId val="{00000019-1800-459A-80D9-FAC59B26E915}"/>
              </c:ext>
            </c:extLst>
          </c:dPt>
          <c:dPt>
            <c:idx val="13"/>
            <c:bubble3D val="0"/>
            <c:spPr>
              <a:solidFill>
                <a:srgbClr val="F7B4AE"/>
              </a:solidFill>
            </c:spPr>
            <c:extLst>
              <c:ext xmlns:c16="http://schemas.microsoft.com/office/drawing/2014/chart" uri="{C3380CC4-5D6E-409C-BE32-E72D297353CC}">
                <c16:uniqueId val="{0000001B-1800-459A-80D9-FAC59B26E915}"/>
              </c:ext>
            </c:extLst>
          </c:dPt>
          <c:dPt>
            <c:idx val="14"/>
            <c:bubble3D val="0"/>
            <c:spPr>
              <a:solidFill>
                <a:srgbClr val="FDE49B"/>
              </a:solidFill>
            </c:spPr>
            <c:extLst>
              <c:ext xmlns:c16="http://schemas.microsoft.com/office/drawing/2014/chart" uri="{C3380CC4-5D6E-409C-BE32-E72D297353CC}">
                <c16:uniqueId val="{0000001D-1800-459A-80D9-FAC59B26E91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'Tyres &amp; Rubber Product'!$H$22:$H$36</c:f>
              <c:strCache>
                <c:ptCount val="15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  <c:pt idx="7">
                  <c:v>RUBFILA</c:v>
                </c:pt>
                <c:pt idx="8">
                  <c:v>INDAG</c:v>
                </c:pt>
                <c:pt idx="9">
                  <c:v>MODIRUBBER</c:v>
                </c:pt>
                <c:pt idx="10">
                  <c:v>TTIL</c:v>
                </c:pt>
                <c:pt idx="11">
                  <c:v>DOLFIN</c:v>
                </c:pt>
                <c:pt idx="12">
                  <c:v>MMRUBBR-B</c:v>
                </c:pt>
                <c:pt idx="13">
                  <c:v>EASTRED</c:v>
                </c:pt>
                <c:pt idx="14">
                  <c:v>COCHMAL</c:v>
                </c:pt>
              </c:strCache>
            </c:strRef>
          </c:cat>
          <c:val>
            <c:numRef>
              <c:f>'Tyres &amp; Rubber Product'!$I$22:$I$36</c:f>
              <c:numCache>
                <c:formatCode>0</c:formatCode>
                <c:ptCount val="15"/>
                <c:pt idx="0">
                  <c:v>62712.620320299997</c:v>
                </c:pt>
                <c:pt idx="1">
                  <c:v>45172.678365400003</c:v>
                </c:pt>
                <c:pt idx="2">
                  <c:v>33542.599359500004</c:v>
                </c:pt>
                <c:pt idx="3">
                  <c:v>13457.1273588</c:v>
                </c:pt>
                <c:pt idx="4">
                  <c:v>11611.4007824</c:v>
                </c:pt>
                <c:pt idx="5">
                  <c:v>3208.30395</c:v>
                </c:pt>
                <c:pt idx="6">
                  <c:v>3021.2502826</c:v>
                </c:pt>
                <c:pt idx="7">
                  <c:v>433.65185209999999</c:v>
                </c:pt>
                <c:pt idx="8">
                  <c:v>378.787508</c:v>
                </c:pt>
                <c:pt idx="9">
                  <c:v>231.37450100000001</c:v>
                </c:pt>
                <c:pt idx="10">
                  <c:v>222.43584999999999</c:v>
                </c:pt>
                <c:pt idx="11">
                  <c:v>132.5951427</c:v>
                </c:pt>
                <c:pt idx="12">
                  <c:v>70.878534999999999</c:v>
                </c:pt>
                <c:pt idx="13">
                  <c:v>20.928000000000001</c:v>
                </c:pt>
                <c:pt idx="14">
                  <c:v>23.743567200000001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800-459A-80D9-FAC59B26E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'Tyres &amp; Rubber Product'!$M$21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8677-4595-95BD-3616B4C9220E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8677-4595-95BD-3616B4C9220E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8677-4595-95BD-3616B4C9220E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8677-4595-95BD-3616B4C9220E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8677-4595-95BD-3616B4C9220E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8677-4595-95BD-3616B4C9220E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8677-4595-95BD-3616B4C9220E}"/>
              </c:ext>
            </c:extLst>
          </c:dPt>
          <c:cat>
            <c:strRef>
              <c:f>'Tyres &amp; Rubber Product'!$L$22:$L$28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Product'!$M$22:$M$28</c:f>
              <c:numCache>
                <c:formatCode>General</c:formatCode>
                <c:ptCount val="7"/>
                <c:pt idx="0">
                  <c:v>23008</c:v>
                </c:pt>
                <c:pt idx="1">
                  <c:v>9759</c:v>
                </c:pt>
                <c:pt idx="2">
                  <c:v>24516</c:v>
                </c:pt>
                <c:pt idx="3">
                  <c:v>14645</c:v>
                </c:pt>
                <c:pt idx="4">
                  <c:v>11315</c:v>
                </c:pt>
                <c:pt idx="5">
                  <c:v>2985</c:v>
                </c:pt>
                <c:pt idx="6">
                  <c:v>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677-4595-95BD-3616B4C92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PROFIT_23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PROFIT_23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Product'!$P$22:$P$28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Product'!$Q$22:$Q$28</c:f>
              <c:numCache>
                <c:formatCode>General</c:formatCode>
                <c:ptCount val="7"/>
                <c:pt idx="0">
                  <c:v>769</c:v>
                </c:pt>
                <c:pt idx="1">
                  <c:v>1057</c:v>
                </c:pt>
                <c:pt idx="2">
                  <c:v>1104</c:v>
                </c:pt>
                <c:pt idx="3">
                  <c:v>263</c:v>
                </c:pt>
                <c:pt idx="4">
                  <c:v>182</c:v>
                </c:pt>
                <c:pt idx="5">
                  <c:v>78</c:v>
                </c:pt>
                <c:pt idx="6">
                  <c:v>123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057F-4099-BD93-C3C7B3427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1704039"/>
        <c:axId val="599570387"/>
      </c:barChart>
      <c:catAx>
        <c:axId val="16517040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9570387"/>
        <c:crosses val="autoZero"/>
        <c:auto val="1"/>
        <c:lblAlgn val="ctr"/>
        <c:lblOffset val="100"/>
        <c:noMultiLvlLbl val="1"/>
      </c:catAx>
      <c:valAx>
        <c:axId val="59957038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PROFIT_23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17040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SALES_5Y_GR : Industry: 11.4%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SALES_5Y_GR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B21-43DA-82FB-994FA6CCA9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Product'!$B$57:$B$63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Product'!$C$57:$C$63</c:f>
              <c:numCache>
                <c:formatCode>0.0%</c:formatCode>
                <c:ptCount val="7"/>
                <c:pt idx="0">
                  <c:v>8.3451835467970525E-2</c:v>
                </c:pt>
                <c:pt idx="1">
                  <c:v>0.16948490063682908</c:v>
                </c:pt>
                <c:pt idx="2">
                  <c:v>0.10185208820529956</c:v>
                </c:pt>
                <c:pt idx="3">
                  <c:v>0.1724587802499884</c:v>
                </c:pt>
                <c:pt idx="4">
                  <c:v>0.12071430881701772</c:v>
                </c:pt>
                <c:pt idx="5">
                  <c:v>6.2639530273652211E-2</c:v>
                </c:pt>
                <c:pt idx="6">
                  <c:v>0.11400910166555867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FB21-43DA-82FB-994FA6CCA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594513"/>
        <c:axId val="575510293"/>
      </c:barChart>
      <c:catAx>
        <c:axId val="8395945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5510293"/>
        <c:crosses val="autoZero"/>
        <c:auto val="1"/>
        <c:lblAlgn val="ctr"/>
        <c:lblOffset val="100"/>
        <c:noMultiLvlLbl val="1"/>
      </c:catAx>
      <c:valAx>
        <c:axId val="5755102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959451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CY_SALES GR: Industry: 3.1%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CY_SALES GR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40A-4BE4-AEA5-C0290AB52387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40A-4BE4-AEA5-C0290AB52387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40A-4BE4-AEA5-C0290AB523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Product'!$F$57:$F$63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Product'!$G$57:$G$63</c:f>
              <c:numCache>
                <c:formatCode>0.0%</c:formatCode>
                <c:ptCount val="7"/>
                <c:pt idx="0">
                  <c:v>9.6353256437143209E-2</c:v>
                </c:pt>
                <c:pt idx="1">
                  <c:v>-0.1015855952700887</c:v>
                </c:pt>
                <c:pt idx="2">
                  <c:v>4.3613537117903833E-2</c:v>
                </c:pt>
                <c:pt idx="3">
                  <c:v>2.6425717399200854E-2</c:v>
                </c:pt>
                <c:pt idx="4">
                  <c:v>6.0545023696682465E-2</c:v>
                </c:pt>
                <c:pt idx="5">
                  <c:v>-6.1251086012163336E-2</c:v>
                </c:pt>
                <c:pt idx="6">
                  <c:v>-0.12043956043956039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340A-4BE4-AEA5-C0290AB5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052053"/>
        <c:axId val="1239545641"/>
      </c:barChart>
      <c:catAx>
        <c:axId val="12720520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39545641"/>
        <c:crosses val="autoZero"/>
        <c:auto val="1"/>
        <c:lblAlgn val="ctr"/>
        <c:lblOffset val="100"/>
        <c:noMultiLvlLbl val="1"/>
      </c:catAx>
      <c:valAx>
        <c:axId val="123954564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CY_SALES GR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7205205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MARGIN_23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Product'!$B$84:$B$90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Product'!$C$84:$C$90</c:f>
              <c:numCache>
                <c:formatCode>0.0%</c:formatCode>
                <c:ptCount val="7"/>
                <c:pt idx="0">
                  <c:v>3.3423157162726008E-2</c:v>
                </c:pt>
                <c:pt idx="1">
                  <c:v>0.10831027769238652</c:v>
                </c:pt>
                <c:pt idx="2">
                  <c:v>4.503181595692609E-2</c:v>
                </c:pt>
                <c:pt idx="3">
                  <c:v>1.795834755889382E-2</c:v>
                </c:pt>
                <c:pt idx="4">
                  <c:v>1.6084843128590365E-2</c:v>
                </c:pt>
                <c:pt idx="5">
                  <c:v>2.6130653266331658E-2</c:v>
                </c:pt>
                <c:pt idx="6">
                  <c:v>4.2022548684660065E-2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180-4420-8AE1-FDB8DA1142B3}"/>
            </c:ext>
          </c:extLst>
        </c:ser>
        <c:ser>
          <c:idx val="1"/>
          <c:order val="1"/>
          <c:tx>
            <c:v>CY_MARGIN</c:v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Product'!$B$84:$B$90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Product'!$D$84:$D$90</c:f>
              <c:numCache>
                <c:formatCode>0.0%</c:formatCode>
                <c:ptCount val="7"/>
                <c:pt idx="0">
                  <c:v>8.9532412327311364E-2</c:v>
                </c:pt>
                <c:pt idx="1">
                  <c:v>0.1473227639844451</c:v>
                </c:pt>
                <c:pt idx="2">
                  <c:v>7.1499555416078248E-2</c:v>
                </c:pt>
                <c:pt idx="3">
                  <c:v>5.609130319384234E-2</c:v>
                </c:pt>
                <c:pt idx="4">
                  <c:v>5.9546419394481062E-2</c:v>
                </c:pt>
                <c:pt idx="5">
                  <c:v>3.8870893105043963E-2</c:v>
                </c:pt>
                <c:pt idx="6">
                  <c:v>4.9475262368815595E-2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180-4420-8AE1-FDB8DA114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115690"/>
        <c:axId val="315599455"/>
      </c:barChart>
      <c:catAx>
        <c:axId val="27411569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15599455"/>
        <c:crosses val="autoZero"/>
        <c:auto val="1"/>
        <c:lblAlgn val="ctr"/>
        <c:lblOffset val="100"/>
        <c:noMultiLvlLbl val="1"/>
      </c:catAx>
      <c:valAx>
        <c:axId val="3155994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411569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CUR. RATIO : INDUSTRY 1.1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CUR. 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D3-455B-8645-D0F4D826F2E8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D3-455B-8645-D0F4D826F2E8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D3-455B-8645-D0F4D826F2E8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D3-455B-8645-D0F4D826F2E8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D3-455B-8645-D0F4D826F2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Product'!$G$84:$G$90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Product'!$H$84:$H$90</c:f>
              <c:numCache>
                <c:formatCode>0.00</c:formatCode>
                <c:ptCount val="7"/>
                <c:pt idx="0">
                  <c:v>1.2707431120250074</c:v>
                </c:pt>
                <c:pt idx="1">
                  <c:v>1.2327558025498528</c:v>
                </c:pt>
                <c:pt idx="2">
                  <c:v>1.1407437025189924</c:v>
                </c:pt>
                <c:pt idx="3">
                  <c:v>1.0750286368843069</c:v>
                </c:pt>
                <c:pt idx="4">
                  <c:v>0.64785764457972372</c:v>
                </c:pt>
                <c:pt idx="5">
                  <c:v>1.1030056086695059</c:v>
                </c:pt>
                <c:pt idx="6">
                  <c:v>1.3111455108359134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A1D3-455B-8645-D0F4D826F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3896209"/>
        <c:axId val="564875670"/>
      </c:barChart>
      <c:catAx>
        <c:axId val="13038962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64875670"/>
        <c:crosses val="autoZero"/>
        <c:auto val="1"/>
        <c:lblAlgn val="ctr"/>
        <c:lblOffset val="100"/>
        <c:noMultiLvlLbl val="1"/>
      </c:catAx>
      <c:valAx>
        <c:axId val="56487567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038962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TR.DAYS: INDUSTRY 44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TR.DAYS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B7-4BC6-9B4C-CB7DB173A8D8}"/>
              </c:ext>
            </c:extLst>
          </c:dPt>
          <c:dPt>
            <c:idx val="5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B7-4BC6-9B4C-CB7DB173A8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Product'!$K$84:$K$90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Product'!$L$84:$L$90</c:f>
              <c:numCache>
                <c:formatCode>0</c:formatCode>
                <c:ptCount val="7"/>
                <c:pt idx="0">
                  <c:v>45.028194541029208</c:v>
                </c:pt>
                <c:pt idx="1">
                  <c:v>36.466338764217646</c:v>
                </c:pt>
                <c:pt idx="2">
                  <c:v>35.895537608092674</c:v>
                </c:pt>
                <c:pt idx="3">
                  <c:v>64.675657220894507</c:v>
                </c:pt>
                <c:pt idx="4">
                  <c:v>42.806451612903231</c:v>
                </c:pt>
                <c:pt idx="5">
                  <c:v>29.445778894472362</c:v>
                </c:pt>
                <c:pt idx="6">
                  <c:v>40.278442090878031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8B7-4BC6-9B4C-CB7DB173A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795537"/>
        <c:axId val="347188126"/>
      </c:barChart>
      <c:catAx>
        <c:axId val="118079553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47188126"/>
        <c:crosses val="autoZero"/>
        <c:auto val="1"/>
        <c:lblAlgn val="ctr"/>
        <c:lblOffset val="100"/>
        <c:noMultiLvlLbl val="1"/>
      </c:catAx>
      <c:valAx>
        <c:axId val="34718812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8079553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DEBT2EQUITY: INDUSTRY: 0.37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DEBT2EQUITY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CCB-4B75-9BB7-403DD124D4C7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CCB-4B75-9BB7-403DD124D4C7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CCB-4B75-9BB7-403DD124D4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Product'!$B$113:$B$119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Product'!$C$113:$C$119</c:f>
              <c:numCache>
                <c:formatCode>#,##0.00</c:formatCode>
                <c:ptCount val="7"/>
                <c:pt idx="0">
                  <c:v>0.1534251265219907</c:v>
                </c:pt>
                <c:pt idx="1">
                  <c:v>0.35379939209726446</c:v>
                </c:pt>
                <c:pt idx="2">
                  <c:v>0.36727776921891853</c:v>
                </c:pt>
                <c:pt idx="3">
                  <c:v>1.1530693595535477</c:v>
                </c:pt>
                <c:pt idx="4">
                  <c:v>0.50239234449760761</c:v>
                </c:pt>
                <c:pt idx="5">
                  <c:v>0.65393812514538263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CCB-4B75-9BB7-403DD124D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0454446"/>
        <c:axId val="1636548435"/>
      </c:barChart>
      <c:catAx>
        <c:axId val="113045444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6548435"/>
        <c:crosses val="autoZero"/>
        <c:auto val="1"/>
        <c:lblAlgn val="ctr"/>
        <c:lblOffset val="100"/>
        <c:noMultiLvlLbl val="1"/>
      </c:catAx>
      <c:valAx>
        <c:axId val="16365484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13045444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ICR: INDUSTRY 3.6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ICR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35A-4680-8585-7989D1F76672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35A-4680-8585-7989D1F76672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35A-4680-8585-7989D1F76672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35A-4680-8585-7989D1F7667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35A-4680-8585-7989D1F76672}"/>
              </c:ext>
            </c:extLst>
          </c:dPt>
          <c:dPt>
            <c:idx val="5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35A-4680-8585-7989D1F76672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35A-4680-8585-7989D1F766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Product'!$F$113:$F$119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Product'!$G$113:$G$119</c:f>
              <c:numCache>
                <c:formatCode>0.0</c:formatCode>
                <c:ptCount val="7"/>
                <c:pt idx="0">
                  <c:v>3.561128526645768</c:v>
                </c:pt>
                <c:pt idx="1">
                  <c:v>23.666666666666668</c:v>
                </c:pt>
                <c:pt idx="2">
                  <c:v>3.4708097928436912</c:v>
                </c:pt>
                <c:pt idx="3">
                  <c:v>1.9604395604395604</c:v>
                </c:pt>
                <c:pt idx="4">
                  <c:v>2.0867768595041323</c:v>
                </c:pt>
                <c:pt idx="5">
                  <c:v>3.45</c:v>
                </c:pt>
                <c:pt idx="6">
                  <c:v>51.75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D35A-4680-8585-7989D1F7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895206"/>
        <c:axId val="322715028"/>
      </c:barChart>
      <c:catAx>
        <c:axId val="96789520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22715028"/>
        <c:crosses val="autoZero"/>
        <c:auto val="1"/>
        <c:lblAlgn val="ctr"/>
        <c:lblOffset val="100"/>
        <c:noMultiLvlLbl val="1"/>
      </c:catAx>
      <c:valAx>
        <c:axId val="32271502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96789520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DEBTRATIO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CB7-4B68-82F1-AD2B1D1BBE26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CB7-4B68-82F1-AD2B1D1BBE26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CB7-4B68-82F1-AD2B1D1BBE26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CB7-4B68-82F1-AD2B1D1BB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Product'!$J$113:$J$119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Product'!$K$113:$K$119</c:f>
              <c:numCache>
                <c:formatCode>0.00</c:formatCode>
                <c:ptCount val="7"/>
                <c:pt idx="0">
                  <c:v>0.38660097392231557</c:v>
                </c:pt>
                <c:pt idx="1">
                  <c:v>0.34587243518371241</c:v>
                </c:pt>
                <c:pt idx="2">
                  <c:v>0.50807062746286757</c:v>
                </c:pt>
                <c:pt idx="3">
                  <c:v>0.6992860468725749</c:v>
                </c:pt>
                <c:pt idx="4">
                  <c:v>0.61670911869587364</c:v>
                </c:pt>
                <c:pt idx="5">
                  <c:v>0.54747112871954817</c:v>
                </c:pt>
                <c:pt idx="6">
                  <c:v>0.521505376344086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FCB7-4B68-82F1-AD2B1D1BB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883403"/>
        <c:axId val="657036629"/>
      </c:barChart>
      <c:catAx>
        <c:axId val="3508834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57036629"/>
        <c:crosses val="autoZero"/>
        <c:auto val="1"/>
        <c:lblAlgn val="ctr"/>
        <c:lblOffset val="100"/>
        <c:noMultiLvlLbl val="1"/>
      </c:catAx>
      <c:valAx>
        <c:axId val="65703662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5088340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ROE and ROA: INDUSTRY: 7.7% &amp; 3.9%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ROE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63F-407C-A979-49748366E0BB}"/>
              </c:ext>
            </c:extLst>
          </c:dPt>
          <c:dPt>
            <c:idx val="1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63F-407C-A979-49748366E0BB}"/>
              </c:ext>
            </c:extLst>
          </c:dPt>
          <c:dPt>
            <c:idx val="3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63F-407C-A979-49748366E0BB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63F-407C-A979-49748366E0BB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63F-407C-A979-49748366E0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Product'!$B$142:$B$148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Product'!$C$142:$C$148</c:f>
              <c:numCache>
                <c:formatCode>0.00%</c:formatCode>
                <c:ptCount val="7"/>
                <c:pt idx="0">
                  <c:v>4.8574843158211235E-2</c:v>
                </c:pt>
                <c:pt idx="1">
                  <c:v>0.12851063829787235</c:v>
                </c:pt>
                <c:pt idx="2">
                  <c:v>8.5040825758742875E-2</c:v>
                </c:pt>
                <c:pt idx="3">
                  <c:v>6.9891044379484457E-2</c:v>
                </c:pt>
                <c:pt idx="4">
                  <c:v>4.837852206273259E-2</c:v>
                </c:pt>
                <c:pt idx="5">
                  <c:v>7.2575017445917656E-2</c:v>
                </c:pt>
                <c:pt idx="6">
                  <c:v>0.19743178170144463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B63F-407C-A979-49748366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637354"/>
        <c:axId val="1749931168"/>
      </c:barChart>
      <c:lineChart>
        <c:grouping val="standard"/>
        <c:varyColors val="0"/>
        <c:ser>
          <c:idx val="1"/>
          <c:order val="1"/>
          <c:tx>
            <c:v>ROA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Product'!$B$142:$B$148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Product'!$D$142:$D$148</c:f>
              <c:numCache>
                <c:formatCode>0.00%</c:formatCode>
                <c:ptCount val="7"/>
                <c:pt idx="0">
                  <c:v>2.9795761485123039E-2</c:v>
                </c:pt>
                <c:pt idx="1">
                  <c:v>8.4062350882773973E-2</c:v>
                </c:pt>
                <c:pt idx="2">
                  <c:v>4.1830857835707794E-2</c:v>
                </c:pt>
                <c:pt idx="3">
                  <c:v>2.0409747012261368E-2</c:v>
                </c:pt>
                <c:pt idx="4">
                  <c:v>1.8543046357615896E-2</c:v>
                </c:pt>
                <c:pt idx="5">
                  <c:v>3.2875326645873726E-2</c:v>
                </c:pt>
                <c:pt idx="6">
                  <c:v>9.4470046082949302E-2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3F-407C-A979-49748366E0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637354"/>
        <c:axId val="1749931168"/>
      </c:lineChart>
      <c:catAx>
        <c:axId val="102363735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49931168"/>
        <c:crosses val="autoZero"/>
        <c:auto val="1"/>
        <c:lblAlgn val="ctr"/>
        <c:lblOffset val="100"/>
        <c:noMultiLvlLbl val="1"/>
      </c:catAx>
      <c:valAx>
        <c:axId val="17499311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02363735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 i="0">
                <a:solidFill>
                  <a:srgbClr val="757575"/>
                </a:solidFill>
                <a:latin typeface="+mn-lt"/>
              </a:defRPr>
            </a:pPr>
            <a:r>
              <a:rPr lang="en-IN" b="0" i="0">
                <a:solidFill>
                  <a:srgbClr val="757575"/>
                </a:solidFill>
                <a:latin typeface="+mn-lt"/>
              </a:rPr>
              <a:t>TRAIL_PE and PBV: INDUSTRY 33 &amp; 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TRAIL_PE</c:v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CE-4C0F-8C47-D63305995DCE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CE-4C0F-8C47-D63305995DCE}"/>
              </c:ext>
            </c:extLst>
          </c:dPt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CE-4C0F-8C47-D63305995DCE}"/>
              </c:ext>
            </c:extLst>
          </c:dPt>
          <c:dPt>
            <c:idx val="6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CE-4C0F-8C47-D63305995D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Product'!$H$142:$H$148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Product'!$I$142:$I$148</c:f>
              <c:numCache>
                <c:formatCode>0</c:formatCode>
                <c:ptCount val="7"/>
                <c:pt idx="0">
                  <c:v>36.312206676160692</c:v>
                </c:pt>
                <c:pt idx="1">
                  <c:v>45.161912104857358</c:v>
                </c:pt>
                <c:pt idx="2">
                  <c:v>32.411477411477414</c:v>
                </c:pt>
                <c:pt idx="3">
                  <c:v>33.430799220272903</c:v>
                </c:pt>
                <c:pt idx="4">
                  <c:v>17.50500151561079</c:v>
                </c:pt>
                <c:pt idx="5">
                  <c:v>34.331778377936004</c:v>
                </c:pt>
                <c:pt idx="6">
                  <c:v>22.277379733879226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91CE-4C0F-8C47-D6330599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149943"/>
        <c:axId val="277019653"/>
      </c:barChart>
      <c:lineChart>
        <c:grouping val="standard"/>
        <c:varyColors val="0"/>
        <c:ser>
          <c:idx val="1"/>
          <c:order val="1"/>
          <c:tx>
            <c:v>PBV</c:v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'Tyres &amp; Rubber Product'!$H$142:$H$148</c:f>
              <c:strCache>
                <c:ptCount val="7"/>
                <c:pt idx="0">
                  <c:v>MRF</c:v>
                </c:pt>
                <c:pt idx="1">
                  <c:v>BALKRISIND</c:v>
                </c:pt>
                <c:pt idx="2">
                  <c:v>APOLLOTYRE</c:v>
                </c:pt>
                <c:pt idx="3">
                  <c:v>JKTYRE</c:v>
                </c:pt>
                <c:pt idx="4">
                  <c:v>CEATLTD</c:v>
                </c:pt>
                <c:pt idx="5">
                  <c:v>TVSSRICHAK</c:v>
                </c:pt>
                <c:pt idx="6">
                  <c:v>GOODYEAR</c:v>
                </c:pt>
              </c:strCache>
            </c:strRef>
          </c:cat>
          <c:val>
            <c:numRef>
              <c:f>'Tyres &amp; Rubber Product'!$K$142:$K$148</c:f>
              <c:numCache>
                <c:formatCode>0</c:formatCode>
                <c:ptCount val="7"/>
                <c:pt idx="0">
                  <c:v>3.9734570723464024</c:v>
                </c:pt>
                <c:pt idx="1">
                  <c:v>5.3875105893743189</c:v>
                </c:pt>
                <c:pt idx="2">
                  <c:v>2.5639478727481793</c:v>
                </c:pt>
                <c:pt idx="3">
                  <c:v>3.3067287513116472</c:v>
                </c:pt>
                <c:pt idx="4">
                  <c:v>3.0378221988427141</c:v>
                </c:pt>
                <c:pt idx="5">
                  <c:v>2.9687179534557147</c:v>
                </c:pt>
                <c:pt idx="6">
                  <c:v>4.6494891640866873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1CE-4C0F-8C47-D63305995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149943"/>
        <c:axId val="277019653"/>
      </c:lineChart>
      <c:catAx>
        <c:axId val="1871499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 i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77019653"/>
        <c:crosses val="autoZero"/>
        <c:auto val="1"/>
        <c:lblAlgn val="ctr"/>
        <c:lblOffset val="100"/>
        <c:noMultiLvlLbl val="1"/>
      </c:catAx>
      <c:valAx>
        <c:axId val="2770196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7149943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51</xdr:row>
      <xdr:rowOff>-123825</xdr:rowOff>
    </xdr:from>
    <xdr:ext cx="8943975" cy="894397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104C0A4C-1A10-4133-8F2B-E434BF4F6F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50" y="9980295"/>
          <a:ext cx="8943975" cy="8943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37</xdr:row>
      <xdr:rowOff>76200</xdr:rowOff>
    </xdr:from>
    <xdr:ext cx="4524375" cy="28003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6B8076A2-B11C-4709-940B-D8223F0FD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457200</xdr:colOff>
      <xdr:row>37</xdr:row>
      <xdr:rowOff>57150</xdr:rowOff>
    </xdr:from>
    <xdr:ext cx="4524375" cy="280035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DFA16F3F-BDB0-4235-8A10-08694724A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923925</xdr:colOff>
      <xdr:row>38</xdr:row>
      <xdr:rowOff>180975</xdr:rowOff>
    </xdr:from>
    <xdr:ext cx="4486275" cy="280035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13751177-821C-4D43-B56F-E6FCB5593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14</xdr:col>
      <xdr:colOff>609600</xdr:colOff>
      <xdr:row>38</xdr:row>
      <xdr:rowOff>180975</xdr:rowOff>
    </xdr:from>
    <xdr:ext cx="4486275" cy="2800350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B855780D-B66C-4050-B574-A6DE2A030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514350</xdr:colOff>
      <xdr:row>65</xdr:row>
      <xdr:rowOff>95250</xdr:rowOff>
    </xdr:from>
    <xdr:ext cx="4524375" cy="2800350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5403C7C3-13BE-4495-8034-902714C66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5</xdr:col>
      <xdr:colOff>238125</xdr:colOff>
      <xdr:row>65</xdr:row>
      <xdr:rowOff>95250</xdr:rowOff>
    </xdr:from>
    <xdr:ext cx="4524375" cy="2800350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E96E9D2E-DD57-497B-942C-C0A3A1D33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152400</xdr:colOff>
      <xdr:row>92</xdr:row>
      <xdr:rowOff>114300</xdr:rowOff>
    </xdr:from>
    <xdr:ext cx="4943475" cy="3057525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277DB861-5E74-479A-A376-331DACE74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5</xdr:col>
      <xdr:colOff>295275</xdr:colOff>
      <xdr:row>92</xdr:row>
      <xdr:rowOff>114300</xdr:rowOff>
    </xdr:from>
    <xdr:ext cx="4943475" cy="3057525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5D65BBD4-C210-4747-B357-259B194B7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10</xdr:col>
      <xdr:colOff>438150</xdr:colOff>
      <xdr:row>92</xdr:row>
      <xdr:rowOff>114300</xdr:rowOff>
    </xdr:from>
    <xdr:ext cx="4943475" cy="3057525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0F08E576-DB42-4647-AC82-01C19D877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152400</xdr:colOff>
      <xdr:row>121</xdr:row>
      <xdr:rowOff>47625</xdr:rowOff>
    </xdr:from>
    <xdr:ext cx="4886325" cy="3057525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10AF3C6B-C64A-4DEB-849F-57D39F013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5</xdr:col>
      <xdr:colOff>238125</xdr:colOff>
      <xdr:row>121</xdr:row>
      <xdr:rowOff>47625</xdr:rowOff>
    </xdr:from>
    <xdr:ext cx="4943475" cy="3057525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BF63C897-D729-4326-AE66-D2FD0C6D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10</xdr:col>
      <xdr:colOff>381000</xdr:colOff>
      <xdr:row>121</xdr:row>
      <xdr:rowOff>47625</xdr:rowOff>
    </xdr:from>
    <xdr:ext cx="4943475" cy="3057525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962D8F74-3C54-41DA-90F0-151F8678E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514350</xdr:colOff>
      <xdr:row>150</xdr:row>
      <xdr:rowOff>47625</xdr:rowOff>
    </xdr:from>
    <xdr:ext cx="4886325" cy="30575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782885FA-C97A-4702-8608-AA1E1982F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5</xdr:col>
      <xdr:colOff>600075</xdr:colOff>
      <xdr:row>150</xdr:row>
      <xdr:rowOff>47625</xdr:rowOff>
    </xdr:from>
    <xdr:ext cx="5010150" cy="305752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26B15445-7E1A-45E2-8F86-7026AAA4E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Auto%20Tyres%20(1).xlsx" TargetMode="External"/><Relationship Id="rId1" Type="http://schemas.openxmlformats.org/officeDocument/2006/relationships/externalLinkPath" Target="/Users/profi/Downloads/Auto%20Tyre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yres &amp; Rubber Product"/>
      <sheetName val="IndustryView19Jul2018"/>
      <sheetName val="DashBoard"/>
      <sheetName val="Pivot Table 1"/>
      <sheetName val="JKTYRE"/>
      <sheetName val="CEATLTD"/>
      <sheetName val="mrf"/>
      <sheetName val="BALKRISIND"/>
      <sheetName val="BALSANDEEP"/>
    </sheetNames>
    <sheetDataSet>
      <sheetData sheetId="0">
        <row r="21">
          <cell r="C21" t="str">
            <v>FY_2023</v>
          </cell>
          <cell r="D21" t="str">
            <v>EST_FY_2032</v>
          </cell>
          <cell r="I21" t="str">
            <v>MARKETCAP</v>
          </cell>
          <cell r="M21" t="str">
            <v>SALES_23</v>
          </cell>
        </row>
        <row r="22">
          <cell r="C22">
            <v>19.63</v>
          </cell>
          <cell r="D22">
            <v>25.39</v>
          </cell>
          <cell r="H22" t="str">
            <v>MRF</v>
          </cell>
          <cell r="I22">
            <v>62712.620320299997</v>
          </cell>
          <cell r="L22" t="str">
            <v>MRF</v>
          </cell>
          <cell r="M22">
            <v>23008</v>
          </cell>
          <cell r="P22" t="str">
            <v>MRF</v>
          </cell>
          <cell r="Q22">
            <v>769</v>
          </cell>
        </row>
        <row r="23">
          <cell r="H23" t="str">
            <v>BALKRISIND</v>
          </cell>
          <cell r="I23">
            <v>45172.678365400003</v>
          </cell>
          <cell r="L23" t="str">
            <v>BALKRISIND</v>
          </cell>
          <cell r="M23">
            <v>9759</v>
          </cell>
          <cell r="P23" t="str">
            <v>BALKRISIND</v>
          </cell>
          <cell r="Q23">
            <v>1057</v>
          </cell>
        </row>
        <row r="24">
          <cell r="H24" t="str">
            <v>APOLLOTYRE</v>
          </cell>
          <cell r="I24">
            <v>33542.599359500004</v>
          </cell>
          <cell r="L24" t="str">
            <v>APOLLOTYRE</v>
          </cell>
          <cell r="M24">
            <v>24516</v>
          </cell>
          <cell r="P24" t="str">
            <v>APOLLOTYRE</v>
          </cell>
          <cell r="Q24">
            <v>1104</v>
          </cell>
        </row>
        <row r="25">
          <cell r="H25" t="str">
            <v>JKTYRE</v>
          </cell>
          <cell r="I25">
            <v>13457.1273588</v>
          </cell>
          <cell r="L25" t="str">
            <v>JKTYRE</v>
          </cell>
          <cell r="M25">
            <v>14645</v>
          </cell>
          <cell r="P25" t="str">
            <v>JKTYRE</v>
          </cell>
          <cell r="Q25">
            <v>263</v>
          </cell>
        </row>
        <row r="26">
          <cell r="H26" t="str">
            <v>CEATLTD</v>
          </cell>
          <cell r="I26">
            <v>11611.4007824</v>
          </cell>
          <cell r="L26" t="str">
            <v>CEATLTD</v>
          </cell>
          <cell r="M26">
            <v>11315</v>
          </cell>
          <cell r="P26" t="str">
            <v>CEATLTD</v>
          </cell>
          <cell r="Q26">
            <v>182</v>
          </cell>
        </row>
        <row r="27">
          <cell r="H27" t="str">
            <v>TVSSRICHAK</v>
          </cell>
          <cell r="I27">
            <v>3208.30395</v>
          </cell>
          <cell r="L27" t="str">
            <v>TVSSRICHAK</v>
          </cell>
          <cell r="M27">
            <v>2985</v>
          </cell>
          <cell r="P27" t="str">
            <v>TVSSRICHAK</v>
          </cell>
          <cell r="Q27">
            <v>78</v>
          </cell>
        </row>
        <row r="28">
          <cell r="H28" t="str">
            <v>GOODYEAR</v>
          </cell>
          <cell r="I28">
            <v>3021.2502826</v>
          </cell>
          <cell r="L28" t="str">
            <v>GOODYEAR</v>
          </cell>
          <cell r="M28">
            <v>2927</v>
          </cell>
          <cell r="P28" t="str">
            <v>GOODYEAR</v>
          </cell>
          <cell r="Q28">
            <v>123</v>
          </cell>
        </row>
        <row r="29">
          <cell r="H29" t="str">
            <v>RUBFILA</v>
          </cell>
          <cell r="I29">
            <v>433.65185209999999</v>
          </cell>
        </row>
        <row r="30">
          <cell r="H30" t="str">
            <v>INDAG</v>
          </cell>
          <cell r="I30">
            <v>378.787508</v>
          </cell>
        </row>
        <row r="31">
          <cell r="H31" t="str">
            <v>MODIRUBBER</v>
          </cell>
          <cell r="I31">
            <v>231.37450100000001</v>
          </cell>
        </row>
        <row r="32">
          <cell r="H32" t="str">
            <v>TTIL</v>
          </cell>
          <cell r="I32">
            <v>222.43584999999999</v>
          </cell>
        </row>
        <row r="33">
          <cell r="H33" t="str">
            <v>DOLFIN</v>
          </cell>
          <cell r="I33">
            <v>132.5951427</v>
          </cell>
        </row>
        <row r="34">
          <cell r="H34" t="str">
            <v>MMRUBBR-B</v>
          </cell>
          <cell r="I34">
            <v>70.878534999999999</v>
          </cell>
        </row>
        <row r="35">
          <cell r="H35" t="str">
            <v>EASTRED</v>
          </cell>
          <cell r="I35">
            <v>20.928000000000001</v>
          </cell>
        </row>
        <row r="36">
          <cell r="H36" t="str">
            <v>COCHMAL</v>
          </cell>
          <cell r="I36">
            <v>23.743567200000001</v>
          </cell>
        </row>
        <row r="57">
          <cell r="B57" t="str">
            <v>MRF</v>
          </cell>
          <cell r="C57">
            <v>8.3451835467970525E-2</v>
          </cell>
          <cell r="F57" t="str">
            <v>MRF</v>
          </cell>
          <cell r="G57">
            <v>9.6353256437143209E-2</v>
          </cell>
        </row>
        <row r="58">
          <cell r="B58" t="str">
            <v>BALKRISIND</v>
          </cell>
          <cell r="C58">
            <v>0.16948490063682908</v>
          </cell>
          <cell r="F58" t="str">
            <v>BALKRISIND</v>
          </cell>
          <cell r="G58">
            <v>-0.1015855952700887</v>
          </cell>
        </row>
        <row r="59">
          <cell r="B59" t="str">
            <v>APOLLOTYRE</v>
          </cell>
          <cell r="C59">
            <v>0.10185208820529956</v>
          </cell>
          <cell r="F59" t="str">
            <v>APOLLOTYRE</v>
          </cell>
          <cell r="G59">
            <v>4.3613537117903833E-2</v>
          </cell>
        </row>
        <row r="60">
          <cell r="B60" t="str">
            <v>JKTYRE</v>
          </cell>
          <cell r="C60">
            <v>0.1724587802499884</v>
          </cell>
          <cell r="F60" t="str">
            <v>JKTYRE</v>
          </cell>
          <cell r="G60">
            <v>2.6425717399200854E-2</v>
          </cell>
        </row>
        <row r="61">
          <cell r="B61" t="str">
            <v>CEATLTD</v>
          </cell>
          <cell r="C61">
            <v>0.12071430881701772</v>
          </cell>
          <cell r="F61" t="str">
            <v>CEATLTD</v>
          </cell>
          <cell r="G61">
            <v>6.0545023696682465E-2</v>
          </cell>
        </row>
        <row r="62">
          <cell r="B62" t="str">
            <v>TVSSRICHAK</v>
          </cell>
          <cell r="C62">
            <v>6.2639530273652211E-2</v>
          </cell>
          <cell r="F62" t="str">
            <v>TVSSRICHAK</v>
          </cell>
          <cell r="G62">
            <v>-6.1251086012163336E-2</v>
          </cell>
        </row>
        <row r="63">
          <cell r="B63" t="str">
            <v>GOODYEAR</v>
          </cell>
          <cell r="C63">
            <v>0.11400910166555867</v>
          </cell>
          <cell r="F63" t="str">
            <v>GOODYEAR</v>
          </cell>
          <cell r="G63">
            <v>-0.12043956043956039</v>
          </cell>
        </row>
        <row r="84">
          <cell r="B84" t="str">
            <v>MRF</v>
          </cell>
          <cell r="C84">
            <v>3.3423157162726008E-2</v>
          </cell>
          <cell r="D84">
            <v>8.9532412327311364E-2</v>
          </cell>
          <cell r="G84" t="str">
            <v>MRF</v>
          </cell>
          <cell r="H84">
            <v>1.2707431120250074</v>
          </cell>
          <cell r="K84" t="str">
            <v>MRF</v>
          </cell>
          <cell r="L84">
            <v>45.028194541029208</v>
          </cell>
        </row>
        <row r="85">
          <cell r="B85" t="str">
            <v>BALKRISIND</v>
          </cell>
          <cell r="C85">
            <v>0.10831027769238652</v>
          </cell>
          <cell r="D85">
            <v>0.1473227639844451</v>
          </cell>
          <cell r="G85" t="str">
            <v>BALKRISIND</v>
          </cell>
          <cell r="H85">
            <v>1.2327558025498528</v>
          </cell>
          <cell r="K85" t="str">
            <v>BALKRISIND</v>
          </cell>
          <cell r="L85">
            <v>36.466338764217646</v>
          </cell>
        </row>
        <row r="86">
          <cell r="B86" t="str">
            <v>APOLLOTYRE</v>
          </cell>
          <cell r="C86">
            <v>4.503181595692609E-2</v>
          </cell>
          <cell r="D86">
            <v>7.1499555416078248E-2</v>
          </cell>
          <cell r="G86" t="str">
            <v>APOLLOTYRE</v>
          </cell>
          <cell r="H86">
            <v>1.1407437025189924</v>
          </cell>
          <cell r="K86" t="str">
            <v>APOLLOTYRE</v>
          </cell>
          <cell r="L86">
            <v>35.895537608092674</v>
          </cell>
        </row>
        <row r="87">
          <cell r="B87" t="str">
            <v>JKTYRE</v>
          </cell>
          <cell r="C87">
            <v>1.795834755889382E-2</v>
          </cell>
          <cell r="D87">
            <v>5.609130319384234E-2</v>
          </cell>
          <cell r="G87" t="str">
            <v>JKTYRE</v>
          </cell>
          <cell r="H87">
            <v>1.0750286368843069</v>
          </cell>
          <cell r="K87" t="str">
            <v>JKTYRE</v>
          </cell>
          <cell r="L87">
            <v>64.675657220894507</v>
          </cell>
        </row>
        <row r="88">
          <cell r="B88" t="str">
            <v>CEATLTD</v>
          </cell>
          <cell r="C88">
            <v>1.6084843128590365E-2</v>
          </cell>
          <cell r="D88">
            <v>5.9546419394481062E-2</v>
          </cell>
          <cell r="G88" t="str">
            <v>CEATLTD</v>
          </cell>
          <cell r="H88">
            <v>0.64785764457972372</v>
          </cell>
          <cell r="K88" t="str">
            <v>CEATLTD</v>
          </cell>
          <cell r="L88">
            <v>42.806451612903231</v>
          </cell>
        </row>
        <row r="89">
          <cell r="B89" t="str">
            <v>TVSSRICHAK</v>
          </cell>
          <cell r="C89">
            <v>2.6130653266331658E-2</v>
          </cell>
          <cell r="D89">
            <v>3.8870893105043963E-2</v>
          </cell>
          <cell r="G89" t="str">
            <v>TVSSRICHAK</v>
          </cell>
          <cell r="H89">
            <v>1.1030056086695059</v>
          </cell>
          <cell r="K89" t="str">
            <v>TVSSRICHAK</v>
          </cell>
          <cell r="L89">
            <v>29.445778894472362</v>
          </cell>
        </row>
        <row r="90">
          <cell r="B90" t="str">
            <v>GOODYEAR</v>
          </cell>
          <cell r="C90">
            <v>4.2022548684660065E-2</v>
          </cell>
          <cell r="D90">
            <v>4.9475262368815595E-2</v>
          </cell>
          <cell r="G90" t="str">
            <v>GOODYEAR</v>
          </cell>
          <cell r="H90">
            <v>1.3111455108359134</v>
          </cell>
          <cell r="K90" t="str">
            <v>GOODYEAR</v>
          </cell>
          <cell r="L90">
            <v>40.278442090878031</v>
          </cell>
        </row>
        <row r="113">
          <cell r="B113" t="str">
            <v>MRF</v>
          </cell>
          <cell r="C113">
            <v>0.1534251265219907</v>
          </cell>
          <cell r="F113" t="str">
            <v>MRF</v>
          </cell>
          <cell r="G113">
            <v>3.561128526645768</v>
          </cell>
          <cell r="J113" t="str">
            <v>MRF</v>
          </cell>
          <cell r="K113">
            <v>0.38660097392231557</v>
          </cell>
        </row>
        <row r="114">
          <cell r="B114" t="str">
            <v>BALKRISIND</v>
          </cell>
          <cell r="C114">
            <v>0.35379939209726446</v>
          </cell>
          <cell r="F114" t="str">
            <v>BALKRISIND</v>
          </cell>
          <cell r="G114">
            <v>23.666666666666668</v>
          </cell>
          <cell r="J114" t="str">
            <v>BALKRISIND</v>
          </cell>
          <cell r="K114">
            <v>0.34587243518371241</v>
          </cell>
        </row>
        <row r="115">
          <cell r="B115" t="str">
            <v>APOLLOTYRE</v>
          </cell>
          <cell r="C115">
            <v>0.36727776921891853</v>
          </cell>
          <cell r="F115" t="str">
            <v>APOLLOTYRE</v>
          </cell>
          <cell r="G115">
            <v>3.4708097928436912</v>
          </cell>
          <cell r="J115" t="str">
            <v>APOLLOTYRE</v>
          </cell>
          <cell r="K115">
            <v>0.50807062746286757</v>
          </cell>
        </row>
        <row r="116">
          <cell r="B116" t="str">
            <v>JKTYRE</v>
          </cell>
          <cell r="C116">
            <v>1.1530693595535477</v>
          </cell>
          <cell r="F116" t="str">
            <v>JKTYRE</v>
          </cell>
          <cell r="G116">
            <v>1.9604395604395604</v>
          </cell>
          <cell r="J116" t="str">
            <v>JKTYRE</v>
          </cell>
          <cell r="K116">
            <v>0.6992860468725749</v>
          </cell>
        </row>
        <row r="117">
          <cell r="B117" t="str">
            <v>CEATLTD</v>
          </cell>
          <cell r="C117">
            <v>0.50239234449760761</v>
          </cell>
          <cell r="F117" t="str">
            <v>CEATLTD</v>
          </cell>
          <cell r="G117">
            <v>2.0867768595041323</v>
          </cell>
          <cell r="J117" t="str">
            <v>CEATLTD</v>
          </cell>
          <cell r="K117">
            <v>0.61670911869587364</v>
          </cell>
        </row>
        <row r="118">
          <cell r="B118" t="str">
            <v>TVSSRICHAK</v>
          </cell>
          <cell r="C118">
            <v>0.65393812514538263</v>
          </cell>
          <cell r="F118" t="str">
            <v>TVSSRICHAK</v>
          </cell>
          <cell r="G118">
            <v>3.45</v>
          </cell>
          <cell r="J118" t="str">
            <v>TVSSRICHAK</v>
          </cell>
          <cell r="K118">
            <v>0.54747112871954817</v>
          </cell>
        </row>
        <row r="119">
          <cell r="B119" t="str">
            <v>GOODYEAR</v>
          </cell>
          <cell r="C119">
            <v>0</v>
          </cell>
          <cell r="F119" t="str">
            <v>GOODYEAR</v>
          </cell>
          <cell r="G119">
            <v>51.75</v>
          </cell>
          <cell r="J119" t="str">
            <v>GOODYEAR</v>
          </cell>
          <cell r="K119">
            <v>0.521505376344086</v>
          </cell>
        </row>
        <row r="142">
          <cell r="B142" t="str">
            <v>MRF</v>
          </cell>
          <cell r="C142">
            <v>4.8574843158211235E-2</v>
          </cell>
          <cell r="D142">
            <v>2.9795761485123039E-2</v>
          </cell>
          <cell r="H142" t="str">
            <v>MRF</v>
          </cell>
          <cell r="I142">
            <v>36.312206676160692</v>
          </cell>
          <cell r="K142">
            <v>3.9734570723464024</v>
          </cell>
        </row>
        <row r="143">
          <cell r="B143" t="str">
            <v>BALKRISIND</v>
          </cell>
          <cell r="C143">
            <v>0.12851063829787235</v>
          </cell>
          <cell r="D143">
            <v>8.4062350882773973E-2</v>
          </cell>
          <cell r="H143" t="str">
            <v>BALKRISIND</v>
          </cell>
          <cell r="I143">
            <v>45.161912104857358</v>
          </cell>
          <cell r="K143">
            <v>5.3875105893743189</v>
          </cell>
        </row>
        <row r="144">
          <cell r="B144" t="str">
            <v>APOLLOTYRE</v>
          </cell>
          <cell r="C144">
            <v>8.5040825758742875E-2</v>
          </cell>
          <cell r="D144">
            <v>4.1830857835707794E-2</v>
          </cell>
          <cell r="H144" t="str">
            <v>APOLLOTYRE</v>
          </cell>
          <cell r="I144">
            <v>32.411477411477414</v>
          </cell>
          <cell r="K144">
            <v>2.5639478727481793</v>
          </cell>
        </row>
        <row r="145">
          <cell r="B145" t="str">
            <v>JKTYRE</v>
          </cell>
          <cell r="C145">
            <v>6.9891044379484457E-2</v>
          </cell>
          <cell r="D145">
            <v>2.0409747012261368E-2</v>
          </cell>
          <cell r="H145" t="str">
            <v>JKTYRE</v>
          </cell>
          <cell r="I145">
            <v>33.430799220272903</v>
          </cell>
          <cell r="K145">
            <v>3.3067287513116472</v>
          </cell>
        </row>
        <row r="146">
          <cell r="B146" t="str">
            <v>CEATLTD</v>
          </cell>
          <cell r="C146">
            <v>4.837852206273259E-2</v>
          </cell>
          <cell r="D146">
            <v>1.8543046357615896E-2</v>
          </cell>
          <cell r="H146" t="str">
            <v>CEATLTD</v>
          </cell>
          <cell r="I146">
            <v>17.50500151561079</v>
          </cell>
          <cell r="K146">
            <v>3.0378221988427141</v>
          </cell>
        </row>
        <row r="147">
          <cell r="B147" t="str">
            <v>TVSSRICHAK</v>
          </cell>
          <cell r="C147">
            <v>7.2575017445917656E-2</v>
          </cell>
          <cell r="D147">
            <v>3.2875326645873726E-2</v>
          </cell>
          <cell r="H147" t="str">
            <v>TVSSRICHAK</v>
          </cell>
          <cell r="I147">
            <v>34.331778377936004</v>
          </cell>
          <cell r="K147">
            <v>2.9687179534557147</v>
          </cell>
        </row>
        <row r="148">
          <cell r="B148" t="str">
            <v>GOODYEAR</v>
          </cell>
          <cell r="C148">
            <v>0.19743178170144463</v>
          </cell>
          <cell r="D148">
            <v>9.4470046082949302E-2</v>
          </cell>
          <cell r="H148" t="str">
            <v>GOODYEAR</v>
          </cell>
          <cell r="I148">
            <v>22.277379733879226</v>
          </cell>
          <cell r="K148">
            <v>4.6494891640866873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rofitfromit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02486-B6B8-40AA-89E5-0616A38A1B52}">
  <dimension ref="A1:AC997"/>
  <sheetViews>
    <sheetView showGridLines="0" tabSelected="1" workbookViewId="0"/>
  </sheetViews>
  <sheetFormatPr defaultColWidth="14.44140625" defaultRowHeight="15" customHeight="1"/>
  <cols>
    <col min="1" max="1" width="8.6640625" customWidth="1"/>
    <col min="2" max="2" width="11.109375" customWidth="1"/>
    <col min="3" max="3" width="15.44140625" customWidth="1"/>
    <col min="4" max="4" width="12.44140625" customWidth="1"/>
    <col min="5" max="5" width="9.6640625" customWidth="1"/>
    <col min="6" max="6" width="9" customWidth="1"/>
    <col min="7" max="7" width="16.5546875" customWidth="1"/>
    <col min="8" max="8" width="13.5546875" customWidth="1"/>
    <col min="9" max="9" width="11.33203125" customWidth="1"/>
    <col min="10" max="10" width="9.88671875" customWidth="1"/>
    <col min="11" max="11" width="11.88671875" customWidth="1"/>
    <col min="12" max="12" width="9.88671875" customWidth="1"/>
    <col min="13" max="13" width="16.5546875" customWidth="1"/>
    <col min="14" max="14" width="11" customWidth="1"/>
    <col min="15" max="15" width="13.88671875" customWidth="1"/>
    <col min="16" max="16" width="14.33203125" customWidth="1"/>
    <col min="17" max="17" width="10.6640625" customWidth="1"/>
    <col min="18" max="18" width="11.109375" customWidth="1"/>
    <col min="19" max="19" width="13.88671875" customWidth="1"/>
    <col min="20" max="20" width="12.44140625" customWidth="1"/>
    <col min="21" max="21" width="10.88671875" customWidth="1"/>
    <col min="22" max="22" width="11.88671875" customWidth="1"/>
    <col min="23" max="29" width="8.6640625" customWidth="1"/>
  </cols>
  <sheetData>
    <row r="1" spans="1:29" ht="15.75" customHeight="1">
      <c r="B1" s="1" t="s">
        <v>0</v>
      </c>
      <c r="C1" s="2"/>
      <c r="D1" s="2"/>
      <c r="E1" s="1" t="s">
        <v>1</v>
      </c>
      <c r="F1" s="2"/>
      <c r="G1" s="2"/>
      <c r="H1" s="2"/>
      <c r="I1" s="1" t="s">
        <v>2</v>
      </c>
      <c r="J1" s="2"/>
      <c r="K1" s="2"/>
      <c r="L1" s="2"/>
      <c r="M1" s="3"/>
      <c r="N1" s="3"/>
      <c r="O1" s="3"/>
      <c r="P1" s="3"/>
      <c r="Q1" s="3"/>
      <c r="R1" s="1" t="s">
        <v>3</v>
      </c>
    </row>
    <row r="2" spans="1:29" ht="15.75" customHeight="1">
      <c r="A2" s="1" t="s">
        <v>4</v>
      </c>
      <c r="B2" s="1" t="s">
        <v>5</v>
      </c>
      <c r="C2" s="1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  <c r="N2" s="1" t="s">
        <v>17</v>
      </c>
      <c r="O2" s="1" t="s">
        <v>18</v>
      </c>
      <c r="P2" s="1" t="s">
        <v>19</v>
      </c>
      <c r="Q2" s="1" t="s">
        <v>20</v>
      </c>
      <c r="R2" s="1" t="s">
        <v>21</v>
      </c>
      <c r="S2" s="1" t="s">
        <v>22</v>
      </c>
      <c r="T2" s="1" t="s">
        <v>23</v>
      </c>
      <c r="U2" s="1" t="s">
        <v>24</v>
      </c>
      <c r="V2" s="1" t="s">
        <v>25</v>
      </c>
    </row>
    <row r="3" spans="1:29" ht="15.75" customHeight="1">
      <c r="B3" s="3" t="s">
        <v>26</v>
      </c>
      <c r="C3" s="4">
        <f ca="1">IFERROR(__xludf.DUMMYFUNCTION("GOOGLEFINANCE(""nse:""&amp;B3,""price"")"),2334)</f>
        <v>2334</v>
      </c>
      <c r="D3" s="4">
        <f ca="1">IFERROR(__xludf.DUMMYFUNCTION("GOOGLEFINANCE(""nse:""&amp;B3,""marketcap"")/10000000"),45213.0018626)</f>
        <v>45213.001862600002</v>
      </c>
      <c r="E3" s="5">
        <f t="shared" ref="E3:F3" si="0">C48</f>
        <v>9271.0499999999993</v>
      </c>
      <c r="F3" s="5">
        <f t="shared" si="0"/>
        <v>1362.8443499999998</v>
      </c>
      <c r="G3" s="6">
        <v>2</v>
      </c>
      <c r="H3" s="5">
        <f>E48</f>
        <v>70.527517450331118</v>
      </c>
      <c r="I3" s="7">
        <v>38.700000000000003</v>
      </c>
      <c r="J3" s="7">
        <v>8225</v>
      </c>
      <c r="K3" s="8">
        <f>853+2059</f>
        <v>2912</v>
      </c>
      <c r="L3" s="6">
        <v>4</v>
      </c>
      <c r="M3" s="4">
        <v>3772</v>
      </c>
      <c r="N3" s="4">
        <v>3059</v>
      </c>
      <c r="O3" s="4">
        <v>12575</v>
      </c>
      <c r="P3" s="4">
        <f>N3+1291</f>
        <v>4350</v>
      </c>
      <c r="Q3" s="6">
        <v>976</v>
      </c>
      <c r="R3" s="3">
        <v>607</v>
      </c>
      <c r="S3" s="3">
        <v>1249</v>
      </c>
      <c r="T3" s="9">
        <v>-693</v>
      </c>
      <c r="U3" s="10">
        <v>-545</v>
      </c>
      <c r="V3" s="11">
        <f t="shared" ref="V3:V4" si="1">SUM(S3:U3)</f>
        <v>11</v>
      </c>
      <c r="W3" s="12"/>
      <c r="Y3" s="13"/>
    </row>
    <row r="4" spans="1:29" ht="15.75" customHeight="1">
      <c r="B4" s="9" t="s">
        <v>27</v>
      </c>
      <c r="C4" s="8">
        <v>1951</v>
      </c>
      <c r="D4" s="14">
        <f ca="1">C4*D3/C3</f>
        <v>37793.730348728626</v>
      </c>
      <c r="E4" s="15">
        <f t="shared" ref="E4:F4" si="2">C35</f>
        <v>9759</v>
      </c>
      <c r="F4" s="15">
        <f t="shared" si="2"/>
        <v>1057</v>
      </c>
      <c r="G4" s="6">
        <v>2</v>
      </c>
      <c r="H4" s="4">
        <f>E35</f>
        <v>54.7</v>
      </c>
      <c r="I4" s="14">
        <v>38.700000000000003</v>
      </c>
      <c r="J4" s="8">
        <v>7557</v>
      </c>
      <c r="K4" s="8">
        <f>1038+2304</f>
        <v>3342</v>
      </c>
      <c r="L4" s="8">
        <v>5</v>
      </c>
      <c r="M4" s="8">
        <v>3928</v>
      </c>
      <c r="N4" s="8">
        <v>3349</v>
      </c>
      <c r="O4" s="8">
        <v>12348</v>
      </c>
      <c r="P4" s="6">
        <f>N4+1442</f>
        <v>4791</v>
      </c>
      <c r="Q4" s="6">
        <v>1115</v>
      </c>
      <c r="R4" s="3">
        <v>905</v>
      </c>
      <c r="S4" s="3">
        <v>458</v>
      </c>
      <c r="T4" s="9">
        <v>-830</v>
      </c>
      <c r="U4" s="16">
        <v>544</v>
      </c>
      <c r="V4" s="11">
        <f t="shared" si="1"/>
        <v>172</v>
      </c>
      <c r="W4" s="17"/>
      <c r="Y4" s="18"/>
    </row>
    <row r="5" spans="1:29" ht="15.75" customHeight="1">
      <c r="B5" s="9" t="s">
        <v>28</v>
      </c>
      <c r="C5" s="19">
        <f t="shared" ref="C5:V5" ca="1" si="3">(C3/C4)-1</f>
        <v>0.19630958482829319</v>
      </c>
      <c r="D5" s="19">
        <f t="shared" ca="1" si="3"/>
        <v>0.19630958482829297</v>
      </c>
      <c r="E5" s="19">
        <f t="shared" si="3"/>
        <v>-5.0000000000000044E-2</v>
      </c>
      <c r="F5" s="19">
        <f t="shared" si="3"/>
        <v>0.28935132450331102</v>
      </c>
      <c r="G5" s="19">
        <f t="shared" si="3"/>
        <v>0</v>
      </c>
      <c r="H5" s="19">
        <f t="shared" si="3"/>
        <v>0.28935132450331102</v>
      </c>
      <c r="I5" s="19">
        <f t="shared" si="3"/>
        <v>0</v>
      </c>
      <c r="J5" s="19">
        <f t="shared" si="3"/>
        <v>8.8394865687442037E-2</v>
      </c>
      <c r="K5" s="19">
        <f t="shared" si="3"/>
        <v>-0.12866546977857574</v>
      </c>
      <c r="L5" s="19">
        <f t="shared" si="3"/>
        <v>-0.19999999999999996</v>
      </c>
      <c r="M5" s="19">
        <f t="shared" si="3"/>
        <v>-3.9714867617107963E-2</v>
      </c>
      <c r="N5" s="19">
        <f t="shared" si="3"/>
        <v>-8.6593012839653594E-2</v>
      </c>
      <c r="O5" s="19">
        <f t="shared" si="3"/>
        <v>1.8383543893748078E-2</v>
      </c>
      <c r="P5" s="19">
        <f t="shared" si="3"/>
        <v>-9.2047589229805937E-2</v>
      </c>
      <c r="Q5" s="19">
        <f t="shared" si="3"/>
        <v>-0.12466367713004489</v>
      </c>
      <c r="R5" s="19">
        <f t="shared" si="3"/>
        <v>-0.32928176795580111</v>
      </c>
      <c r="S5" s="19">
        <f t="shared" si="3"/>
        <v>1.7270742358078603</v>
      </c>
      <c r="T5" s="19">
        <f t="shared" si="3"/>
        <v>-0.16506024096385541</v>
      </c>
      <c r="U5" s="19">
        <f t="shared" si="3"/>
        <v>-2.0018382352941178</v>
      </c>
      <c r="V5" s="19">
        <f t="shared" si="3"/>
        <v>-0.93604651162790697</v>
      </c>
      <c r="W5" s="17"/>
      <c r="Y5" s="18"/>
    </row>
    <row r="6" spans="1:29" ht="15.75" customHeight="1">
      <c r="E6" s="20"/>
      <c r="F6" s="21"/>
      <c r="G6" s="21"/>
      <c r="Q6" s="22"/>
      <c r="V6" s="17"/>
      <c r="W6" s="18"/>
      <c r="X6" s="17"/>
      <c r="Y6" s="18"/>
    </row>
    <row r="7" spans="1:29" ht="15.75" customHeight="1">
      <c r="B7" s="23" t="s">
        <v>29</v>
      </c>
      <c r="C7" s="24"/>
      <c r="D7" s="23" t="s">
        <v>30</v>
      </c>
      <c r="E7" s="25"/>
      <c r="F7" s="26"/>
      <c r="G7" s="27" t="s">
        <v>31</v>
      </c>
      <c r="H7" s="24"/>
      <c r="I7" s="24"/>
      <c r="J7" s="23" t="s">
        <v>32</v>
      </c>
      <c r="K7" s="24"/>
      <c r="L7" s="24"/>
      <c r="M7" s="23" t="s">
        <v>33</v>
      </c>
      <c r="N7" s="24"/>
      <c r="O7" s="26"/>
      <c r="P7" s="24"/>
      <c r="Q7" s="24"/>
      <c r="R7" s="23" t="s">
        <v>3</v>
      </c>
      <c r="V7" s="17"/>
      <c r="W7" s="18"/>
      <c r="X7" s="17"/>
      <c r="Y7" s="18"/>
    </row>
    <row r="8" spans="1:29" ht="15.75" customHeight="1">
      <c r="A8" s="1" t="s">
        <v>29</v>
      </c>
      <c r="B8" s="1" t="s">
        <v>34</v>
      </c>
      <c r="C8" s="1" t="s">
        <v>35</v>
      </c>
      <c r="D8" s="1" t="s">
        <v>36</v>
      </c>
      <c r="E8" s="1" t="s">
        <v>37</v>
      </c>
      <c r="F8" s="1" t="s">
        <v>38</v>
      </c>
      <c r="G8" s="1" t="s">
        <v>39</v>
      </c>
      <c r="H8" s="1" t="s">
        <v>40</v>
      </c>
      <c r="I8" s="1" t="s">
        <v>41</v>
      </c>
      <c r="J8" s="1" t="s">
        <v>42</v>
      </c>
      <c r="K8" s="1" t="s">
        <v>43</v>
      </c>
      <c r="L8" s="1" t="s">
        <v>44</v>
      </c>
      <c r="M8" s="1" t="s">
        <v>45</v>
      </c>
      <c r="N8" s="1" t="s">
        <v>46</v>
      </c>
      <c r="O8" s="1" t="s">
        <v>47</v>
      </c>
      <c r="P8" s="1" t="s">
        <v>48</v>
      </c>
      <c r="Q8" s="1" t="s">
        <v>49</v>
      </c>
      <c r="R8" s="1" t="s">
        <v>50</v>
      </c>
      <c r="S8" s="1" t="s">
        <v>51</v>
      </c>
      <c r="T8" s="1" t="s">
        <v>52</v>
      </c>
      <c r="V8" s="17"/>
      <c r="W8" s="18"/>
      <c r="X8" s="17"/>
      <c r="Y8" s="18"/>
    </row>
    <row r="9" spans="1:29" ht="15.75" customHeight="1">
      <c r="B9" s="28">
        <f>P44</f>
        <v>-0.10157194679564696</v>
      </c>
      <c r="C9" s="29">
        <f>P47</f>
        <v>0.23462986198243407</v>
      </c>
      <c r="D9" s="29">
        <f>N49</f>
        <v>0.1471511888739345</v>
      </c>
      <c r="E9" s="30">
        <f>M3/N3</f>
        <v>1.2330827067669172</v>
      </c>
      <c r="F9" s="31">
        <f>(Q3/E3)*365</f>
        <v>38.42498961822016</v>
      </c>
      <c r="G9" s="29">
        <f>K3/J3</f>
        <v>0.35404255319148936</v>
      </c>
      <c r="H9" s="29">
        <f>P3/O3</f>
        <v>0.34592445328031807</v>
      </c>
      <c r="I9" s="31">
        <f>N50</f>
        <v>13.390243902439025</v>
      </c>
      <c r="J9" s="29">
        <f>F3/J3</f>
        <v>0.16569536170212765</v>
      </c>
      <c r="K9" s="30">
        <f>F3/I3</f>
        <v>35.215616279069764</v>
      </c>
      <c r="L9" s="29">
        <f>F3/O3</f>
        <v>0.10837728429423459</v>
      </c>
      <c r="M9" s="31">
        <f ca="1">C3/H3</f>
        <v>33.093465988558513</v>
      </c>
      <c r="N9" s="32">
        <f ca="1">H3/C3</f>
        <v>3.021744535147006E-2</v>
      </c>
      <c r="O9" s="31">
        <f>J3/(I3/G3)</f>
        <v>425.06459948320412</v>
      </c>
      <c r="P9" s="31">
        <f ca="1">C3/O9</f>
        <v>5.4909300911854109</v>
      </c>
      <c r="Q9" s="30">
        <f ca="1">K44</f>
        <v>1.5762389075732406</v>
      </c>
      <c r="R9" s="30">
        <f>S3/N3</f>
        <v>0.40830336711343579</v>
      </c>
      <c r="S9" s="30">
        <f>S3/K3</f>
        <v>0.42891483516483514</v>
      </c>
      <c r="T9" s="31">
        <f>S3-R3</f>
        <v>642</v>
      </c>
    </row>
    <row r="10" spans="1:29" ht="15.75" customHeight="1">
      <c r="C10" s="33"/>
      <c r="D10" s="33"/>
      <c r="E10" s="33"/>
      <c r="F10" s="21"/>
      <c r="G10" s="21"/>
      <c r="L10" s="33"/>
      <c r="M10" s="34"/>
      <c r="N10" s="33"/>
    </row>
    <row r="11" spans="1:29" ht="15.75" customHeight="1">
      <c r="A11" s="1" t="s">
        <v>53</v>
      </c>
      <c r="B11" s="1" t="s">
        <v>54</v>
      </c>
      <c r="C11" s="1" t="s">
        <v>55</v>
      </c>
      <c r="D11" s="1" t="s">
        <v>9</v>
      </c>
      <c r="E11" s="1" t="s">
        <v>56</v>
      </c>
      <c r="F11" s="1" t="s">
        <v>57</v>
      </c>
      <c r="G11" s="1" t="s">
        <v>58</v>
      </c>
      <c r="H11" s="1" t="s">
        <v>59</v>
      </c>
      <c r="I11" s="1" t="s">
        <v>60</v>
      </c>
      <c r="J11" s="1" t="s">
        <v>61</v>
      </c>
      <c r="K11" s="1" t="s">
        <v>62</v>
      </c>
    </row>
    <row r="12" spans="1:29" ht="15.75" customHeight="1">
      <c r="A12" s="35"/>
      <c r="B12" s="36" t="s">
        <v>63</v>
      </c>
      <c r="C12" s="37">
        <v>135</v>
      </c>
      <c r="D12" s="38">
        <v>7.2</v>
      </c>
      <c r="E12" s="38">
        <v>0.12</v>
      </c>
      <c r="F12" s="39">
        <v>6.19</v>
      </c>
      <c r="G12" s="40">
        <v>57</v>
      </c>
      <c r="H12" s="41">
        <v>23.35</v>
      </c>
      <c r="I12" s="42">
        <f t="shared" ref="I12:I35" si="4">D12/C12</f>
        <v>5.3333333333333337E-2</v>
      </c>
      <c r="J12" s="43">
        <f t="shared" ref="J12:J19" si="5">G12/E12</f>
        <v>475</v>
      </c>
      <c r="K12" s="43">
        <f t="shared" ref="K12:K19" si="6">H12/E12</f>
        <v>194.58333333333334</v>
      </c>
    </row>
    <row r="13" spans="1:29" ht="15.75" customHeight="1">
      <c r="A13" s="35"/>
      <c r="B13" s="36" t="s">
        <v>64</v>
      </c>
      <c r="C13" s="37">
        <v>166</v>
      </c>
      <c r="D13" s="38">
        <v>2.4</v>
      </c>
      <c r="E13" s="38">
        <v>3.94</v>
      </c>
      <c r="F13" s="39">
        <v>6.19</v>
      </c>
      <c r="G13" s="40">
        <v>36.4</v>
      </c>
      <c r="H13" s="41">
        <v>17.5</v>
      </c>
      <c r="I13" s="42">
        <f t="shared" si="4"/>
        <v>1.4457831325301203E-2</v>
      </c>
      <c r="J13" s="43">
        <f t="shared" si="5"/>
        <v>9.2385786802030463</v>
      </c>
      <c r="K13" s="43">
        <f t="shared" si="6"/>
        <v>4.4416243654822338</v>
      </c>
    </row>
    <row r="14" spans="1:29" ht="15.75" customHeight="1">
      <c r="A14" s="35"/>
      <c r="B14" s="36" t="s">
        <v>65</v>
      </c>
      <c r="C14" s="37">
        <v>228</v>
      </c>
      <c r="D14" s="38">
        <v>5.9</v>
      </c>
      <c r="E14" s="38">
        <v>9.52</v>
      </c>
      <c r="F14" s="39">
        <v>6.19</v>
      </c>
      <c r="G14" s="40">
        <v>32.75</v>
      </c>
      <c r="H14" s="41">
        <v>17.600000000000001</v>
      </c>
      <c r="I14" s="42">
        <f t="shared" si="4"/>
        <v>2.5877192982456141E-2</v>
      </c>
      <c r="J14" s="43">
        <f t="shared" si="5"/>
        <v>3.4401260504201683</v>
      </c>
      <c r="K14" s="43">
        <f t="shared" si="6"/>
        <v>1.8487394957983196</v>
      </c>
      <c r="L14" s="13"/>
    </row>
    <row r="15" spans="1:29" ht="15.75" customHeight="1">
      <c r="B15" s="36" t="s">
        <v>66</v>
      </c>
      <c r="C15" s="37">
        <v>313</v>
      </c>
      <c r="D15" s="37">
        <v>21</v>
      </c>
      <c r="E15" s="37">
        <v>33.64</v>
      </c>
      <c r="F15" s="39">
        <v>6.19</v>
      </c>
      <c r="G15" s="44">
        <v>68.5</v>
      </c>
      <c r="H15" s="44">
        <v>28.45</v>
      </c>
      <c r="I15" s="42">
        <f t="shared" si="4"/>
        <v>6.7092651757188496E-2</v>
      </c>
      <c r="J15" s="43">
        <f t="shared" si="5"/>
        <v>2.0362663495838289</v>
      </c>
      <c r="K15" s="43">
        <f t="shared" si="6"/>
        <v>0.84571938168846605</v>
      </c>
    </row>
    <row r="16" spans="1:29" ht="15.75" customHeight="1">
      <c r="A16" s="6" t="s">
        <v>67</v>
      </c>
      <c r="B16" s="36" t="s">
        <v>68</v>
      </c>
      <c r="C16" s="37">
        <v>365</v>
      </c>
      <c r="D16" s="37">
        <v>31.5</v>
      </c>
      <c r="E16" s="37">
        <v>24.42</v>
      </c>
      <c r="F16" s="39">
        <v>12.3</v>
      </c>
      <c r="G16" s="44">
        <v>404.65</v>
      </c>
      <c r="H16" s="44">
        <v>38.200000000000003</v>
      </c>
      <c r="I16" s="42">
        <f t="shared" si="4"/>
        <v>8.6301369863013705E-2</v>
      </c>
      <c r="J16" s="43">
        <f t="shared" si="5"/>
        <v>16.570434070434068</v>
      </c>
      <c r="K16" s="43">
        <f t="shared" si="6"/>
        <v>1.5642915642915642</v>
      </c>
      <c r="Y16" s="22"/>
      <c r="Z16" s="22"/>
      <c r="AA16" s="22"/>
      <c r="AB16" s="22"/>
      <c r="AC16" s="22"/>
    </row>
    <row r="17" spans="1:29" ht="15.75" customHeight="1">
      <c r="B17" s="36" t="s">
        <v>69</v>
      </c>
      <c r="C17" s="37">
        <v>493</v>
      </c>
      <c r="D17" s="37">
        <v>63</v>
      </c>
      <c r="E17" s="37">
        <v>51.01</v>
      </c>
      <c r="F17" s="39">
        <v>12.3</v>
      </c>
      <c r="G17" s="44">
        <v>466</v>
      </c>
      <c r="H17" s="44">
        <v>153.75</v>
      </c>
      <c r="I17" s="42">
        <f t="shared" si="4"/>
        <v>0.12778904665314403</v>
      </c>
      <c r="J17" s="43">
        <f t="shared" si="5"/>
        <v>9.1354636345814555</v>
      </c>
      <c r="K17" s="43">
        <f t="shared" si="6"/>
        <v>3.0141148794354051</v>
      </c>
      <c r="Y17" s="22"/>
      <c r="Z17" s="22"/>
      <c r="AA17" s="22"/>
      <c r="AB17" s="22"/>
      <c r="AC17" s="22"/>
    </row>
    <row r="18" spans="1:29" ht="15.75" customHeight="1">
      <c r="A18" s="6" t="s">
        <v>70</v>
      </c>
      <c r="B18" s="36" t="s">
        <v>71</v>
      </c>
      <c r="C18" s="37">
        <v>626</v>
      </c>
      <c r="D18" s="37">
        <v>69</v>
      </c>
      <c r="E18" s="37">
        <v>36.950000000000003</v>
      </c>
      <c r="F18" s="39">
        <v>19.329999999999998</v>
      </c>
      <c r="G18" s="44">
        <v>1298</v>
      </c>
      <c r="H18" s="44">
        <v>400</v>
      </c>
      <c r="I18" s="42">
        <f t="shared" si="4"/>
        <v>0.11022364217252396</v>
      </c>
      <c r="J18" s="43">
        <f t="shared" si="5"/>
        <v>35.128552097428958</v>
      </c>
      <c r="K18" s="43">
        <f t="shared" si="6"/>
        <v>10.825439783491204</v>
      </c>
      <c r="Y18" s="22"/>
      <c r="Z18" s="22"/>
      <c r="AA18" s="22"/>
      <c r="AB18" s="22"/>
      <c r="AC18" s="22"/>
    </row>
    <row r="19" spans="1:29" ht="15.75" customHeight="1">
      <c r="A19" s="35"/>
      <c r="B19" s="36" t="s">
        <v>72</v>
      </c>
      <c r="C19" s="37">
        <v>884</v>
      </c>
      <c r="D19" s="37">
        <v>83</v>
      </c>
      <c r="E19" s="37">
        <v>42.98</v>
      </c>
      <c r="F19" s="39">
        <v>19.329999999999998</v>
      </c>
      <c r="G19" s="44">
        <v>895</v>
      </c>
      <c r="H19" s="44">
        <v>415</v>
      </c>
      <c r="I19" s="42">
        <f t="shared" si="4"/>
        <v>9.3891402714932126E-2</v>
      </c>
      <c r="J19" s="43">
        <f t="shared" si="5"/>
        <v>20.8236389018148</v>
      </c>
      <c r="K19" s="43">
        <f t="shared" si="6"/>
        <v>9.6556537924616102</v>
      </c>
      <c r="Y19" s="22"/>
      <c r="Z19" s="22"/>
      <c r="AA19" s="22"/>
      <c r="AB19" s="22"/>
      <c r="AC19" s="22"/>
    </row>
    <row r="20" spans="1:29" ht="15.75" customHeight="1">
      <c r="A20" s="35"/>
      <c r="B20" s="36" t="s">
        <v>73</v>
      </c>
      <c r="C20" s="37">
        <v>995</v>
      </c>
      <c r="D20" s="37">
        <v>106</v>
      </c>
      <c r="E20" s="37">
        <v>54.6</v>
      </c>
      <c r="F20" s="39">
        <v>19.329999999999998</v>
      </c>
      <c r="G20" s="44">
        <v>824.95</v>
      </c>
      <c r="H20" s="44">
        <v>427.4</v>
      </c>
      <c r="I20" s="42">
        <f t="shared" si="4"/>
        <v>0.10653266331658291</v>
      </c>
      <c r="J20" s="43">
        <f t="shared" ref="J20:J23" si="7">G20/E19</f>
        <v>19.193811074918568</v>
      </c>
      <c r="K20" s="43">
        <f t="shared" ref="K20:K23" si="8">H20/E19</f>
        <v>9.9441600744532348</v>
      </c>
      <c r="Y20" s="22"/>
      <c r="Z20" s="22"/>
      <c r="AA20" s="22"/>
      <c r="AB20" s="22"/>
      <c r="AC20" s="22"/>
    </row>
    <row r="21" spans="1:29" ht="15.75" customHeight="1">
      <c r="A21" s="35"/>
      <c r="B21" s="36" t="s">
        <v>74</v>
      </c>
      <c r="C21" s="37">
        <v>1258</v>
      </c>
      <c r="D21" s="37">
        <v>70</v>
      </c>
      <c r="E21" s="37">
        <v>36.35</v>
      </c>
      <c r="F21" s="39">
        <v>19.329999999999998</v>
      </c>
      <c r="G21" s="44">
        <v>697.95</v>
      </c>
      <c r="H21" s="44">
        <v>115</v>
      </c>
      <c r="I21" s="42">
        <f t="shared" si="4"/>
        <v>5.5643879173290937E-2</v>
      </c>
      <c r="J21" s="43">
        <f t="shared" si="7"/>
        <v>12.782967032967033</v>
      </c>
      <c r="K21" s="43">
        <f t="shared" si="8"/>
        <v>2.1062271062271063</v>
      </c>
      <c r="M21" s="45" t="s">
        <v>75</v>
      </c>
      <c r="N21" s="45" t="s">
        <v>76</v>
      </c>
      <c r="O21" s="45" t="s">
        <v>77</v>
      </c>
      <c r="Y21" s="22"/>
      <c r="Z21" s="22"/>
      <c r="AA21" s="22"/>
      <c r="AB21" s="22"/>
      <c r="AC21" s="22"/>
    </row>
    <row r="22" spans="1:29" ht="15.75" customHeight="1">
      <c r="A22" s="35" t="s">
        <v>78</v>
      </c>
      <c r="B22" s="36" t="s">
        <v>79</v>
      </c>
      <c r="C22" s="37">
        <v>1414</v>
      </c>
      <c r="D22" s="37">
        <v>209</v>
      </c>
      <c r="E22" s="37">
        <v>107.92</v>
      </c>
      <c r="F22" s="39">
        <v>19.329999999999998</v>
      </c>
      <c r="G22" s="44">
        <v>655</v>
      </c>
      <c r="H22" s="44">
        <v>135.1</v>
      </c>
      <c r="I22" s="42">
        <f t="shared" si="4"/>
        <v>0.1478076379066478</v>
      </c>
      <c r="J22" s="43">
        <f t="shared" si="7"/>
        <v>18.019257221458044</v>
      </c>
      <c r="K22" s="43">
        <f t="shared" si="8"/>
        <v>3.716643741403026</v>
      </c>
      <c r="M22" s="3" t="s">
        <v>80</v>
      </c>
      <c r="N22" s="3">
        <v>149355</v>
      </c>
      <c r="O22" s="46">
        <v>2338.9499999999998</v>
      </c>
      <c r="Y22" s="22"/>
      <c r="Z22" s="22"/>
      <c r="AA22" s="22"/>
      <c r="AB22" s="22"/>
      <c r="AC22" s="22"/>
    </row>
    <row r="23" spans="1:29" ht="15.75" customHeight="1">
      <c r="A23" s="35"/>
      <c r="B23" s="36" t="s">
        <v>81</v>
      </c>
      <c r="C23" s="37">
        <v>2013</v>
      </c>
      <c r="D23" s="37">
        <v>186</v>
      </c>
      <c r="E23" s="37">
        <v>19.21</v>
      </c>
      <c r="F23" s="39">
        <v>19.329999999999998</v>
      </c>
      <c r="G23" s="44">
        <v>161.6</v>
      </c>
      <c r="H23" s="44">
        <v>25.6</v>
      </c>
      <c r="I23" s="42">
        <f t="shared" si="4"/>
        <v>9.2399403874813713E-2</v>
      </c>
      <c r="J23" s="43">
        <f t="shared" si="7"/>
        <v>1.497405485544848</v>
      </c>
      <c r="K23" s="43">
        <f t="shared" si="8"/>
        <v>0.23721275018532248</v>
      </c>
      <c r="M23" s="3" t="s">
        <v>82</v>
      </c>
      <c r="N23" s="3">
        <v>2390</v>
      </c>
      <c r="O23" s="3">
        <v>13.6</v>
      </c>
      <c r="Y23" s="22"/>
      <c r="Z23" s="22"/>
      <c r="AA23" s="22"/>
      <c r="AB23" s="22"/>
      <c r="AC23" s="22"/>
    </row>
    <row r="24" spans="1:29" ht="15.75" customHeight="1">
      <c r="A24" s="47"/>
      <c r="B24" s="36" t="s">
        <v>83</v>
      </c>
      <c r="C24" s="37">
        <v>2820</v>
      </c>
      <c r="D24" s="37">
        <v>269</v>
      </c>
      <c r="E24" s="37">
        <v>27.43</v>
      </c>
      <c r="F24" s="39">
        <v>19.329999999999998</v>
      </c>
      <c r="G24" s="44">
        <v>270</v>
      </c>
      <c r="H24" s="44">
        <v>128.55000000000001</v>
      </c>
      <c r="I24" s="42">
        <f t="shared" si="4"/>
        <v>9.5390070921985815E-2</v>
      </c>
      <c r="J24" s="43">
        <f t="shared" ref="J24:J35" si="9">G24/E24</f>
        <v>9.8432373313889894</v>
      </c>
      <c r="K24" s="43">
        <f t="shared" ref="K24:K35" si="10">H24/E24</f>
        <v>4.6864746627779805</v>
      </c>
      <c r="M24" s="48" t="s">
        <v>84</v>
      </c>
      <c r="N24" s="49">
        <f t="shared" ref="N24:O24" si="11">N22/N23</f>
        <v>62.49163179916318</v>
      </c>
      <c r="O24" s="49">
        <f t="shared" si="11"/>
        <v>171.98161764705881</v>
      </c>
      <c r="Y24" s="22"/>
      <c r="Z24" s="22"/>
      <c r="AA24" s="22"/>
      <c r="AB24" s="22"/>
      <c r="AC24" s="22"/>
    </row>
    <row r="25" spans="1:29" ht="15.75" customHeight="1">
      <c r="A25" s="35"/>
      <c r="B25" s="36" t="s">
        <v>85</v>
      </c>
      <c r="C25" s="37">
        <v>3191</v>
      </c>
      <c r="D25" s="37">
        <v>356</v>
      </c>
      <c r="E25" s="37">
        <v>36.81</v>
      </c>
      <c r="F25" s="39">
        <v>19.329999999999998</v>
      </c>
      <c r="G25" s="44">
        <v>317.85000000000002</v>
      </c>
      <c r="H25" s="44">
        <v>241.5</v>
      </c>
      <c r="I25" s="42">
        <f t="shared" si="4"/>
        <v>0.11156377311187715</v>
      </c>
      <c r="J25" s="43">
        <f t="shared" si="9"/>
        <v>8.6348818255908721</v>
      </c>
      <c r="K25" s="43">
        <f t="shared" si="10"/>
        <v>6.5607171964140178</v>
      </c>
      <c r="M25" s="50" t="s">
        <v>86</v>
      </c>
      <c r="N25" s="51">
        <v>0.05</v>
      </c>
      <c r="O25" s="51">
        <v>0.3</v>
      </c>
      <c r="Y25" s="22"/>
      <c r="Z25" s="22"/>
      <c r="AA25" s="22"/>
      <c r="AB25" s="22"/>
      <c r="AC25" s="22"/>
    </row>
    <row r="26" spans="1:29" ht="15.75" customHeight="1">
      <c r="A26" s="35"/>
      <c r="B26" s="36" t="s">
        <v>87</v>
      </c>
      <c r="C26" s="37">
        <v>3577</v>
      </c>
      <c r="D26" s="37">
        <v>488</v>
      </c>
      <c r="E26" s="37">
        <v>50.53</v>
      </c>
      <c r="F26" s="39">
        <v>19.329999999999998</v>
      </c>
      <c r="G26" s="44">
        <v>513</v>
      </c>
      <c r="H26" s="44">
        <v>199</v>
      </c>
      <c r="I26" s="42">
        <f t="shared" si="4"/>
        <v>0.1364271736091697</v>
      </c>
      <c r="J26" s="43">
        <f t="shared" si="9"/>
        <v>10.152384721947358</v>
      </c>
      <c r="K26" s="43">
        <f t="shared" si="10"/>
        <v>3.9382545022758757</v>
      </c>
      <c r="M26" s="52"/>
      <c r="N26" s="53"/>
      <c r="O26" s="54"/>
      <c r="S26" s="55" t="s">
        <v>88</v>
      </c>
      <c r="T26" s="55" t="s">
        <v>89</v>
      </c>
      <c r="Y26" s="22"/>
      <c r="Z26" s="22"/>
      <c r="AA26" s="22"/>
      <c r="AB26" s="22"/>
      <c r="AC26" s="22"/>
    </row>
    <row r="27" spans="1:29" ht="15.75" customHeight="1">
      <c r="A27" s="35"/>
      <c r="B27" s="36" t="s">
        <v>90</v>
      </c>
      <c r="C27" s="37">
        <v>3780</v>
      </c>
      <c r="D27" s="37">
        <v>489</v>
      </c>
      <c r="E27" s="37">
        <v>50.57</v>
      </c>
      <c r="F27" s="39">
        <v>19.329999999999998</v>
      </c>
      <c r="G27" s="44">
        <v>855</v>
      </c>
      <c r="H27" s="44">
        <v>476</v>
      </c>
      <c r="I27" s="42">
        <f t="shared" si="4"/>
        <v>0.12936507936507938</v>
      </c>
      <c r="J27" s="43">
        <f t="shared" si="9"/>
        <v>16.907257267154439</v>
      </c>
      <c r="K27" s="43">
        <f t="shared" si="10"/>
        <v>9.4126952738777927</v>
      </c>
      <c r="M27" s="55" t="s">
        <v>91</v>
      </c>
      <c r="N27" s="55" t="s">
        <v>89</v>
      </c>
      <c r="O27" s="54"/>
      <c r="P27" s="55" t="s">
        <v>92</v>
      </c>
      <c r="Q27" s="55" t="s">
        <v>89</v>
      </c>
      <c r="S27" s="56" t="s">
        <v>93</v>
      </c>
      <c r="T27" s="57">
        <v>0.46300000000000002</v>
      </c>
      <c r="Y27" s="58"/>
      <c r="Z27" s="22"/>
      <c r="AA27" s="22"/>
      <c r="AB27" s="22"/>
      <c r="AC27" s="22"/>
    </row>
    <row r="28" spans="1:29" ht="15.75" customHeight="1">
      <c r="A28" s="35"/>
      <c r="B28" s="36" t="s">
        <v>94</v>
      </c>
      <c r="C28" s="37">
        <v>3259</v>
      </c>
      <c r="D28" s="37">
        <v>576</v>
      </c>
      <c r="E28" s="37">
        <v>59.58</v>
      </c>
      <c r="F28" s="39">
        <v>19.329999999999998</v>
      </c>
      <c r="G28" s="44">
        <v>798.65</v>
      </c>
      <c r="H28" s="44">
        <v>551.35</v>
      </c>
      <c r="I28" s="42">
        <f t="shared" si="4"/>
        <v>0.17674133169683953</v>
      </c>
      <c r="J28" s="43">
        <f t="shared" si="9"/>
        <v>13.404665995300437</v>
      </c>
      <c r="K28" s="43">
        <f t="shared" si="10"/>
        <v>9.253944276602887</v>
      </c>
      <c r="M28" s="56" t="s">
        <v>95</v>
      </c>
      <c r="N28" s="57">
        <v>0.58899999999999997</v>
      </c>
      <c r="O28" s="54"/>
      <c r="P28" s="56" t="s">
        <v>96</v>
      </c>
      <c r="Q28" s="57">
        <v>0.71599999999999997</v>
      </c>
      <c r="S28" s="56" t="s">
        <v>97</v>
      </c>
      <c r="T28" s="57">
        <v>0.16600000000000001</v>
      </c>
      <c r="Y28" s="22"/>
      <c r="Z28" s="22"/>
      <c r="AA28" s="22"/>
      <c r="AB28" s="22"/>
      <c r="AC28" s="22"/>
    </row>
    <row r="29" spans="1:29" ht="15.75" customHeight="1">
      <c r="A29" s="35" t="s">
        <v>67</v>
      </c>
      <c r="B29" s="36" t="s">
        <v>98</v>
      </c>
      <c r="C29" s="37">
        <v>4038</v>
      </c>
      <c r="D29" s="37">
        <v>717</v>
      </c>
      <c r="E29" s="37">
        <v>74.17</v>
      </c>
      <c r="F29" s="39">
        <v>19.329999999999998</v>
      </c>
      <c r="G29" s="44">
        <v>1480</v>
      </c>
      <c r="H29" s="44">
        <v>607</v>
      </c>
      <c r="I29" s="42">
        <f t="shared" si="4"/>
        <v>0.17756315007429421</v>
      </c>
      <c r="J29" s="43">
        <f t="shared" si="9"/>
        <v>19.954159363624107</v>
      </c>
      <c r="K29" s="43">
        <f t="shared" si="10"/>
        <v>8.183901847107995</v>
      </c>
      <c r="M29" s="56" t="s">
        <v>99</v>
      </c>
      <c r="N29" s="57">
        <v>0.379</v>
      </c>
      <c r="O29" s="54"/>
      <c r="P29" s="56" t="s">
        <v>100</v>
      </c>
      <c r="Q29" s="57">
        <v>0.26500000000000001</v>
      </c>
      <c r="S29" s="56" t="s">
        <v>101</v>
      </c>
      <c r="T29" s="57">
        <v>0.27600000000000002</v>
      </c>
      <c r="Y29" s="22"/>
      <c r="Z29" s="22"/>
      <c r="AA29" s="22"/>
      <c r="AB29" s="22"/>
      <c r="AC29" s="22"/>
    </row>
    <row r="30" spans="1:29" ht="15.75" customHeight="1">
      <c r="A30" s="35"/>
      <c r="B30" s="36" t="s">
        <v>102</v>
      </c>
      <c r="C30" s="37">
        <v>4800</v>
      </c>
      <c r="D30" s="37">
        <v>736</v>
      </c>
      <c r="E30" s="37">
        <v>38.06</v>
      </c>
      <c r="F30" s="59">
        <v>38.659999999999997</v>
      </c>
      <c r="G30" s="44">
        <v>1285.6199999999999</v>
      </c>
      <c r="H30" s="44">
        <v>569</v>
      </c>
      <c r="I30" s="42">
        <f t="shared" si="4"/>
        <v>0.15333333333333332</v>
      </c>
      <c r="J30" s="43">
        <f t="shared" si="9"/>
        <v>33.778770362585384</v>
      </c>
      <c r="K30" s="43">
        <f t="shared" si="10"/>
        <v>14.950078822911191</v>
      </c>
      <c r="M30" s="56" t="s">
        <v>103</v>
      </c>
      <c r="N30" s="57">
        <v>3.3000000000000002E-2</v>
      </c>
      <c r="P30" s="56" t="s">
        <v>103</v>
      </c>
      <c r="Q30" s="57">
        <v>1.9E-2</v>
      </c>
      <c r="S30" s="56" t="s">
        <v>104</v>
      </c>
      <c r="T30" s="57">
        <v>9.5000000000000001E-2</v>
      </c>
      <c r="Y30" s="22"/>
      <c r="Z30" s="34"/>
      <c r="AA30" s="34"/>
      <c r="AB30" s="34"/>
      <c r="AC30" s="22"/>
    </row>
    <row r="31" spans="1:29" ht="15.75" customHeight="1">
      <c r="A31" s="60"/>
      <c r="B31" s="36" t="s">
        <v>105</v>
      </c>
      <c r="C31" s="37">
        <v>5210</v>
      </c>
      <c r="D31" s="37">
        <v>774</v>
      </c>
      <c r="E31" s="37">
        <v>40.020000000000003</v>
      </c>
      <c r="F31" s="59">
        <v>38.659999999999997</v>
      </c>
      <c r="G31" s="44">
        <v>1467.4</v>
      </c>
      <c r="H31" s="44">
        <v>741.1</v>
      </c>
      <c r="I31" s="42">
        <f t="shared" si="4"/>
        <v>0.14856046065259118</v>
      </c>
      <c r="J31" s="43">
        <f t="shared" si="9"/>
        <v>36.666666666666664</v>
      </c>
      <c r="K31" s="43">
        <f t="shared" si="10"/>
        <v>18.518240879560221</v>
      </c>
      <c r="M31" s="34"/>
      <c r="N31" s="34"/>
      <c r="P31" s="34"/>
      <c r="Q31" s="34"/>
      <c r="S31" s="34"/>
      <c r="T31" s="34"/>
      <c r="Y31" s="22"/>
      <c r="Z31" s="22"/>
      <c r="AA31" s="22"/>
      <c r="AB31" s="22"/>
      <c r="AC31" s="22"/>
    </row>
    <row r="32" spans="1:29" ht="15.75" customHeight="1">
      <c r="A32" s="35"/>
      <c r="B32" s="36" t="s">
        <v>106</v>
      </c>
      <c r="C32" s="37">
        <v>4811</v>
      </c>
      <c r="D32" s="37">
        <v>960</v>
      </c>
      <c r="E32" s="37">
        <v>49.64</v>
      </c>
      <c r="F32" s="59">
        <v>38.659999999999997</v>
      </c>
      <c r="G32" s="37">
        <v>1298</v>
      </c>
      <c r="H32" s="37">
        <v>680</v>
      </c>
      <c r="I32" s="42">
        <f t="shared" si="4"/>
        <v>0.19954271461234671</v>
      </c>
      <c r="J32" s="43">
        <f t="shared" si="9"/>
        <v>26.148267526188558</v>
      </c>
      <c r="K32" s="43">
        <f t="shared" si="10"/>
        <v>13.698630136986301</v>
      </c>
      <c r="M32" s="61" t="s">
        <v>107</v>
      </c>
      <c r="N32" s="62">
        <f>SUM(N28:N30)</f>
        <v>1.0009999999999999</v>
      </c>
      <c r="P32" s="61" t="s">
        <v>107</v>
      </c>
      <c r="Q32" s="62">
        <f>SUM(Q28:Q30)</f>
        <v>1</v>
      </c>
      <c r="S32" s="61" t="s">
        <v>107</v>
      </c>
      <c r="T32" s="62">
        <f>SUM(T27:T30)</f>
        <v>1</v>
      </c>
      <c r="Y32" s="22"/>
      <c r="Z32" s="22"/>
      <c r="AA32" s="22"/>
      <c r="AB32" s="22"/>
      <c r="AC32" s="22"/>
    </row>
    <row r="33" spans="1:29" ht="15.75" customHeight="1">
      <c r="A33" s="63"/>
      <c r="B33" s="36" t="s">
        <v>108</v>
      </c>
      <c r="C33" s="44">
        <v>5783</v>
      </c>
      <c r="D33" s="44">
        <v>1178</v>
      </c>
      <c r="E33" s="44">
        <v>60.91</v>
      </c>
      <c r="F33" s="59">
        <v>38.659999999999997</v>
      </c>
      <c r="G33" s="44">
        <v>1885</v>
      </c>
      <c r="H33" s="44">
        <v>739</v>
      </c>
      <c r="I33" s="42">
        <f t="shared" si="4"/>
        <v>0.20370050146982535</v>
      </c>
      <c r="J33" s="43">
        <f t="shared" si="9"/>
        <v>30.947299294040388</v>
      </c>
      <c r="K33" s="43">
        <f t="shared" si="10"/>
        <v>12.132654736496471</v>
      </c>
      <c r="Y33" s="22"/>
      <c r="Z33" s="22"/>
      <c r="AA33" s="22"/>
      <c r="AB33" s="22"/>
      <c r="AC33" s="22"/>
    </row>
    <row r="34" spans="1:29" ht="15.75" customHeight="1">
      <c r="A34" s="64"/>
      <c r="B34" s="36" t="s">
        <v>109</v>
      </c>
      <c r="C34" s="3">
        <v>8295</v>
      </c>
      <c r="D34" s="3">
        <v>1435</v>
      </c>
      <c r="E34" s="65">
        <v>74.25</v>
      </c>
      <c r="F34" s="59">
        <v>38.659999999999997</v>
      </c>
      <c r="G34" s="65">
        <v>2707</v>
      </c>
      <c r="H34" s="65">
        <v>1542</v>
      </c>
      <c r="I34" s="42">
        <f t="shared" si="4"/>
        <v>0.1729957805907173</v>
      </c>
      <c r="J34" s="43">
        <f t="shared" si="9"/>
        <v>36.457912457912457</v>
      </c>
      <c r="K34" s="43">
        <f t="shared" si="10"/>
        <v>20.767676767676768</v>
      </c>
      <c r="M34" s="55" t="s">
        <v>110</v>
      </c>
      <c r="N34" s="55" t="s">
        <v>111</v>
      </c>
      <c r="O34" s="55" t="s">
        <v>112</v>
      </c>
      <c r="P34" s="55" t="s">
        <v>113</v>
      </c>
      <c r="Q34" s="55" t="s">
        <v>114</v>
      </c>
      <c r="R34" s="55" t="s">
        <v>115</v>
      </c>
      <c r="Y34" s="22"/>
      <c r="Z34" s="22"/>
      <c r="AA34" s="22"/>
      <c r="AB34" s="22"/>
      <c r="AC34" s="22"/>
    </row>
    <row r="35" spans="1:29" ht="15.75" customHeight="1">
      <c r="A35" s="64"/>
      <c r="B35" s="36" t="s">
        <v>116</v>
      </c>
      <c r="C35" s="65">
        <v>9759</v>
      </c>
      <c r="D35" s="65">
        <v>1057</v>
      </c>
      <c r="E35" s="46">
        <v>54.7</v>
      </c>
      <c r="F35" s="59">
        <v>38.659999999999997</v>
      </c>
      <c r="G35" s="46">
        <v>2522</v>
      </c>
      <c r="H35" s="46">
        <v>1796</v>
      </c>
      <c r="I35" s="42">
        <f t="shared" si="4"/>
        <v>0.10831027769238652</v>
      </c>
      <c r="J35" s="43">
        <f t="shared" si="9"/>
        <v>46.106032906764163</v>
      </c>
      <c r="K35" s="43">
        <f t="shared" si="10"/>
        <v>32.833638025594148</v>
      </c>
      <c r="M35" s="66" t="s">
        <v>56</v>
      </c>
      <c r="N35" s="67">
        <v>13.44</v>
      </c>
      <c r="O35" s="68">
        <v>17.170000000000002</v>
      </c>
      <c r="P35" s="69">
        <v>17.97</v>
      </c>
      <c r="Q35" s="67">
        <v>15.8</v>
      </c>
      <c r="R35" s="70">
        <f>SUM(N35:Q35)</f>
        <v>64.38</v>
      </c>
      <c r="Y35" s="22"/>
      <c r="Z35" s="22"/>
      <c r="AA35" s="22"/>
      <c r="AB35" s="22"/>
      <c r="AC35" s="22"/>
    </row>
    <row r="36" spans="1:29" ht="15.75" customHeight="1">
      <c r="Y36" s="22"/>
      <c r="Z36" s="22"/>
      <c r="AA36" s="22"/>
      <c r="AB36" s="22"/>
      <c r="AC36" s="22"/>
    </row>
    <row r="37" spans="1:29" ht="15.75" customHeight="1">
      <c r="A37" s="71" t="s">
        <v>28</v>
      </c>
      <c r="B37" s="72" t="s">
        <v>54</v>
      </c>
      <c r="C37" s="72" t="s">
        <v>55</v>
      </c>
      <c r="D37" s="72" t="s">
        <v>9</v>
      </c>
      <c r="E37" s="72" t="s">
        <v>56</v>
      </c>
      <c r="F37" s="73" t="s">
        <v>58</v>
      </c>
      <c r="G37" s="73" t="s">
        <v>59</v>
      </c>
      <c r="H37" s="71" t="s">
        <v>117</v>
      </c>
      <c r="I37" s="71" t="s">
        <v>61</v>
      </c>
      <c r="J37" s="71" t="s">
        <v>62</v>
      </c>
      <c r="K37" s="71" t="s">
        <v>118</v>
      </c>
      <c r="M37" s="55" t="s">
        <v>119</v>
      </c>
      <c r="N37" s="55" t="s">
        <v>120</v>
      </c>
      <c r="O37" s="55" t="s">
        <v>112</v>
      </c>
      <c r="P37" s="55" t="s">
        <v>121</v>
      </c>
      <c r="Q37" s="55" t="s">
        <v>89</v>
      </c>
      <c r="R37" s="55" t="s">
        <v>122</v>
      </c>
      <c r="T37" s="74"/>
      <c r="Y37" s="22"/>
      <c r="Z37" s="22"/>
      <c r="AA37" s="22"/>
      <c r="AB37" s="22"/>
      <c r="AC37" s="22"/>
    </row>
    <row r="38" spans="1:29" ht="15.75" customHeight="1">
      <c r="A38" s="64"/>
      <c r="B38" s="36" t="s">
        <v>123</v>
      </c>
      <c r="C38" s="75">
        <f t="shared" ref="C38:D38" si="12">(C35/C15)^(1/20)-1</f>
        <v>0.1876625137295802</v>
      </c>
      <c r="D38" s="75">
        <f t="shared" si="12"/>
        <v>0.2164458598576029</v>
      </c>
      <c r="E38" s="75">
        <f t="shared" ref="E38:G38" si="13">((30*E35)/E15)^(1/20)-1</f>
        <v>0.21454225724556153</v>
      </c>
      <c r="F38" s="75">
        <f t="shared" si="13"/>
        <v>0.29907618955699466</v>
      </c>
      <c r="G38" s="75">
        <f t="shared" si="13"/>
        <v>0.41957645734402327</v>
      </c>
      <c r="H38" s="76">
        <f t="shared" ref="H38:J38" si="14">MEDIAN(I15:I33)</f>
        <v>0.12778904665314403</v>
      </c>
      <c r="I38" s="77">
        <f t="shared" si="14"/>
        <v>16.907257267154439</v>
      </c>
      <c r="J38" s="77">
        <f t="shared" si="14"/>
        <v>8.183901847107995</v>
      </c>
      <c r="K38" s="78">
        <f t="shared" ref="K38:K40" si="15">AVERAGE(I38:J38)</f>
        <v>12.545579557131216</v>
      </c>
      <c r="M38" s="79" t="s">
        <v>124</v>
      </c>
      <c r="N38" s="80">
        <v>0.18</v>
      </c>
      <c r="O38" s="80">
        <v>-0.17499999999999999</v>
      </c>
      <c r="P38" s="81">
        <v>-0.16</v>
      </c>
      <c r="Q38" s="80">
        <v>-0.1</v>
      </c>
      <c r="R38" s="82">
        <v>-0.05</v>
      </c>
      <c r="Y38" s="58"/>
      <c r="Z38" s="83"/>
      <c r="AA38" s="83"/>
      <c r="AB38" s="83"/>
      <c r="AC38" s="22"/>
    </row>
    <row r="39" spans="1:29" ht="15.75" customHeight="1">
      <c r="A39" s="64"/>
      <c r="B39" s="36" t="s">
        <v>125</v>
      </c>
      <c r="C39" s="75">
        <f t="shared" ref="C39:D39" si="16">(C35/C25)^(1/10)-1</f>
        <v>0.11827303121710897</v>
      </c>
      <c r="D39" s="75">
        <f t="shared" si="16"/>
        <v>0.11496824590972965</v>
      </c>
      <c r="E39" s="75">
        <f t="shared" ref="E39:G39" si="17">((2*E35)/E25)^(1/10)-1</f>
        <v>0.11507775093331807</v>
      </c>
      <c r="F39" s="75">
        <f t="shared" si="17"/>
        <v>0.1486983549970351</v>
      </c>
      <c r="G39" s="75">
        <f t="shared" si="17"/>
        <v>0.3184245649175963</v>
      </c>
      <c r="H39" s="76">
        <f t="shared" ref="H39:J39" si="18">MEDIAN(I25:I35)</f>
        <v>0.15333333333333332</v>
      </c>
      <c r="I39" s="77">
        <f t="shared" si="18"/>
        <v>26.148267526188558</v>
      </c>
      <c r="J39" s="77">
        <f t="shared" si="18"/>
        <v>12.132654736496471</v>
      </c>
      <c r="K39" s="78">
        <f t="shared" si="15"/>
        <v>19.140461131342516</v>
      </c>
      <c r="M39" s="79" t="s">
        <v>126</v>
      </c>
      <c r="N39" s="84">
        <v>-0.26</v>
      </c>
      <c r="O39" s="84">
        <v>8.1199999999999994E-2</v>
      </c>
      <c r="P39" s="85">
        <v>-0.01</v>
      </c>
      <c r="Q39" s="84">
        <v>0.23</v>
      </c>
      <c r="R39" s="82">
        <v>0.14000000000000001</v>
      </c>
      <c r="Y39" s="58"/>
      <c r="Z39" s="83"/>
      <c r="AA39" s="83"/>
      <c r="AB39" s="83"/>
      <c r="AC39" s="22"/>
    </row>
    <row r="40" spans="1:29" ht="15.75" customHeight="1">
      <c r="A40" s="35"/>
      <c r="B40" s="36" t="s">
        <v>127</v>
      </c>
      <c r="C40" s="75">
        <f t="shared" ref="C40:E40" si="19">(C35/C30)^(1/5)-1</f>
        <v>0.15247845739523513</v>
      </c>
      <c r="D40" s="75">
        <f t="shared" si="19"/>
        <v>7.5076662970751329E-2</v>
      </c>
      <c r="E40" s="75">
        <f t="shared" si="19"/>
        <v>7.5235781880760744E-2</v>
      </c>
      <c r="F40" s="75">
        <f t="shared" ref="F40:G40" si="20">(G35/G30)^(1/5)-1</f>
        <v>0.14426467911125407</v>
      </c>
      <c r="G40" s="75">
        <f t="shared" si="20"/>
        <v>0.25845825291735447</v>
      </c>
      <c r="H40" s="76">
        <f t="shared" ref="H40:J40" si="21">MEDIAN(I30:I35)</f>
        <v>0.16316455696202531</v>
      </c>
      <c r="I40" s="77">
        <f t="shared" si="21"/>
        <v>35.118341410248917</v>
      </c>
      <c r="J40" s="77">
        <f t="shared" si="21"/>
        <v>16.734159851235706</v>
      </c>
      <c r="K40" s="78">
        <f t="shared" si="15"/>
        <v>25.92625063074231</v>
      </c>
      <c r="M40" s="86" t="s">
        <v>128</v>
      </c>
      <c r="N40" s="87">
        <v>0.108</v>
      </c>
      <c r="O40" s="87">
        <v>0.1537</v>
      </c>
      <c r="P40" s="88">
        <v>0.154</v>
      </c>
      <c r="Q40" s="87">
        <v>0.14699999999999999</v>
      </c>
      <c r="R40" s="89">
        <v>0.14699999999999999</v>
      </c>
      <c r="Y40" s="83"/>
      <c r="Z40" s="34"/>
      <c r="AA40" s="34"/>
      <c r="AB40" s="34"/>
      <c r="AC40" s="22"/>
    </row>
    <row r="41" spans="1:29" ht="15.75" customHeight="1">
      <c r="A41" s="35"/>
      <c r="B41" s="36" t="s">
        <v>129</v>
      </c>
      <c r="C41" s="90">
        <f t="shared" ref="C41:E41" si="22">(C35/C34)-1</f>
        <v>0.17649186256781202</v>
      </c>
      <c r="D41" s="90">
        <f t="shared" si="22"/>
        <v>-0.26341463414634148</v>
      </c>
      <c r="E41" s="90">
        <f t="shared" si="22"/>
        <v>-0.26329966329966326</v>
      </c>
      <c r="F41" s="90">
        <f t="shared" ref="F41:G41" si="23">(G35/G34)-1</f>
        <v>-6.8341337273734815E-2</v>
      </c>
      <c r="G41" s="90">
        <f t="shared" si="23"/>
        <v>0.16472114137483795</v>
      </c>
      <c r="H41" s="91">
        <f t="shared" ref="H41:J41" si="24">I35</f>
        <v>0.10831027769238652</v>
      </c>
      <c r="I41" s="92">
        <f t="shared" si="24"/>
        <v>46.106032906764163</v>
      </c>
      <c r="J41" s="92">
        <f t="shared" si="24"/>
        <v>32.833638025594148</v>
      </c>
      <c r="K41" s="93">
        <f>AVERAGE(K38:K40)</f>
        <v>19.204097106405346</v>
      </c>
      <c r="Y41" s="22"/>
      <c r="Z41" s="22"/>
      <c r="AA41" s="22"/>
      <c r="AB41" s="22"/>
      <c r="AC41" s="22"/>
    </row>
    <row r="42" spans="1:29" ht="15.75" customHeight="1">
      <c r="O42" s="55" t="s">
        <v>130</v>
      </c>
      <c r="P42" s="94">
        <v>-0.08</v>
      </c>
      <c r="T42" s="95"/>
      <c r="U42" s="34"/>
      <c r="V42" s="22"/>
      <c r="W42" s="22"/>
      <c r="Y42" s="22"/>
      <c r="Z42" s="22"/>
      <c r="AA42" s="22"/>
      <c r="AB42" s="22"/>
      <c r="AC42" s="22"/>
    </row>
    <row r="43" spans="1:29" ht="15.75" customHeight="1">
      <c r="A43" s="96" t="s">
        <v>131</v>
      </c>
      <c r="B43" s="72" t="s">
        <v>54</v>
      </c>
      <c r="C43" s="72" t="s">
        <v>55</v>
      </c>
      <c r="D43" s="72" t="s">
        <v>9</v>
      </c>
      <c r="E43" s="72" t="s">
        <v>56</v>
      </c>
      <c r="F43" s="71" t="s">
        <v>128</v>
      </c>
      <c r="H43" s="97" t="s">
        <v>132</v>
      </c>
      <c r="I43" s="98" t="s">
        <v>133</v>
      </c>
      <c r="J43" s="98" t="s">
        <v>134</v>
      </c>
      <c r="K43" s="98" t="s">
        <v>49</v>
      </c>
      <c r="M43" s="55" t="s">
        <v>89</v>
      </c>
      <c r="N43" s="55" t="s">
        <v>89</v>
      </c>
      <c r="O43" s="55" t="s">
        <v>135</v>
      </c>
      <c r="P43" s="55" t="s">
        <v>136</v>
      </c>
      <c r="Q43" s="13"/>
      <c r="R43" s="55" t="s">
        <v>121</v>
      </c>
      <c r="S43" s="55" t="s">
        <v>121</v>
      </c>
      <c r="T43" s="55" t="s">
        <v>137</v>
      </c>
      <c r="U43" s="55" t="s">
        <v>136</v>
      </c>
      <c r="V43" s="22"/>
      <c r="W43" s="22"/>
      <c r="Y43" s="22"/>
      <c r="Z43" s="22"/>
      <c r="AA43" s="22"/>
      <c r="AB43" s="22"/>
      <c r="AC43" s="22"/>
    </row>
    <row r="44" spans="1:29" ht="15.75" customHeight="1">
      <c r="A44" s="64"/>
      <c r="B44" s="3" t="s">
        <v>138</v>
      </c>
      <c r="C44" s="75">
        <v>-0.05</v>
      </c>
      <c r="D44" s="75">
        <f t="shared" ref="D44:E44" si="25">(D48/D35)-1</f>
        <v>0.28935132450331102</v>
      </c>
      <c r="E44" s="75">
        <f t="shared" si="25"/>
        <v>0.28935132450331102</v>
      </c>
      <c r="F44" s="99">
        <v>0.14699999999999999</v>
      </c>
      <c r="H44" s="100">
        <v>54.7</v>
      </c>
      <c r="I44" s="101">
        <v>64.38</v>
      </c>
      <c r="J44" s="102">
        <f>E48</f>
        <v>70.527517450331118</v>
      </c>
      <c r="K44" s="103">
        <f ca="1">I46/23</f>
        <v>1.5762389075732406</v>
      </c>
      <c r="M44" s="104" t="s">
        <v>8</v>
      </c>
      <c r="N44" s="105">
        <v>6687</v>
      </c>
      <c r="O44" s="105">
        <v>7443</v>
      </c>
      <c r="P44" s="106">
        <f t="shared" ref="P44:P48" si="26">(N44/O44)^(1/1)-1</f>
        <v>-0.10157194679564696</v>
      </c>
      <c r="Q44" s="107"/>
      <c r="R44" s="108" t="s">
        <v>8</v>
      </c>
      <c r="S44" s="105">
        <v>4412</v>
      </c>
      <c r="T44" s="105">
        <v>5276</v>
      </c>
      <c r="U44" s="109">
        <f t="shared" ref="U44:U48" si="27">(S44/T44)^(1/1)-1</f>
        <v>-0.1637604245640637</v>
      </c>
      <c r="Y44" s="22"/>
      <c r="Z44" s="22"/>
      <c r="AA44" s="22"/>
      <c r="AB44" s="22"/>
      <c r="AC44" s="22"/>
    </row>
    <row r="45" spans="1:29" ht="15.75" customHeight="1">
      <c r="A45" s="64"/>
      <c r="B45" s="3" t="s">
        <v>139</v>
      </c>
      <c r="C45" s="75">
        <f>AVERAGE(C38:C40)</f>
        <v>0.15280466744730811</v>
      </c>
      <c r="D45" s="75">
        <v>0.15</v>
      </c>
      <c r="E45" s="75">
        <v>0.15</v>
      </c>
      <c r="F45" s="99">
        <f>AVERAGE(H38:H40)</f>
        <v>0.1480956456495009</v>
      </c>
      <c r="H45" s="110" t="s">
        <v>140</v>
      </c>
      <c r="I45" s="111" t="s">
        <v>141</v>
      </c>
      <c r="J45" s="111" t="s">
        <v>45</v>
      </c>
      <c r="K45" s="112"/>
      <c r="M45" s="113" t="s">
        <v>142</v>
      </c>
      <c r="N45" s="105">
        <v>5671</v>
      </c>
      <c r="O45" s="105">
        <v>6652</v>
      </c>
      <c r="P45" s="114">
        <f t="shared" si="26"/>
        <v>-0.14747444377630792</v>
      </c>
      <c r="Q45" s="107"/>
      <c r="R45" s="115" t="s">
        <v>142</v>
      </c>
      <c r="S45" s="105">
        <v>3740</v>
      </c>
      <c r="T45" s="105">
        <v>4681</v>
      </c>
      <c r="U45" s="109">
        <f t="shared" si="27"/>
        <v>-0.20102542191839345</v>
      </c>
      <c r="Y45" s="83"/>
      <c r="Z45" s="83"/>
      <c r="AA45" s="83"/>
      <c r="AB45" s="83"/>
      <c r="AC45" s="22"/>
    </row>
    <row r="46" spans="1:29" ht="15.75" customHeight="1">
      <c r="H46" s="116">
        <f>C4/H44</f>
        <v>35.667276051188296</v>
      </c>
      <c r="I46" s="117">
        <f ca="1">C3/I44</f>
        <v>36.253494874184533</v>
      </c>
      <c r="J46" s="118">
        <f ca="1">C3/J44</f>
        <v>33.093465988558513</v>
      </c>
      <c r="K46" s="112"/>
      <c r="M46" s="119" t="s">
        <v>143</v>
      </c>
      <c r="N46" s="105">
        <v>82</v>
      </c>
      <c r="O46" s="105">
        <v>22</v>
      </c>
      <c r="P46" s="120">
        <f t="shared" si="26"/>
        <v>2.7272727272727271</v>
      </c>
      <c r="Q46" s="107"/>
      <c r="R46" s="121" t="s">
        <v>143</v>
      </c>
      <c r="S46" s="105">
        <v>45</v>
      </c>
      <c r="T46" s="105">
        <v>8</v>
      </c>
      <c r="U46" s="106">
        <f t="shared" si="27"/>
        <v>4.625</v>
      </c>
    </row>
    <row r="47" spans="1:29" ht="15.75" customHeight="1">
      <c r="A47" s="122" t="s">
        <v>131</v>
      </c>
      <c r="B47" s="123" t="s">
        <v>144</v>
      </c>
      <c r="C47" s="124" t="s">
        <v>145</v>
      </c>
      <c r="D47" s="125" t="s">
        <v>146</v>
      </c>
      <c r="E47" s="125" t="s">
        <v>56</v>
      </c>
      <c r="F47" s="126" t="s">
        <v>147</v>
      </c>
      <c r="M47" s="127" t="s">
        <v>148</v>
      </c>
      <c r="N47" s="128">
        <v>984</v>
      </c>
      <c r="O47" s="128">
        <v>797</v>
      </c>
      <c r="P47" s="129">
        <f t="shared" si="26"/>
        <v>0.23462986198243407</v>
      </c>
      <c r="Q47" s="107"/>
      <c r="R47" s="130" t="s">
        <v>148</v>
      </c>
      <c r="S47" s="131">
        <v>679</v>
      </c>
      <c r="T47" s="131">
        <v>689</v>
      </c>
      <c r="U47" s="120">
        <f t="shared" si="27"/>
        <v>-1.4513788098693747E-2</v>
      </c>
    </row>
    <row r="48" spans="1:29" ht="15.75" customHeight="1">
      <c r="A48" s="132"/>
      <c r="B48" s="133" t="s">
        <v>149</v>
      </c>
      <c r="C48" s="134">
        <f>FV(C44,1,0,-C35,0)</f>
        <v>9271.0499999999993</v>
      </c>
      <c r="D48" s="134">
        <f t="shared" ref="D48:D49" si="28">C48*F44</f>
        <v>1362.8443499999998</v>
      </c>
      <c r="E48" s="134">
        <f>D48*E35/D35</f>
        <v>70.527517450331118</v>
      </c>
      <c r="F48" s="134">
        <f t="shared" ref="F48:F50" si="29">E48*$K$41</f>
        <v>1354.4172937898563</v>
      </c>
      <c r="M48" s="135" t="s">
        <v>56</v>
      </c>
      <c r="N48" s="136">
        <v>50.94</v>
      </c>
      <c r="O48" s="136">
        <v>41.26</v>
      </c>
      <c r="P48" s="137">
        <f t="shared" si="26"/>
        <v>0.23460979156568107</v>
      </c>
      <c r="Q48" s="107"/>
      <c r="R48" s="138" t="s">
        <v>56</v>
      </c>
      <c r="S48" s="136">
        <v>35.14</v>
      </c>
      <c r="T48" s="136">
        <v>35.65</v>
      </c>
      <c r="U48" s="139">
        <f t="shared" si="27"/>
        <v>-1.4305750350631086E-2</v>
      </c>
    </row>
    <row r="49" spans="1:21" ht="15.75" customHeight="1">
      <c r="A49" s="140"/>
      <c r="B49" s="133" t="s">
        <v>150</v>
      </c>
      <c r="C49" s="141">
        <f>FV(C45,6,0,-C48,0)</f>
        <v>21760.219923019431</v>
      </c>
      <c r="D49" s="141">
        <f t="shared" si="28"/>
        <v>3222.5938189746953</v>
      </c>
      <c r="E49" s="141">
        <f>D49*E48/D48</f>
        <v>166.7699923348305</v>
      </c>
      <c r="F49" s="134">
        <f t="shared" si="29"/>
        <v>3202.6671272325602</v>
      </c>
      <c r="M49" s="66" t="s">
        <v>117</v>
      </c>
      <c r="N49" s="142">
        <f t="shared" ref="N49:O49" si="30">N47/N44</f>
        <v>0.1471511888739345</v>
      </c>
      <c r="O49" s="142">
        <f t="shared" si="30"/>
        <v>0.10708047830176004</v>
      </c>
      <c r="P49" s="143">
        <f>N49-O49</f>
        <v>4.0070710572174456E-2</v>
      </c>
      <c r="Q49" s="144"/>
      <c r="R49" s="145" t="s">
        <v>117</v>
      </c>
      <c r="S49" s="142">
        <f t="shared" ref="S49:T49" si="31">S47/S44</f>
        <v>0.15389845874886673</v>
      </c>
      <c r="T49" s="142">
        <f t="shared" si="31"/>
        <v>0.13059135708870356</v>
      </c>
      <c r="U49" s="143">
        <f>S49-T49</f>
        <v>2.3307101660163171E-2</v>
      </c>
    </row>
    <row r="50" spans="1:21" ht="15.75" customHeight="1">
      <c r="A50" s="132"/>
      <c r="B50" s="133" t="s">
        <v>151</v>
      </c>
      <c r="C50" s="141">
        <f t="shared" ref="C50:E50" si="32">FV(12%,5,0,-C49,0)</f>
        <v>38348.942605936252</v>
      </c>
      <c r="D50" s="141">
        <f t="shared" si="32"/>
        <v>5679.3114152017824</v>
      </c>
      <c r="E50" s="141">
        <f t="shared" si="32"/>
        <v>293.90570899861638</v>
      </c>
      <c r="F50" s="134">
        <f t="shared" si="29"/>
        <v>5644.1937757363403</v>
      </c>
      <c r="M50" s="66" t="s">
        <v>41</v>
      </c>
      <c r="N50" s="136">
        <f t="shared" ref="N50:O50" si="33">(N44-N45+N46)/N46</f>
        <v>13.390243902439025</v>
      </c>
      <c r="O50" s="136">
        <f t="shared" si="33"/>
        <v>36.954545454545453</v>
      </c>
      <c r="P50" s="143">
        <f>(N50/O50)^(1/1)-1</f>
        <v>-0.63765637656376561</v>
      </c>
      <c r="Q50" s="144"/>
      <c r="R50" s="145" t="s">
        <v>117</v>
      </c>
      <c r="S50" s="136">
        <f t="shared" ref="S50:T50" si="34">(S44-S45+S46)/S46</f>
        <v>15.933333333333334</v>
      </c>
      <c r="T50" s="136">
        <f t="shared" si="34"/>
        <v>75.375</v>
      </c>
      <c r="U50" s="146">
        <f>(S50/T50)^(1/1)-1</f>
        <v>-0.78861249309010506</v>
      </c>
    </row>
    <row r="51" spans="1:21" ht="15.75" customHeight="1"/>
    <row r="52" spans="1:21" ht="15.75" customHeight="1">
      <c r="M52" s="55" t="s">
        <v>152</v>
      </c>
      <c r="P52" s="83"/>
      <c r="Q52" s="22"/>
    </row>
    <row r="53" spans="1:21" ht="15.75" customHeight="1">
      <c r="M53" s="55" t="s">
        <v>153</v>
      </c>
      <c r="N53" s="55" t="s">
        <v>89</v>
      </c>
      <c r="O53" s="55" t="s">
        <v>135</v>
      </c>
      <c r="P53" s="55" t="s">
        <v>154</v>
      </c>
      <c r="Q53" s="55" t="s">
        <v>28</v>
      </c>
    </row>
    <row r="54" spans="1:21" ht="15.75" customHeight="1">
      <c r="M54" s="56" t="s">
        <v>155</v>
      </c>
      <c r="N54" s="44">
        <v>3185</v>
      </c>
      <c r="O54" s="147">
        <v>3668</v>
      </c>
      <c r="P54" s="57">
        <f t="shared" ref="P54:P61" si="35">N54/$N$63</f>
        <v>0.56162934226767769</v>
      </c>
      <c r="Q54" s="148">
        <f t="shared" ref="Q54:Q61" si="36">(N54/O54)^(1/1)-1</f>
        <v>-0.13167938931297707</v>
      </c>
    </row>
    <row r="55" spans="1:21" ht="15.75" customHeight="1">
      <c r="M55" s="56" t="s">
        <v>156</v>
      </c>
      <c r="N55" s="44">
        <v>1206</v>
      </c>
      <c r="O55" s="147">
        <v>1153</v>
      </c>
      <c r="P55" s="57">
        <f t="shared" si="35"/>
        <v>0.21266090636572033</v>
      </c>
      <c r="Q55" s="148">
        <f t="shared" si="36"/>
        <v>4.5967042497831789E-2</v>
      </c>
    </row>
    <row r="56" spans="1:21" ht="15.75" customHeight="1">
      <c r="M56" s="56" t="s">
        <v>157</v>
      </c>
      <c r="N56" s="44">
        <v>477</v>
      </c>
      <c r="O56" s="147">
        <v>415</v>
      </c>
      <c r="P56" s="57">
        <f t="shared" si="35"/>
        <v>8.4112149532710276E-2</v>
      </c>
      <c r="Q56" s="148">
        <f t="shared" si="36"/>
        <v>0.14939759036144573</v>
      </c>
    </row>
    <row r="57" spans="1:21" ht="15.75" customHeight="1">
      <c r="J57" s="22"/>
      <c r="K57" s="22"/>
      <c r="L57" s="22"/>
      <c r="M57" s="56" t="s">
        <v>158</v>
      </c>
      <c r="N57" s="44">
        <v>369</v>
      </c>
      <c r="O57" s="147">
        <v>344</v>
      </c>
      <c r="P57" s="57">
        <f t="shared" si="35"/>
        <v>6.5067889261153242E-2</v>
      </c>
      <c r="Q57" s="148">
        <f t="shared" si="36"/>
        <v>7.267441860465107E-2</v>
      </c>
    </row>
    <row r="58" spans="1:21" ht="15.75" customHeight="1">
      <c r="J58" s="22"/>
      <c r="K58" s="22"/>
      <c r="L58" s="22"/>
      <c r="M58" s="56" t="s">
        <v>159</v>
      </c>
      <c r="N58" s="149">
        <v>301</v>
      </c>
      <c r="O58" s="149">
        <v>977</v>
      </c>
      <c r="P58" s="57">
        <f t="shared" si="35"/>
        <v>5.3077058719802506E-2</v>
      </c>
      <c r="Q58" s="148">
        <f t="shared" si="36"/>
        <v>-0.6919140225179119</v>
      </c>
    </row>
    <row r="59" spans="1:21" ht="15.75" customHeight="1">
      <c r="J59" s="22"/>
      <c r="K59" s="22"/>
      <c r="L59" s="22"/>
      <c r="M59" s="56" t="s">
        <v>160</v>
      </c>
      <c r="N59" s="44">
        <v>86</v>
      </c>
      <c r="O59" s="147">
        <v>77</v>
      </c>
      <c r="P59" s="57">
        <f t="shared" si="35"/>
        <v>1.5164873919943573E-2</v>
      </c>
      <c r="Q59" s="148">
        <f t="shared" si="36"/>
        <v>0.11688311688311681</v>
      </c>
    </row>
    <row r="60" spans="1:21" ht="15.75" customHeight="1">
      <c r="J60" s="22"/>
      <c r="K60" s="22"/>
      <c r="L60" s="22"/>
      <c r="M60" s="56" t="s">
        <v>161</v>
      </c>
      <c r="N60" s="105">
        <v>82</v>
      </c>
      <c r="O60" s="105">
        <v>22</v>
      </c>
      <c r="P60" s="57">
        <f t="shared" si="35"/>
        <v>1.4459530946922941E-2</v>
      </c>
      <c r="Q60" s="148">
        <f t="shared" si="36"/>
        <v>2.7272727272727271</v>
      </c>
    </row>
    <row r="61" spans="1:21" ht="15.75" customHeight="1">
      <c r="J61" s="22"/>
      <c r="K61" s="22"/>
      <c r="L61" s="22"/>
      <c r="M61" s="56" t="s">
        <v>162</v>
      </c>
      <c r="N61" s="150">
        <v>-35</v>
      </c>
      <c r="O61" s="151">
        <v>-3.6</v>
      </c>
      <c r="P61" s="57">
        <f t="shared" si="35"/>
        <v>-6.1717510139305239E-3</v>
      </c>
      <c r="Q61" s="148">
        <f t="shared" si="36"/>
        <v>8.7222222222222214</v>
      </c>
    </row>
    <row r="62" spans="1:21" ht="15.75" customHeight="1">
      <c r="J62" s="22"/>
      <c r="K62" s="22"/>
      <c r="L62" s="22"/>
    </row>
    <row r="63" spans="1:21" ht="15.75" customHeight="1">
      <c r="J63" s="22"/>
      <c r="K63" s="22"/>
      <c r="L63" s="22"/>
      <c r="M63" s="152" t="s">
        <v>163</v>
      </c>
      <c r="N63" s="153">
        <f t="shared" ref="N63:O63" si="37">SUM(N54:N61)</f>
        <v>5671</v>
      </c>
      <c r="O63" s="153">
        <f t="shared" si="37"/>
        <v>6652.4</v>
      </c>
      <c r="P63" s="57">
        <f>N63/$N$63</f>
        <v>1</v>
      </c>
      <c r="Q63" s="148">
        <f>(N63/O63)^(1/1)-1</f>
        <v>-0.14752570500871864</v>
      </c>
    </row>
    <row r="64" spans="1:21" ht="15.75" customHeight="1">
      <c r="J64" s="22"/>
      <c r="K64" s="22"/>
      <c r="L64" s="22"/>
      <c r="M64" s="22"/>
    </row>
    <row r="65" spans="2:17" ht="15.75" customHeight="1">
      <c r="J65" s="22"/>
      <c r="K65" s="22"/>
      <c r="L65" s="22"/>
      <c r="M65" s="55" t="s">
        <v>164</v>
      </c>
      <c r="O65" s="22"/>
      <c r="P65" s="22"/>
      <c r="Q65" s="22"/>
    </row>
    <row r="66" spans="2:17" ht="15.75" customHeight="1">
      <c r="M66" s="55" t="s">
        <v>153</v>
      </c>
      <c r="N66" s="55" t="s">
        <v>165</v>
      </c>
      <c r="P66" s="22"/>
      <c r="Q66" s="22"/>
    </row>
    <row r="67" spans="2:17" ht="15.75" customHeight="1">
      <c r="M67" s="56" t="s">
        <v>166</v>
      </c>
      <c r="N67" s="154">
        <v>0.58299999999999996</v>
      </c>
      <c r="P67" s="34"/>
      <c r="Q67" s="22"/>
    </row>
    <row r="68" spans="2:17" ht="15.75" customHeight="1">
      <c r="M68" s="56" t="s">
        <v>167</v>
      </c>
      <c r="N68" s="99">
        <v>0.2142</v>
      </c>
      <c r="P68" s="34"/>
      <c r="Q68" s="22"/>
    </row>
    <row r="69" spans="2:17" ht="15.75" customHeight="1">
      <c r="M69" s="56" t="s">
        <v>168</v>
      </c>
      <c r="N69" s="99">
        <v>0.12690000000000001</v>
      </c>
      <c r="P69" s="34"/>
      <c r="Q69" s="22"/>
    </row>
    <row r="70" spans="2:17" ht="15.75" customHeight="1">
      <c r="M70" s="56" t="s">
        <v>169</v>
      </c>
      <c r="N70" s="99">
        <v>7.5999999999999998E-2</v>
      </c>
      <c r="P70" s="34"/>
      <c r="Q70" s="22"/>
    </row>
    <row r="71" spans="2:17" ht="15.75" customHeight="1">
      <c r="Q71" s="22"/>
    </row>
    <row r="72" spans="2:17" ht="15.75" customHeight="1">
      <c r="M72" s="56" t="s">
        <v>170</v>
      </c>
      <c r="N72" s="155">
        <f>SUM(N67:N70)</f>
        <v>1.0001</v>
      </c>
      <c r="P72" s="34"/>
      <c r="Q72" s="22"/>
    </row>
    <row r="73" spans="2:17" ht="15.75" customHeight="1">
      <c r="Q73" s="22"/>
    </row>
    <row r="74" spans="2:17" ht="15.75" customHeight="1">
      <c r="B74" s="156"/>
      <c r="M74" s="22"/>
    </row>
    <row r="75" spans="2:17" ht="15.75" customHeight="1">
      <c r="H75" s="83"/>
      <c r="I75" s="22"/>
      <c r="J75" s="22"/>
      <c r="K75" s="22"/>
      <c r="L75" s="22"/>
      <c r="M75" s="22"/>
    </row>
    <row r="76" spans="2:17" ht="15.75" customHeight="1">
      <c r="J76" s="22"/>
      <c r="K76" s="22"/>
      <c r="L76" s="22"/>
      <c r="M76" s="22"/>
    </row>
    <row r="77" spans="2:17" ht="15.75" customHeight="1">
      <c r="J77" s="22"/>
      <c r="K77" s="22"/>
      <c r="L77" s="22"/>
      <c r="M77" s="22"/>
    </row>
    <row r="78" spans="2:17" ht="15.75" customHeight="1">
      <c r="J78" s="22"/>
      <c r="K78" s="22"/>
      <c r="L78" s="22"/>
      <c r="M78" s="22"/>
    </row>
    <row r="79" spans="2:17" ht="15.75" customHeight="1">
      <c r="J79" s="22"/>
      <c r="K79" s="22"/>
      <c r="L79" s="22"/>
      <c r="M79" s="22"/>
    </row>
    <row r="80" spans="2:17" ht="15.75" customHeight="1">
      <c r="J80" s="22"/>
      <c r="K80" s="22"/>
      <c r="L80" s="22"/>
      <c r="M80" s="22"/>
    </row>
    <row r="81" spans="10:13" ht="15.75" customHeight="1">
      <c r="J81" s="22"/>
      <c r="K81" s="22"/>
      <c r="L81" s="22"/>
      <c r="M81" s="22"/>
    </row>
    <row r="82" spans="10:13" ht="15.75" customHeight="1">
      <c r="J82" s="22"/>
      <c r="K82" s="22"/>
      <c r="L82" s="22"/>
      <c r="M82" s="22"/>
    </row>
    <row r="83" spans="10:13" ht="15.75" customHeight="1">
      <c r="J83" s="22"/>
      <c r="K83" s="22"/>
      <c r="L83" s="22"/>
      <c r="M83" s="22"/>
    </row>
    <row r="84" spans="10:13" ht="15.75" customHeight="1">
      <c r="J84" s="22"/>
      <c r="K84" s="22"/>
      <c r="L84" s="22"/>
      <c r="M84" s="22"/>
    </row>
    <row r="85" spans="10:13" ht="15.75" customHeight="1">
      <c r="J85" s="22"/>
      <c r="K85" s="22"/>
      <c r="L85" s="22"/>
      <c r="M85" s="22"/>
    </row>
    <row r="86" spans="10:13" ht="15.75" customHeight="1">
      <c r="J86" s="83"/>
      <c r="K86" s="83"/>
      <c r="L86" s="83"/>
      <c r="M86" s="83"/>
    </row>
    <row r="87" spans="10:13" ht="15.75" customHeight="1"/>
    <row r="88" spans="10:13" ht="15.75" customHeight="1"/>
    <row r="89" spans="10:13" ht="15.75" customHeight="1"/>
    <row r="90" spans="10:13" ht="15.75" customHeight="1"/>
    <row r="91" spans="10:13" ht="15.75" customHeight="1"/>
    <row r="92" spans="10:13" ht="15.75" customHeight="1"/>
    <row r="93" spans="10:13" ht="15.75" customHeight="1"/>
    <row r="94" spans="10:13" ht="15.75" customHeight="1"/>
    <row r="95" spans="10:13" ht="15.75" customHeight="1"/>
    <row r="96" spans="10:13" ht="15.75" customHeight="1"/>
    <row r="97" spans="2:16" ht="15.75" customHeight="1"/>
    <row r="98" spans="2:16" ht="15.75" customHeight="1">
      <c r="B98" s="157" t="s">
        <v>171</v>
      </c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9"/>
    </row>
    <row r="99" spans="2:16" ht="15.75" customHeight="1">
      <c r="B99" s="160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61"/>
    </row>
    <row r="100" spans="2:16" ht="15.75" customHeight="1">
      <c r="B100" s="162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4"/>
    </row>
    <row r="101" spans="2:16" ht="15.75" customHeight="1"/>
    <row r="102" spans="2:16" ht="15.75" customHeight="1"/>
    <row r="103" spans="2:16" ht="15.75" customHeight="1"/>
    <row r="104" spans="2:16" ht="15.75" customHeight="1"/>
    <row r="105" spans="2:16" ht="15.75" customHeight="1"/>
    <row r="106" spans="2:16" ht="15.75" customHeight="1"/>
    <row r="107" spans="2:16" ht="15.75" customHeight="1"/>
    <row r="108" spans="2:16" ht="15.75" customHeight="1"/>
    <row r="109" spans="2:16" ht="15.75" customHeight="1"/>
    <row r="110" spans="2:16" ht="15.75" customHeight="1"/>
    <row r="111" spans="2:16" ht="15.75" customHeight="1"/>
    <row r="112" spans="2:1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2">
    <mergeCell ref="K44:K46"/>
    <mergeCell ref="B98:P100"/>
  </mergeCells>
  <conditionalFormatting sqref="C12:C35">
    <cfRule type="colorScale" priority="1">
      <colorScale>
        <cfvo type="min"/>
        <cfvo type="max"/>
        <color rgb="FFFFFFFF"/>
        <color rgb="FF57BB8A"/>
      </colorScale>
    </cfRule>
  </conditionalFormatting>
  <conditionalFormatting sqref="C44:E45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38:G41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35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12:E35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35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44:F45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2:H35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8:H41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2:I35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38:K41">
    <cfRule type="colorScale" priority="10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12:K35">
    <cfRule type="colorScale" priority="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N67:N70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44:P50 U49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53:P61 P63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53:Q61 Q63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7:T30 N28:N30 Q28:Q30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98" r:id="rId1" xr:uid="{37DE5829-76D9-4CB8-A973-EEDABB822DE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819D-F8C1-4702-81C6-D51A7C873146}">
  <sheetPr>
    <outlinePr summaryBelow="0" summaryRight="0"/>
  </sheetPr>
  <dimension ref="A1:AO1000"/>
  <sheetViews>
    <sheetView workbookViewId="0"/>
  </sheetViews>
  <sheetFormatPr defaultColWidth="14.44140625" defaultRowHeight="15" customHeight="1"/>
  <cols>
    <col min="1" max="19" width="12.6640625" customWidth="1"/>
    <col min="20" max="21" width="16.6640625" customWidth="1"/>
    <col min="22" max="22" width="17.33203125" customWidth="1"/>
    <col min="23" max="23" width="15.6640625" customWidth="1"/>
    <col min="24" max="25" width="12.6640625" customWidth="1"/>
    <col min="26" max="26" width="14.44140625" customWidth="1"/>
    <col min="27" max="27" width="16.44140625" customWidth="1"/>
    <col min="28" max="28" width="15.33203125" customWidth="1"/>
    <col min="29" max="33" width="12.6640625" customWidth="1"/>
    <col min="34" max="34" width="14.33203125" customWidth="1"/>
    <col min="35" max="41" width="12.6640625" customWidth="1"/>
  </cols>
  <sheetData>
    <row r="1" spans="1:41" ht="15.75" customHeight="1">
      <c r="A1" s="165" t="s">
        <v>172</v>
      </c>
      <c r="B1" s="165" t="s">
        <v>173</v>
      </c>
      <c r="C1" s="165" t="s">
        <v>174</v>
      </c>
      <c r="D1" s="165" t="s">
        <v>175</v>
      </c>
      <c r="E1" s="165" t="s">
        <v>176</v>
      </c>
      <c r="F1" s="165" t="s">
        <v>177</v>
      </c>
      <c r="G1" s="165" t="s">
        <v>178</v>
      </c>
      <c r="H1" s="165" t="s">
        <v>179</v>
      </c>
      <c r="I1" s="165" t="s">
        <v>57</v>
      </c>
      <c r="J1" s="165" t="s">
        <v>180</v>
      </c>
      <c r="K1" s="165" t="s">
        <v>181</v>
      </c>
      <c r="L1" s="165" t="s">
        <v>182</v>
      </c>
      <c r="M1" s="165" t="s">
        <v>10</v>
      </c>
      <c r="N1" s="166" t="s">
        <v>115</v>
      </c>
      <c r="O1" s="165" t="s">
        <v>183</v>
      </c>
      <c r="P1" s="165" t="s">
        <v>184</v>
      </c>
      <c r="Q1" s="165" t="s">
        <v>185</v>
      </c>
      <c r="R1" s="165" t="s">
        <v>186</v>
      </c>
      <c r="S1" s="165" t="s">
        <v>187</v>
      </c>
      <c r="T1" s="165" t="s">
        <v>188</v>
      </c>
      <c r="U1" s="165" t="s">
        <v>189</v>
      </c>
      <c r="V1" s="165" t="s">
        <v>190</v>
      </c>
      <c r="W1" s="165" t="s">
        <v>161</v>
      </c>
      <c r="X1" s="165" t="s">
        <v>191</v>
      </c>
      <c r="Y1" s="167" t="s">
        <v>192</v>
      </c>
      <c r="Z1" s="167" t="s">
        <v>193</v>
      </c>
      <c r="AA1" s="167" t="s">
        <v>194</v>
      </c>
      <c r="AB1" s="167" t="s">
        <v>195</v>
      </c>
      <c r="AC1" s="167" t="s">
        <v>196</v>
      </c>
      <c r="AD1" s="167" t="s">
        <v>41</v>
      </c>
      <c r="AE1" s="167" t="s">
        <v>197</v>
      </c>
      <c r="AF1" s="167" t="s">
        <v>198</v>
      </c>
      <c r="AG1" s="167" t="s">
        <v>39</v>
      </c>
      <c r="AH1" s="167" t="s">
        <v>40</v>
      </c>
      <c r="AI1" s="167" t="s">
        <v>42</v>
      </c>
      <c r="AJ1" s="167" t="s">
        <v>43</v>
      </c>
      <c r="AK1" s="167" t="s">
        <v>44</v>
      </c>
      <c r="AL1" s="167" t="s">
        <v>199</v>
      </c>
      <c r="AM1" s="167" t="s">
        <v>200</v>
      </c>
      <c r="AN1" s="167" t="s">
        <v>47</v>
      </c>
      <c r="AO1" s="167" t="s">
        <v>48</v>
      </c>
    </row>
    <row r="2" spans="1:41" ht="15.75" customHeight="1">
      <c r="A2" s="168">
        <v>500290</v>
      </c>
      <c r="B2" s="169" t="s">
        <v>76</v>
      </c>
      <c r="C2" s="170">
        <f ca="1">IFERROR(__xludf.DUMMYFUNCTION("GOOGLEFINANCE(""bom:""&amp;A2,""price"")"),149355)</f>
        <v>149355</v>
      </c>
      <c r="D2" s="171">
        <f ca="1">IFERROR(__xludf.DUMMYFUNCTION("GOOGLEFINANCE(""bom:""&amp;A2,""marketcap"")/10000000"),62792.03)</f>
        <v>62792.03</v>
      </c>
      <c r="E2" s="171">
        <v>9789</v>
      </c>
      <c r="F2" s="171">
        <v>7703</v>
      </c>
      <c r="G2" s="171">
        <v>25809</v>
      </c>
      <c r="H2" s="171">
        <v>9978</v>
      </c>
      <c r="I2" s="171">
        <v>4</v>
      </c>
      <c r="J2" s="171">
        <v>15831</v>
      </c>
      <c r="K2" s="171">
        <v>2429</v>
      </c>
      <c r="L2" s="171">
        <v>2838</v>
      </c>
      <c r="M2" s="170">
        <v>10</v>
      </c>
      <c r="N2" s="172">
        <f ca="1">IFERROR(__xludf.DUMMYFUNCTION("GOOGLEFINANCE(""bom:""&amp;A2,""eps"")"),4776.52)</f>
        <v>4776.5200000000004</v>
      </c>
      <c r="O2" s="173">
        <f t="shared" ref="O2:O16" ca="1" si="0">D2/$D$18</f>
        <v>0.36020580852288048</v>
      </c>
      <c r="P2" s="174">
        <v>15411</v>
      </c>
      <c r="Q2" s="170">
        <v>23008</v>
      </c>
      <c r="R2" s="170">
        <v>769</v>
      </c>
      <c r="S2" s="170">
        <v>18820</v>
      </c>
      <c r="T2" s="170">
        <v>17166</v>
      </c>
      <c r="U2" s="170">
        <v>1685</v>
      </c>
      <c r="V2" s="170">
        <v>428</v>
      </c>
      <c r="W2" s="170">
        <v>319</v>
      </c>
      <c r="X2" s="170">
        <v>22191</v>
      </c>
      <c r="Y2" s="173">
        <f t="shared" ref="Y2:Y8" si="1">(S2/T2)-1</f>
        <v>9.6353256437143209E-2</v>
      </c>
      <c r="Z2" s="173">
        <f t="shared" ref="Z2:Z8" si="2">(U2/V2)-1</f>
        <v>2.9369158878504673</v>
      </c>
      <c r="AA2" s="173">
        <f t="shared" ref="AA2:AA8" si="3">(Q2/P2)^(1/5)-1</f>
        <v>8.3451835467970525E-2</v>
      </c>
      <c r="AB2" s="173">
        <f t="shared" ref="AB2:AB8" si="4">R2/Q2</f>
        <v>3.3423157162726008E-2</v>
      </c>
      <c r="AC2" s="173">
        <f t="shared" ref="AC2:AC8" si="5">U2/S2</f>
        <v>8.9532412327311364E-2</v>
      </c>
      <c r="AD2" s="175">
        <f t="shared" ref="AD2:AD8" si="6">(Q2-X2+W2)/W2</f>
        <v>3.561128526645768</v>
      </c>
      <c r="AE2" s="176">
        <f t="shared" ref="AE2:AE8" si="7">E2/F2</f>
        <v>1.2708035830196027</v>
      </c>
      <c r="AF2" s="171">
        <f t="shared" ref="AF2:AF8" si="8">(L2/Q2)*365</f>
        <v>45.022166203059804</v>
      </c>
      <c r="AG2" s="177">
        <f t="shared" ref="AG2:AG8" si="9">K2/J2</f>
        <v>0.1534331375150022</v>
      </c>
      <c r="AH2" s="176">
        <f t="shared" ref="AH2:AH8" si="10">H2/G2</f>
        <v>0.38660932232941997</v>
      </c>
      <c r="AI2" s="173">
        <f t="shared" ref="AI2:AI8" si="11">R2/J2</f>
        <v>4.8575579559092918E-2</v>
      </c>
      <c r="AJ2" s="171">
        <f t="shared" ref="AJ2:AJ8" si="12">R2/I2</f>
        <v>192.25</v>
      </c>
      <c r="AK2" s="173">
        <f t="shared" ref="AK2:AK8" si="13">R2/G2</f>
        <v>2.979580766399318E-2</v>
      </c>
      <c r="AL2" s="171">
        <f t="shared" ref="AL2:AL8" ca="1" si="14">C2/N2</f>
        <v>31.26858047281284</v>
      </c>
      <c r="AM2" s="173">
        <f t="shared" ref="AM2:AM8" ca="1" si="15">N2/C2</f>
        <v>3.1980984901744169E-2</v>
      </c>
      <c r="AN2" s="171">
        <f t="shared" ref="AN2:AN8" si="16">(J2+I2)/(I2/M2)</f>
        <v>39587.5</v>
      </c>
      <c r="AO2" s="171">
        <f t="shared" ref="AO2:AO8" ca="1" si="17">C2/AN2</f>
        <v>3.7727818124407957</v>
      </c>
    </row>
    <row r="3" spans="1:41" ht="15.75" customHeight="1">
      <c r="A3" s="168">
        <v>502355</v>
      </c>
      <c r="B3" s="169" t="s">
        <v>26</v>
      </c>
      <c r="C3" s="170">
        <f ca="1">IFERROR(__xludf.DUMMYFUNCTION("GOOGLEFINANCE(""bom:""&amp;A3,""price"")"),2338.95)</f>
        <v>2338.9499999999998</v>
      </c>
      <c r="D3" s="171">
        <f ca="1">IFERROR(__xludf.DUMMYFUNCTION("GOOGLEFINANCE(""bom:""&amp;A3,""marketcap"")/10000000"),45213.0018626)</f>
        <v>45213.001862600002</v>
      </c>
      <c r="E3" s="171">
        <v>3771</v>
      </c>
      <c r="F3" s="171">
        <v>3059</v>
      </c>
      <c r="G3" s="171">
        <v>12574</v>
      </c>
      <c r="H3" s="171">
        <v>4349</v>
      </c>
      <c r="I3" s="171">
        <v>38</v>
      </c>
      <c r="J3" s="171">
        <v>8225</v>
      </c>
      <c r="K3" s="171">
        <v>2910</v>
      </c>
      <c r="L3" s="171">
        <v>975</v>
      </c>
      <c r="M3" s="170">
        <v>2</v>
      </c>
      <c r="N3" s="172">
        <f ca="1">IFERROR(__xludf.DUMMYFUNCTION("GOOGLEFINANCE(""bom:""&amp;A3,""eps"")"),64.38)</f>
        <v>64.38</v>
      </c>
      <c r="O3" s="173">
        <f t="shared" ca="1" si="0"/>
        <v>0.25936390162357126</v>
      </c>
      <c r="P3" s="172">
        <v>4461</v>
      </c>
      <c r="Q3" s="170">
        <v>9759</v>
      </c>
      <c r="R3" s="170">
        <v>1057</v>
      </c>
      <c r="S3" s="170">
        <v>6686</v>
      </c>
      <c r="T3" s="170">
        <v>7442</v>
      </c>
      <c r="U3" s="170">
        <v>985</v>
      </c>
      <c r="V3" s="170">
        <v>798</v>
      </c>
      <c r="W3" s="170">
        <v>48</v>
      </c>
      <c r="X3" s="170">
        <v>8671</v>
      </c>
      <c r="Y3" s="173">
        <f t="shared" si="1"/>
        <v>-0.1015855952700887</v>
      </c>
      <c r="Z3" s="173">
        <f t="shared" si="2"/>
        <v>0.2343358395989974</v>
      </c>
      <c r="AA3" s="173">
        <f t="shared" si="3"/>
        <v>0.16948490063682908</v>
      </c>
      <c r="AB3" s="173">
        <f t="shared" si="4"/>
        <v>0.10831027769238652</v>
      </c>
      <c r="AC3" s="173">
        <f t="shared" si="5"/>
        <v>0.1473227639844451</v>
      </c>
      <c r="AD3" s="175">
        <f t="shared" si="6"/>
        <v>23.666666666666668</v>
      </c>
      <c r="AE3" s="176">
        <f t="shared" si="7"/>
        <v>1.2327558025498528</v>
      </c>
      <c r="AF3" s="171">
        <f t="shared" si="8"/>
        <v>36.466338764217646</v>
      </c>
      <c r="AG3" s="177">
        <f t="shared" si="9"/>
        <v>0.35379939209726446</v>
      </c>
      <c r="AH3" s="176">
        <f t="shared" si="10"/>
        <v>0.34587243518371241</v>
      </c>
      <c r="AI3" s="173">
        <f t="shared" si="11"/>
        <v>0.12851063829787235</v>
      </c>
      <c r="AJ3" s="171">
        <f t="shared" si="12"/>
        <v>27.815789473684209</v>
      </c>
      <c r="AK3" s="173">
        <f t="shared" si="13"/>
        <v>8.4062350882773973E-2</v>
      </c>
      <c r="AL3" s="171">
        <f t="shared" ca="1" si="14"/>
        <v>36.330382106244173</v>
      </c>
      <c r="AM3" s="173">
        <f t="shared" ca="1" si="15"/>
        <v>2.752517155133714E-2</v>
      </c>
      <c r="AN3" s="171">
        <f t="shared" si="16"/>
        <v>434.89473684210526</v>
      </c>
      <c r="AO3" s="171">
        <f t="shared" ca="1" si="17"/>
        <v>5.3781979910444146</v>
      </c>
    </row>
    <row r="4" spans="1:41" ht="15.75" customHeight="1">
      <c r="A4" s="168">
        <v>500877</v>
      </c>
      <c r="B4" s="169" t="s">
        <v>201</v>
      </c>
      <c r="C4" s="170">
        <f ca="1">IFERROR(__xludf.DUMMYFUNCTION("GOOGLEFINANCE(""bom:""&amp;A4,""price"")"),528.35)</f>
        <v>528.35</v>
      </c>
      <c r="D4" s="171">
        <f ca="1">IFERROR(__xludf.DUMMYFUNCTION("GOOGLEFINANCE(""bom:""&amp;A4,""marketcap"")/10000000"),33545.8856964)</f>
        <v>33545.885696400001</v>
      </c>
      <c r="E4" s="171">
        <v>8559</v>
      </c>
      <c r="F4" s="171">
        <v>7503</v>
      </c>
      <c r="G4" s="171">
        <v>26392</v>
      </c>
      <c r="H4" s="171">
        <v>13409</v>
      </c>
      <c r="I4" s="171">
        <v>63</v>
      </c>
      <c r="J4" s="171">
        <v>12982</v>
      </c>
      <c r="K4" s="171">
        <v>4768</v>
      </c>
      <c r="L4" s="171">
        <v>2411</v>
      </c>
      <c r="M4" s="170">
        <v>1</v>
      </c>
      <c r="N4" s="172">
        <f ca="1">IFERROR(__xludf.DUMMYFUNCTION("GOOGLEFINANCE(""bom:""&amp;A4,""eps"")"),27.35)</f>
        <v>27.35</v>
      </c>
      <c r="O4" s="173">
        <f t="shared" ca="1" si="0"/>
        <v>0.19243561451808283</v>
      </c>
      <c r="P4" s="172">
        <v>15095</v>
      </c>
      <c r="Q4" s="170">
        <v>24516</v>
      </c>
      <c r="R4" s="170">
        <v>1104</v>
      </c>
      <c r="S4" s="170">
        <v>19119</v>
      </c>
      <c r="T4" s="170">
        <v>18320</v>
      </c>
      <c r="U4" s="170">
        <v>1367</v>
      </c>
      <c r="V4" s="170">
        <v>635</v>
      </c>
      <c r="W4" s="170">
        <v>531</v>
      </c>
      <c r="X4" s="170">
        <v>23204</v>
      </c>
      <c r="Y4" s="173">
        <f t="shared" si="1"/>
        <v>4.3613537117903833E-2</v>
      </c>
      <c r="Z4" s="173">
        <f t="shared" si="2"/>
        <v>1.1527559055118108</v>
      </c>
      <c r="AA4" s="173">
        <f t="shared" si="3"/>
        <v>0.10185208820529956</v>
      </c>
      <c r="AB4" s="173">
        <f t="shared" si="4"/>
        <v>4.503181595692609E-2</v>
      </c>
      <c r="AC4" s="173">
        <f t="shared" si="5"/>
        <v>7.1499555416078248E-2</v>
      </c>
      <c r="AD4" s="175">
        <f t="shared" si="6"/>
        <v>3.4708097928436912</v>
      </c>
      <c r="AE4" s="176">
        <f t="shared" si="7"/>
        <v>1.1407437025189924</v>
      </c>
      <c r="AF4" s="171">
        <f t="shared" si="8"/>
        <v>35.895537608092674</v>
      </c>
      <c r="AG4" s="177">
        <f t="shared" si="9"/>
        <v>0.36727776921891853</v>
      </c>
      <c r="AH4" s="176">
        <f t="shared" si="10"/>
        <v>0.50807062746286757</v>
      </c>
      <c r="AI4" s="173">
        <f t="shared" si="11"/>
        <v>8.5040825758742875E-2</v>
      </c>
      <c r="AJ4" s="171">
        <f t="shared" si="12"/>
        <v>17.523809523809526</v>
      </c>
      <c r="AK4" s="173">
        <f t="shared" si="13"/>
        <v>4.1830857835707794E-2</v>
      </c>
      <c r="AL4" s="171">
        <f t="shared" ca="1" si="14"/>
        <v>19.318098720292504</v>
      </c>
      <c r="AM4" s="173">
        <f t="shared" ca="1" si="15"/>
        <v>5.1764928551149808E-2</v>
      </c>
      <c r="AN4" s="171">
        <f t="shared" si="16"/>
        <v>207.06349206349208</v>
      </c>
      <c r="AO4" s="171">
        <f t="shared" ca="1" si="17"/>
        <v>2.5516328095055578</v>
      </c>
    </row>
    <row r="5" spans="1:41" ht="15.75" customHeight="1">
      <c r="A5" s="168">
        <v>530007</v>
      </c>
      <c r="B5" s="169" t="s">
        <v>202</v>
      </c>
      <c r="C5" s="170">
        <f ca="1">IFERROR(__xludf.DUMMYFUNCTION("GOOGLEFINANCE(""bom:""&amp;A5,""price"")"),515.2)</f>
        <v>515.20000000000005</v>
      </c>
      <c r="D5" s="171">
        <f ca="1">IFERROR(__xludf.DUMMYFUNCTION("GOOGLEFINANCE(""bom:""&amp;A5,""marketcap"")/10000000"),13419.45)</f>
        <v>13419.45</v>
      </c>
      <c r="E5" s="171">
        <v>5631</v>
      </c>
      <c r="F5" s="171">
        <v>5238</v>
      </c>
      <c r="G5" s="171">
        <v>12886</v>
      </c>
      <c r="H5" s="171">
        <v>9011</v>
      </c>
      <c r="I5" s="171">
        <v>49</v>
      </c>
      <c r="J5" s="171">
        <v>3763</v>
      </c>
      <c r="K5" s="171">
        <v>4339</v>
      </c>
      <c r="L5" s="171">
        <v>2595</v>
      </c>
      <c r="M5" s="170">
        <v>2</v>
      </c>
      <c r="N5" s="172">
        <f ca="1">IFERROR(__xludf.DUMMYFUNCTION("GOOGLEFINANCE(""bom:""&amp;A5,""eps"")"),28.35)</f>
        <v>28.35</v>
      </c>
      <c r="O5" s="173">
        <f t="shared" ca="1" si="0"/>
        <v>7.6980531401554753E-2</v>
      </c>
      <c r="P5" s="172">
        <v>6610</v>
      </c>
      <c r="Q5" s="170">
        <v>14645</v>
      </c>
      <c r="R5" s="170">
        <v>263</v>
      </c>
      <c r="S5" s="170">
        <v>11303</v>
      </c>
      <c r="T5" s="170">
        <v>11012</v>
      </c>
      <c r="U5" s="170">
        <v>634</v>
      </c>
      <c r="V5" s="170">
        <v>151</v>
      </c>
      <c r="W5" s="170">
        <v>455</v>
      </c>
      <c r="X5" s="170">
        <v>14208</v>
      </c>
      <c r="Y5" s="173">
        <f t="shared" si="1"/>
        <v>2.6425717399200854E-2</v>
      </c>
      <c r="Z5" s="173">
        <f t="shared" si="2"/>
        <v>3.1986754966887414</v>
      </c>
      <c r="AA5" s="173">
        <f t="shared" si="3"/>
        <v>0.1724587802499884</v>
      </c>
      <c r="AB5" s="173">
        <f t="shared" si="4"/>
        <v>1.795834755889382E-2</v>
      </c>
      <c r="AC5" s="173">
        <f t="shared" si="5"/>
        <v>5.609130319384234E-2</v>
      </c>
      <c r="AD5" s="175">
        <f t="shared" si="6"/>
        <v>1.9604395604395604</v>
      </c>
      <c r="AE5" s="176">
        <f t="shared" si="7"/>
        <v>1.0750286368843069</v>
      </c>
      <c r="AF5" s="171">
        <f t="shared" si="8"/>
        <v>64.675657220894507</v>
      </c>
      <c r="AG5" s="177">
        <f t="shared" si="9"/>
        <v>1.1530693595535477</v>
      </c>
      <c r="AH5" s="176">
        <f t="shared" si="10"/>
        <v>0.6992860468725749</v>
      </c>
      <c r="AI5" s="173">
        <f t="shared" si="11"/>
        <v>6.9891044379484457E-2</v>
      </c>
      <c r="AJ5" s="171">
        <f t="shared" si="12"/>
        <v>5.3673469387755102</v>
      </c>
      <c r="AK5" s="173">
        <f t="shared" si="13"/>
        <v>2.0409747012261368E-2</v>
      </c>
      <c r="AL5" s="171">
        <f t="shared" ca="1" si="14"/>
        <v>18.172839506172838</v>
      </c>
      <c r="AM5" s="173">
        <f t="shared" ca="1" si="15"/>
        <v>5.5027173913043473E-2</v>
      </c>
      <c r="AN5" s="171">
        <f t="shared" si="16"/>
        <v>155.59183673469389</v>
      </c>
      <c r="AO5" s="171">
        <f t="shared" ca="1" si="17"/>
        <v>3.3112277019937042</v>
      </c>
    </row>
    <row r="6" spans="1:41" ht="15.75" customHeight="1">
      <c r="A6" s="168">
        <v>500878</v>
      </c>
      <c r="B6" s="169" t="s">
        <v>203</v>
      </c>
      <c r="C6" s="170">
        <f ca="1">IFERROR(__xludf.DUMMYFUNCTION("GOOGLEFINANCE(""bom:""&amp;A6,""price"")"),2879.7)</f>
        <v>2879.7</v>
      </c>
      <c r="D6" s="171">
        <f ca="1">IFERROR(__xludf.DUMMYFUNCTION("GOOGLEFINANCE(""bom:""&amp;A6,""marketcap"")/10000000"),11611.3979119)</f>
        <v>11611.3979119</v>
      </c>
      <c r="E6" s="171">
        <v>2767</v>
      </c>
      <c r="F6" s="171">
        <v>4271</v>
      </c>
      <c r="G6" s="171">
        <v>9815</v>
      </c>
      <c r="H6" s="171">
        <v>6053</v>
      </c>
      <c r="I6" s="171">
        <v>40</v>
      </c>
      <c r="J6" s="171">
        <v>3762</v>
      </c>
      <c r="K6" s="171">
        <v>1890</v>
      </c>
      <c r="L6" s="171">
        <v>1327</v>
      </c>
      <c r="M6" s="170">
        <v>10</v>
      </c>
      <c r="N6" s="172">
        <f ca="1">IFERROR(__xludf.DUMMYFUNCTION("GOOGLEFINANCE(""bom:""&amp;A6,""eps"")"),165.1)</f>
        <v>165.1</v>
      </c>
      <c r="O6" s="173">
        <f t="shared" ca="1" si="0"/>
        <v>6.6608659935613254E-2</v>
      </c>
      <c r="P6" s="178">
        <v>6400</v>
      </c>
      <c r="Q6" s="170">
        <v>11315</v>
      </c>
      <c r="R6" s="170">
        <v>182</v>
      </c>
      <c r="S6" s="170">
        <v>8951</v>
      </c>
      <c r="T6" s="170">
        <v>8440</v>
      </c>
      <c r="U6" s="170">
        <v>533</v>
      </c>
      <c r="V6" s="170">
        <v>500</v>
      </c>
      <c r="W6" s="170">
        <v>242</v>
      </c>
      <c r="X6" s="170">
        <v>11052</v>
      </c>
      <c r="Y6" s="173">
        <f t="shared" si="1"/>
        <v>6.0545023696682465E-2</v>
      </c>
      <c r="Z6" s="173">
        <f t="shared" si="2"/>
        <v>6.6000000000000059E-2</v>
      </c>
      <c r="AA6" s="173">
        <f t="shared" si="3"/>
        <v>0.12071430881701772</v>
      </c>
      <c r="AB6" s="173">
        <f t="shared" si="4"/>
        <v>1.6084843128590365E-2</v>
      </c>
      <c r="AC6" s="173">
        <f t="shared" si="5"/>
        <v>5.9546419394481062E-2</v>
      </c>
      <c r="AD6" s="175">
        <f t="shared" si="6"/>
        <v>2.0867768595041323</v>
      </c>
      <c r="AE6" s="176">
        <f t="shared" si="7"/>
        <v>0.64785764457972372</v>
      </c>
      <c r="AF6" s="171">
        <f t="shared" si="8"/>
        <v>42.806451612903231</v>
      </c>
      <c r="AG6" s="177">
        <f t="shared" si="9"/>
        <v>0.50239234449760761</v>
      </c>
      <c r="AH6" s="176">
        <f t="shared" si="10"/>
        <v>0.61670911869587364</v>
      </c>
      <c r="AI6" s="173">
        <f t="shared" si="11"/>
        <v>4.837852206273259E-2</v>
      </c>
      <c r="AJ6" s="171">
        <f t="shared" si="12"/>
        <v>4.55</v>
      </c>
      <c r="AK6" s="173">
        <f t="shared" si="13"/>
        <v>1.8543046357615896E-2</v>
      </c>
      <c r="AL6" s="171">
        <f t="shared" ca="1" si="14"/>
        <v>17.442156268927921</v>
      </c>
      <c r="AM6" s="173">
        <f t="shared" ca="1" si="15"/>
        <v>5.7332361009827415E-2</v>
      </c>
      <c r="AN6" s="171">
        <f t="shared" si="16"/>
        <v>950.5</v>
      </c>
      <c r="AO6" s="171">
        <f t="shared" ca="1" si="17"/>
        <v>3.0296685954760649</v>
      </c>
    </row>
    <row r="7" spans="1:41" ht="15.75" customHeight="1">
      <c r="A7" s="168">
        <v>509243</v>
      </c>
      <c r="B7" s="169" t="s">
        <v>204</v>
      </c>
      <c r="C7" s="170">
        <f ca="1">IFERROR(__xludf.DUMMYFUNCTION("GOOGLEFINANCE(""bom:""&amp;A7,""price"")"),4203.5)</f>
        <v>4203.5</v>
      </c>
      <c r="D7" s="171">
        <f ca="1">IFERROR(__xludf.DUMMYFUNCTION("GOOGLEFINANCE(""bom:""&amp;A7,""marketcap"")/10000000"),3214.468)</f>
        <v>3214.4679999999998</v>
      </c>
      <c r="E7" s="171">
        <v>899</v>
      </c>
      <c r="F7" s="171">
        <v>815</v>
      </c>
      <c r="G7" s="171">
        <v>2373</v>
      </c>
      <c r="H7" s="171">
        <v>1299</v>
      </c>
      <c r="I7" s="171">
        <v>8</v>
      </c>
      <c r="J7" s="171">
        <v>1075</v>
      </c>
      <c r="K7" s="171">
        <v>703</v>
      </c>
      <c r="L7" s="171">
        <v>241</v>
      </c>
      <c r="M7" s="170">
        <v>10</v>
      </c>
      <c r="N7" s="172">
        <f ca="1">IFERROR(__xludf.DUMMYFUNCTION("GOOGLEFINANCE(""bom:""&amp;A7,""eps"")"),139.17)</f>
        <v>139.16999999999999</v>
      </c>
      <c r="O7" s="173">
        <f t="shared" ca="1" si="0"/>
        <v>1.8439761302683263E-2</v>
      </c>
      <c r="P7" s="172">
        <v>2203</v>
      </c>
      <c r="Q7" s="170">
        <v>2985</v>
      </c>
      <c r="R7" s="170">
        <v>78</v>
      </c>
      <c r="S7" s="170">
        <v>2161</v>
      </c>
      <c r="T7" s="170">
        <v>2302</v>
      </c>
      <c r="U7" s="170">
        <v>84</v>
      </c>
      <c r="V7" s="170">
        <v>55</v>
      </c>
      <c r="W7" s="170">
        <v>40</v>
      </c>
      <c r="X7" s="170">
        <v>2887</v>
      </c>
      <c r="Y7" s="173">
        <f t="shared" si="1"/>
        <v>-6.1251086012163336E-2</v>
      </c>
      <c r="Z7" s="173">
        <f t="shared" si="2"/>
        <v>0.52727272727272734</v>
      </c>
      <c r="AA7" s="173">
        <f t="shared" si="3"/>
        <v>6.2639530273652211E-2</v>
      </c>
      <c r="AB7" s="173">
        <f t="shared" si="4"/>
        <v>2.6130653266331658E-2</v>
      </c>
      <c r="AC7" s="173">
        <f t="shared" si="5"/>
        <v>3.8870893105043963E-2</v>
      </c>
      <c r="AD7" s="175">
        <f t="shared" si="6"/>
        <v>3.45</v>
      </c>
      <c r="AE7" s="176">
        <f t="shared" si="7"/>
        <v>1.1030674846625768</v>
      </c>
      <c r="AF7" s="171">
        <f t="shared" si="8"/>
        <v>29.469011725293132</v>
      </c>
      <c r="AG7" s="177">
        <f t="shared" si="9"/>
        <v>0.65395348837209299</v>
      </c>
      <c r="AH7" s="176">
        <f t="shared" si="10"/>
        <v>0.54740834386852089</v>
      </c>
      <c r="AI7" s="173">
        <f t="shared" si="11"/>
        <v>7.2558139534883714E-2</v>
      </c>
      <c r="AJ7" s="171">
        <f t="shared" si="12"/>
        <v>9.75</v>
      </c>
      <c r="AK7" s="173">
        <f t="shared" si="13"/>
        <v>3.286978508217446E-2</v>
      </c>
      <c r="AL7" s="171">
        <f t="shared" ca="1" si="14"/>
        <v>30.204066968455848</v>
      </c>
      <c r="AM7" s="173">
        <f t="shared" ca="1" si="15"/>
        <v>3.3108124182229089E-2</v>
      </c>
      <c r="AN7" s="171">
        <f t="shared" si="16"/>
        <v>1353.75</v>
      </c>
      <c r="AO7" s="171">
        <f t="shared" ca="1" si="17"/>
        <v>3.1050784856879039</v>
      </c>
    </row>
    <row r="8" spans="1:41" ht="15.75" customHeight="1">
      <c r="A8" s="168">
        <v>500168</v>
      </c>
      <c r="B8" s="169" t="s">
        <v>205</v>
      </c>
      <c r="C8" s="170">
        <f ca="1">IFERROR(__xludf.DUMMYFUNCTION("GOOGLEFINANCE(""bom:""&amp;A8,""price"")"),1309.8)</f>
        <v>1309.8</v>
      </c>
      <c r="D8" s="171">
        <f ca="1">IFERROR(__xludf.DUMMYFUNCTION("GOOGLEFINANCE(""bom:""&amp;A8,""marketcap"")/10000000"),3012.255)</f>
        <v>3012.2550000000001</v>
      </c>
      <c r="E8" s="171">
        <v>847</v>
      </c>
      <c r="F8" s="171">
        <v>646</v>
      </c>
      <c r="G8" s="171">
        <v>1302</v>
      </c>
      <c r="H8" s="171">
        <v>679</v>
      </c>
      <c r="I8" s="171">
        <v>23</v>
      </c>
      <c r="J8" s="171">
        <v>623</v>
      </c>
      <c r="K8" s="171">
        <v>0</v>
      </c>
      <c r="L8" s="171">
        <v>323</v>
      </c>
      <c r="M8" s="170">
        <v>10</v>
      </c>
      <c r="N8" s="172">
        <f ca="1">IFERROR(__xludf.DUMMYFUNCTION("GOOGLEFINANCE(""bom:""&amp;A8,""eps"")"),57.52)</f>
        <v>57.52</v>
      </c>
      <c r="O8" s="173">
        <f t="shared" ca="1" si="0"/>
        <v>1.7279768590887878E-2</v>
      </c>
      <c r="P8" s="172">
        <v>1706</v>
      </c>
      <c r="Q8" s="170">
        <v>2927</v>
      </c>
      <c r="R8" s="170">
        <v>123</v>
      </c>
      <c r="S8" s="170">
        <v>2001</v>
      </c>
      <c r="T8" s="170">
        <v>2275</v>
      </c>
      <c r="U8" s="170">
        <v>99</v>
      </c>
      <c r="V8" s="170">
        <v>89</v>
      </c>
      <c r="W8" s="170">
        <v>4</v>
      </c>
      <c r="X8" s="170">
        <v>2724</v>
      </c>
      <c r="Y8" s="173">
        <f t="shared" si="1"/>
        <v>-0.12043956043956039</v>
      </c>
      <c r="Z8" s="173">
        <f t="shared" si="2"/>
        <v>0.11235955056179781</v>
      </c>
      <c r="AA8" s="173">
        <f t="shared" si="3"/>
        <v>0.11400910166555867</v>
      </c>
      <c r="AB8" s="173">
        <f t="shared" si="4"/>
        <v>4.2022548684660065E-2</v>
      </c>
      <c r="AC8" s="173">
        <f t="shared" si="5"/>
        <v>4.9475262368815595E-2</v>
      </c>
      <c r="AD8" s="175">
        <f t="shared" si="6"/>
        <v>51.75</v>
      </c>
      <c r="AE8" s="176">
        <f t="shared" si="7"/>
        <v>1.3111455108359134</v>
      </c>
      <c r="AF8" s="171">
        <f t="shared" si="8"/>
        <v>40.278442090878031</v>
      </c>
      <c r="AG8" s="177">
        <f t="shared" si="9"/>
        <v>0</v>
      </c>
      <c r="AH8" s="176">
        <f t="shared" si="10"/>
        <v>0.521505376344086</v>
      </c>
      <c r="AI8" s="173">
        <f t="shared" si="11"/>
        <v>0.19743178170144463</v>
      </c>
      <c r="AJ8" s="171">
        <f t="shared" si="12"/>
        <v>5.3478260869565215</v>
      </c>
      <c r="AK8" s="173">
        <f t="shared" si="13"/>
        <v>9.4470046082949302E-2</v>
      </c>
      <c r="AL8" s="171">
        <f t="shared" ca="1" si="14"/>
        <v>22.771210013908203</v>
      </c>
      <c r="AM8" s="173">
        <f t="shared" ca="1" si="15"/>
        <v>4.391510154222019E-2</v>
      </c>
      <c r="AN8" s="171">
        <f t="shared" si="16"/>
        <v>280.86956521739131</v>
      </c>
      <c r="AO8" s="171">
        <f t="shared" ca="1" si="17"/>
        <v>4.6633746130030955</v>
      </c>
    </row>
    <row r="9" spans="1:41" ht="15.75" customHeight="1">
      <c r="A9" s="168">
        <v>500367</v>
      </c>
      <c r="B9" s="169" t="s">
        <v>206</v>
      </c>
      <c r="C9" s="170">
        <f ca="1">IFERROR(__xludf.DUMMYFUNCTION("GOOGLEFINANCE(""bom:""&amp;A9,""price"")"),79.91)</f>
        <v>79.91</v>
      </c>
      <c r="D9" s="171">
        <f ca="1">IFERROR(__xludf.DUMMYFUNCTION("GOOGLEFINANCE(""bom:""&amp;A9,""marketcap"")/10000000"),433.6517721)</f>
        <v>433.65177210000002</v>
      </c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3">
        <f t="shared" ca="1" si="0"/>
        <v>2.4876387526675025E-3</v>
      </c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0"/>
      <c r="AJ9" s="170"/>
      <c r="AK9" s="170"/>
      <c r="AL9" s="170"/>
      <c r="AM9" s="170"/>
      <c r="AN9" s="170"/>
      <c r="AO9" s="170"/>
    </row>
    <row r="10" spans="1:41" ht="15.75" customHeight="1">
      <c r="A10" s="168">
        <v>509162</v>
      </c>
      <c r="B10" s="169" t="s">
        <v>207</v>
      </c>
      <c r="C10" s="170">
        <f ca="1">IFERROR(__xludf.DUMMYFUNCTION("GOOGLEFINANCE(""bom:""&amp;A10,""price"")"),144.3)</f>
        <v>144.30000000000001</v>
      </c>
      <c r="D10" s="171">
        <f ca="1">IFERROR(__xludf.DUMMYFUNCTION("GOOGLEFINANCE(""bom:""&amp;A10,""marketcap"")/10000000"),379.1813)</f>
        <v>379.18130000000002</v>
      </c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3">
        <f t="shared" ca="1" si="0"/>
        <v>2.1751694720374051E-3</v>
      </c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</row>
    <row r="11" spans="1:41" ht="15.75" customHeight="1">
      <c r="A11" s="168">
        <v>500890</v>
      </c>
      <c r="B11" s="169" t="s">
        <v>208</v>
      </c>
      <c r="C11" s="170">
        <f ca="1">IFERROR(__xludf.DUMMYFUNCTION("GOOGLEFINANCE(""bom:""&amp;A11,""price"")"),92.39)</f>
        <v>92.39</v>
      </c>
      <c r="D11" s="171">
        <f ca="1">IFERROR(__xludf.DUMMYFUNCTION("GOOGLEFINANCE(""bom:""&amp;A11,""marketcap"")/10000000"),231.2493)</f>
        <v>231.24930000000001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3">
        <f t="shared" ca="1" si="0"/>
        <v>1.326559136196905E-3</v>
      </c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</row>
    <row r="12" spans="1:41" ht="15.75" customHeight="1">
      <c r="A12" s="168">
        <v>539040</v>
      </c>
      <c r="B12" s="169" t="s">
        <v>209</v>
      </c>
      <c r="C12" s="170">
        <f ca="1">IFERROR(__xludf.DUMMYFUNCTION("GOOGLEFINANCE(""bom:""&amp;A12,""price"")"),91)</f>
        <v>91</v>
      </c>
      <c r="D12" s="171">
        <f ca="1">IFERROR(__xludf.DUMMYFUNCTION("GOOGLEFINANCE(""bom:""&amp;A12,""marketcap"")/10000000"),222.4358)</f>
        <v>222.4358</v>
      </c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3">
        <f t="shared" ca="1" si="0"/>
        <v>1.2760005877088818E-3</v>
      </c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  <c r="AM12" s="170"/>
      <c r="AN12" s="170"/>
      <c r="AO12" s="170"/>
    </row>
    <row r="13" spans="1:41" ht="15.75" customHeight="1">
      <c r="A13" s="168">
        <v>542013</v>
      </c>
      <c r="B13" s="169" t="s">
        <v>210</v>
      </c>
      <c r="C13" s="170">
        <f ca="1">IFERROR(__xludf.DUMMYFUNCTION("GOOGLEFINANCE(""bom:""&amp;A13,""price"")"),132.2)</f>
        <v>132.19999999999999</v>
      </c>
      <c r="D13" s="171">
        <f ca="1">IFERROR(__xludf.DUMMYFUNCTION("GOOGLEFINANCE(""bom:""&amp;A13,""marketcap"")/10000000"),132.5951427)</f>
        <v>132.5951427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3">
        <f t="shared" ca="1" si="0"/>
        <v>7.6063061796951311E-4</v>
      </c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  <c r="AM13" s="170"/>
      <c r="AN13" s="170"/>
      <c r="AO13" s="170"/>
    </row>
    <row r="14" spans="1:41" ht="15.75" customHeight="1">
      <c r="A14" s="168">
        <v>509196</v>
      </c>
      <c r="B14" s="169" t="s">
        <v>211</v>
      </c>
      <c r="C14" s="170">
        <f ca="1">IFERROR(__xludf.DUMMYFUNCTION("GOOGLEFINANCE(""bom:""&amp;A14,""price"")"),113.75)</f>
        <v>113.75</v>
      </c>
      <c r="D14" s="171">
        <f ca="1">IFERROR(__xludf.DUMMYFUNCTION("GOOGLEFINANCE(""bom:""&amp;A14,""marketcap"")/10000000"),70.8785463)</f>
        <v>70.878546299999996</v>
      </c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3">
        <f t="shared" ca="1" si="0"/>
        <v>4.0659402279107581E-4</v>
      </c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</row>
    <row r="15" spans="1:41" ht="15.75" customHeight="1">
      <c r="A15" s="168">
        <v>531346</v>
      </c>
      <c r="B15" s="169" t="s">
        <v>212</v>
      </c>
      <c r="C15" s="170">
        <f ca="1">IFERROR(__xludf.DUMMYFUNCTION("GOOGLEFINANCE(""bom:""&amp;A15,""price"")"),40)</f>
        <v>40</v>
      </c>
      <c r="D15" s="171">
        <f ca="1">IFERROR(__xludf.DUMMYFUNCTION("GOOGLEFINANCE(""bom:""&amp;A15,""marketcap"")/10000000"),20.8129)</f>
        <v>20.812899999999999</v>
      </c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3">
        <f t="shared" ca="1" si="0"/>
        <v>1.1939297825226957E-4</v>
      </c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0"/>
      <c r="AF15" s="170"/>
      <c r="AG15" s="170"/>
      <c r="AH15" s="170"/>
      <c r="AI15" s="170"/>
      <c r="AJ15" s="170"/>
      <c r="AK15" s="170"/>
      <c r="AL15" s="170"/>
      <c r="AM15" s="170"/>
      <c r="AN15" s="170"/>
      <c r="AO15" s="170"/>
    </row>
    <row r="16" spans="1:41" ht="15.75" customHeight="1">
      <c r="A16" s="168">
        <v>508571</v>
      </c>
      <c r="B16" s="169" t="s">
        <v>213</v>
      </c>
      <c r="C16" s="170">
        <f ca="1">IFERROR(__xludf.DUMMYFUNCTION("GOOGLEFINANCE(""bom:""&amp;A16,""price"")"),134)</f>
        <v>134</v>
      </c>
      <c r="D16" s="171">
        <f ca="1">IFERROR(__xludf.DUMMYFUNCTION("GOOGLEFINANCE(""bom:""&amp;A16,""marketcap"")/10000000"),23.35375)</f>
        <v>23.353750000000002</v>
      </c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3">
        <f t="shared" ca="1" si="0"/>
        <v>1.339685371024192E-4</v>
      </c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</row>
    <row r="17" spans="1:41" ht="15.75" customHeight="1">
      <c r="A17" s="170"/>
      <c r="B17" s="179"/>
      <c r="C17" s="170"/>
      <c r="D17" s="180"/>
      <c r="E17" s="180"/>
      <c r="F17" s="180"/>
      <c r="G17" s="180"/>
      <c r="H17" s="180"/>
      <c r="I17" s="180"/>
      <c r="J17" s="180"/>
      <c r="K17" s="180"/>
      <c r="L17" s="180"/>
      <c r="M17" s="179"/>
      <c r="N17" s="180"/>
      <c r="O17" s="181"/>
      <c r="P17" s="180"/>
      <c r="Q17" s="180"/>
      <c r="R17" s="180"/>
      <c r="S17" s="180"/>
      <c r="T17" s="180"/>
      <c r="U17" s="180"/>
      <c r="V17" s="180"/>
      <c r="W17" s="180"/>
      <c r="X17" s="180"/>
      <c r="Y17" s="181"/>
      <c r="Z17" s="181"/>
      <c r="AA17" s="181"/>
      <c r="AB17" s="173"/>
      <c r="AC17" s="173"/>
      <c r="AD17" s="175"/>
      <c r="AE17" s="176"/>
      <c r="AF17" s="171"/>
      <c r="AG17" s="177"/>
      <c r="AH17" s="176"/>
      <c r="AI17" s="173"/>
      <c r="AJ17" s="171"/>
      <c r="AK17" s="179"/>
      <c r="AL17" s="179"/>
      <c r="AM17" s="179"/>
      <c r="AN17" s="171"/>
      <c r="AO17" s="179"/>
    </row>
    <row r="18" spans="1:41" ht="15.75" customHeight="1">
      <c r="A18" s="170"/>
      <c r="B18" s="179" t="s">
        <v>214</v>
      </c>
      <c r="C18" s="170"/>
      <c r="D18" s="180">
        <f t="shared" ref="D18:L18" ca="1" si="18">SUM(D2:D16)</f>
        <v>174322.64698200006</v>
      </c>
      <c r="E18" s="180">
        <f t="shared" si="18"/>
        <v>32263</v>
      </c>
      <c r="F18" s="180">
        <f t="shared" si="18"/>
        <v>29235</v>
      </c>
      <c r="G18" s="180">
        <f t="shared" si="18"/>
        <v>91151</v>
      </c>
      <c r="H18" s="180">
        <f t="shared" si="18"/>
        <v>44778</v>
      </c>
      <c r="I18" s="180">
        <f t="shared" si="18"/>
        <v>225</v>
      </c>
      <c r="J18" s="180">
        <f t="shared" si="18"/>
        <v>46261</v>
      </c>
      <c r="K18" s="180">
        <f t="shared" si="18"/>
        <v>17039</v>
      </c>
      <c r="L18" s="180">
        <f t="shared" si="18"/>
        <v>10710</v>
      </c>
      <c r="M18" s="179">
        <f>MEDIAN(M2:M8)</f>
        <v>10</v>
      </c>
      <c r="N18" s="180">
        <f t="shared" ref="N18:X18" ca="1" si="19">SUM(N2:N16)</f>
        <v>5258.3900000000021</v>
      </c>
      <c r="O18" s="181">
        <f t="shared" ca="1" si="19"/>
        <v>0.99999999999999978</v>
      </c>
      <c r="P18" s="180">
        <f t="shared" si="19"/>
        <v>51886</v>
      </c>
      <c r="Q18" s="180">
        <f t="shared" si="19"/>
        <v>89155</v>
      </c>
      <c r="R18" s="180">
        <f t="shared" si="19"/>
        <v>3576</v>
      </c>
      <c r="S18" s="180">
        <f t="shared" si="19"/>
        <v>69041</v>
      </c>
      <c r="T18" s="180">
        <f t="shared" si="19"/>
        <v>66957</v>
      </c>
      <c r="U18" s="180">
        <f t="shared" si="19"/>
        <v>5387</v>
      </c>
      <c r="V18" s="180">
        <f t="shared" si="19"/>
        <v>2656</v>
      </c>
      <c r="W18" s="180">
        <f t="shared" si="19"/>
        <v>1639</v>
      </c>
      <c r="X18" s="180">
        <f t="shared" si="19"/>
        <v>84937</v>
      </c>
      <c r="Y18" s="181">
        <f>(S18/T18)-1</f>
        <v>3.112445300715394E-2</v>
      </c>
      <c r="Z18" s="181">
        <f>(U18/V18)-1</f>
        <v>1.0282379518072289</v>
      </c>
      <c r="AA18" s="181">
        <f>(Q18/P18)^(1/5)-1</f>
        <v>0.11434354733098551</v>
      </c>
      <c r="AB18" s="173">
        <f>R18/Q18</f>
        <v>4.0109920924233079E-2</v>
      </c>
      <c r="AC18" s="173">
        <f>U18/S18</f>
        <v>7.8026100433075993E-2</v>
      </c>
      <c r="AD18" s="175">
        <f>(Q18-X18+W18)/W18</f>
        <v>3.5735204392922513</v>
      </c>
      <c r="AE18" s="176">
        <f>E18/F18</f>
        <v>1.1035744826406704</v>
      </c>
      <c r="AF18" s="171">
        <f>(L18/Q18)*365</f>
        <v>43.846671527115703</v>
      </c>
      <c r="AG18" s="177">
        <f>K18/J18</f>
        <v>0.36832320961501047</v>
      </c>
      <c r="AH18" s="176">
        <f>H18/G18</f>
        <v>0.49125078166997621</v>
      </c>
      <c r="AI18" s="173">
        <f>R18/J18</f>
        <v>7.7300533927065998E-2</v>
      </c>
      <c r="AJ18" s="171">
        <f>R18/I18</f>
        <v>15.893333333333333</v>
      </c>
      <c r="AK18" s="173">
        <f>R18/G18</f>
        <v>3.9231604699893584E-2</v>
      </c>
      <c r="AL18" s="180">
        <f t="shared" ref="AL18:AM18" ca="1" si="20">MEDIAN(AL2:AL8)</f>
        <v>22.771210013908203</v>
      </c>
      <c r="AM18" s="181">
        <f t="shared" ca="1" si="20"/>
        <v>4.391510154222019E-2</v>
      </c>
      <c r="AN18" s="171">
        <f>(J18+I18)/(I18/M18)</f>
        <v>2066.0444444444443</v>
      </c>
      <c r="AO18" s="180">
        <f ca="1">MEDIAN(AO2:AO8)</f>
        <v>3.3112277019937042</v>
      </c>
    </row>
    <row r="19" spans="1:41" ht="15.75" customHeight="1">
      <c r="D19" s="182"/>
    </row>
    <row r="20" spans="1:41" ht="15.75" customHeight="1">
      <c r="A20" s="165" t="s">
        <v>214</v>
      </c>
      <c r="D20" s="182"/>
    </row>
    <row r="21" spans="1:41" ht="15.75" customHeight="1">
      <c r="B21" s="183" t="s">
        <v>215</v>
      </c>
      <c r="C21" s="183" t="s">
        <v>116</v>
      </c>
      <c r="D21" s="183" t="s">
        <v>216</v>
      </c>
      <c r="E21" s="165" t="s">
        <v>217</v>
      </c>
      <c r="H21" s="184" t="s">
        <v>173</v>
      </c>
      <c r="I21" s="184" t="s">
        <v>218</v>
      </c>
      <c r="L21" s="166" t="s">
        <v>173</v>
      </c>
      <c r="M21" s="185" t="s">
        <v>185</v>
      </c>
      <c r="P21" s="166" t="s">
        <v>173</v>
      </c>
      <c r="Q21" s="185" t="s">
        <v>186</v>
      </c>
    </row>
    <row r="22" spans="1:41" ht="15.75" customHeight="1">
      <c r="B22" s="186" t="s">
        <v>219</v>
      </c>
      <c r="C22" s="187">
        <v>19.63</v>
      </c>
      <c r="D22" s="187">
        <v>25.39</v>
      </c>
      <c r="E22" s="188">
        <f>(D22/C22)^(1/9)-1</f>
        <v>2.9001060529221467E-2</v>
      </c>
      <c r="H22" s="13" t="s">
        <v>76</v>
      </c>
      <c r="I22" s="189">
        <v>62712.620320299997</v>
      </c>
      <c r="L22" s="190" t="s">
        <v>76</v>
      </c>
      <c r="M22" s="191">
        <v>23008</v>
      </c>
      <c r="P22" s="190" t="s">
        <v>76</v>
      </c>
      <c r="Q22" s="191">
        <v>769</v>
      </c>
    </row>
    <row r="23" spans="1:41" ht="15.75" customHeight="1">
      <c r="D23" s="182"/>
      <c r="H23" s="13" t="s">
        <v>26</v>
      </c>
      <c r="I23" s="189">
        <v>45172.678365400003</v>
      </c>
      <c r="L23" s="190" t="s">
        <v>26</v>
      </c>
      <c r="M23" s="191">
        <v>9759</v>
      </c>
      <c r="P23" s="190" t="s">
        <v>26</v>
      </c>
      <c r="Q23" s="191">
        <v>1057</v>
      </c>
    </row>
    <row r="24" spans="1:41" ht="15.75" customHeight="1">
      <c r="D24" s="182"/>
      <c r="H24" s="13" t="s">
        <v>201</v>
      </c>
      <c r="I24" s="189">
        <v>33542.599359500004</v>
      </c>
      <c r="L24" s="190" t="s">
        <v>201</v>
      </c>
      <c r="M24" s="191">
        <v>24516</v>
      </c>
      <c r="P24" s="190" t="s">
        <v>201</v>
      </c>
      <c r="Q24" s="191">
        <v>1104</v>
      </c>
    </row>
    <row r="25" spans="1:41" ht="15.75" customHeight="1">
      <c r="D25" s="182"/>
      <c r="H25" s="13" t="s">
        <v>202</v>
      </c>
      <c r="I25" s="189">
        <v>13457.1273588</v>
      </c>
      <c r="L25" s="190" t="s">
        <v>202</v>
      </c>
      <c r="M25" s="191">
        <v>14645</v>
      </c>
      <c r="P25" s="190" t="s">
        <v>202</v>
      </c>
      <c r="Q25" s="191">
        <v>263</v>
      </c>
    </row>
    <row r="26" spans="1:41" ht="15.75" customHeight="1">
      <c r="D26" s="182"/>
      <c r="H26" s="13" t="s">
        <v>203</v>
      </c>
      <c r="I26" s="189">
        <v>11611.4007824</v>
      </c>
      <c r="L26" s="190" t="s">
        <v>203</v>
      </c>
      <c r="M26" s="191">
        <v>11315</v>
      </c>
      <c r="P26" s="190" t="s">
        <v>203</v>
      </c>
      <c r="Q26" s="191">
        <v>182</v>
      </c>
    </row>
    <row r="27" spans="1:41" ht="15.75" customHeight="1">
      <c r="D27" s="182"/>
      <c r="H27" s="13" t="s">
        <v>204</v>
      </c>
      <c r="I27" s="189">
        <v>3208.30395</v>
      </c>
      <c r="L27" s="190" t="s">
        <v>204</v>
      </c>
      <c r="M27" s="191">
        <v>2985</v>
      </c>
      <c r="P27" s="190" t="s">
        <v>204</v>
      </c>
      <c r="Q27" s="191">
        <v>78</v>
      </c>
    </row>
    <row r="28" spans="1:41" ht="15.75" customHeight="1">
      <c r="D28" s="182"/>
      <c r="H28" s="13" t="s">
        <v>205</v>
      </c>
      <c r="I28" s="189">
        <v>3021.2502826</v>
      </c>
      <c r="L28" s="190" t="s">
        <v>205</v>
      </c>
      <c r="M28" s="191">
        <v>2927</v>
      </c>
      <c r="P28" s="190" t="s">
        <v>205</v>
      </c>
      <c r="Q28" s="191">
        <v>123</v>
      </c>
    </row>
    <row r="29" spans="1:41" ht="15.75" customHeight="1">
      <c r="D29" s="182"/>
      <c r="H29" s="13" t="s">
        <v>206</v>
      </c>
      <c r="I29" s="189">
        <v>433.65185209999999</v>
      </c>
    </row>
    <row r="30" spans="1:41" ht="15.75" customHeight="1">
      <c r="D30" s="182"/>
      <c r="H30" s="13" t="s">
        <v>207</v>
      </c>
      <c r="I30" s="189">
        <v>378.787508</v>
      </c>
    </row>
    <row r="31" spans="1:41" ht="15.75" customHeight="1">
      <c r="D31" s="182"/>
      <c r="H31" s="13" t="s">
        <v>208</v>
      </c>
      <c r="I31" s="189">
        <v>231.37450100000001</v>
      </c>
    </row>
    <row r="32" spans="1:41" ht="15.75" customHeight="1">
      <c r="D32" s="182"/>
      <c r="H32" s="13" t="s">
        <v>209</v>
      </c>
      <c r="I32" s="189">
        <v>222.43584999999999</v>
      </c>
    </row>
    <row r="33" spans="4:17" ht="15.75" customHeight="1">
      <c r="D33" s="182"/>
      <c r="H33" s="13" t="s">
        <v>210</v>
      </c>
      <c r="I33" s="189">
        <v>132.5951427</v>
      </c>
    </row>
    <row r="34" spans="4:17" ht="15.75" customHeight="1">
      <c r="D34" s="182"/>
      <c r="H34" s="13" t="s">
        <v>211</v>
      </c>
      <c r="I34" s="189">
        <v>70.878534999999999</v>
      </c>
    </row>
    <row r="35" spans="4:17" ht="15.75" customHeight="1">
      <c r="D35" s="182"/>
      <c r="H35" s="13" t="s">
        <v>212</v>
      </c>
      <c r="I35" s="189">
        <v>20.928000000000001</v>
      </c>
    </row>
    <row r="36" spans="4:17" ht="15.75" customHeight="1">
      <c r="D36" s="182"/>
      <c r="H36" s="24" t="s">
        <v>213</v>
      </c>
      <c r="I36" s="192">
        <v>23.743567200000001</v>
      </c>
    </row>
    <row r="37" spans="4:17" ht="15.75" customHeight="1">
      <c r="D37" s="182"/>
    </row>
    <row r="38" spans="4:17" ht="15.75" customHeight="1">
      <c r="D38" s="182"/>
      <c r="H38" s="193" t="s">
        <v>214</v>
      </c>
      <c r="I38" s="194">
        <f>SUM(I22:I36)</f>
        <v>174240.37537500006</v>
      </c>
      <c r="L38" s="193" t="s">
        <v>214</v>
      </c>
      <c r="M38" s="195">
        <f>SUM(M22:M36)</f>
        <v>89155</v>
      </c>
      <c r="P38" s="193" t="s">
        <v>214</v>
      </c>
      <c r="Q38" s="195">
        <f>SUM(Q22:Q36)</f>
        <v>3576</v>
      </c>
    </row>
    <row r="39" spans="4:17" ht="15.75" customHeight="1">
      <c r="D39" s="182"/>
    </row>
    <row r="40" spans="4:17" ht="15.75" customHeight="1">
      <c r="D40" s="182"/>
    </row>
    <row r="41" spans="4:17" ht="15.75" customHeight="1">
      <c r="D41" s="182"/>
    </row>
    <row r="42" spans="4:17" ht="15.75" customHeight="1">
      <c r="D42" s="182"/>
    </row>
    <row r="43" spans="4:17" ht="15.75" customHeight="1">
      <c r="D43" s="182"/>
    </row>
    <row r="44" spans="4:17" ht="15.75" customHeight="1">
      <c r="D44" s="182"/>
    </row>
    <row r="45" spans="4:17" ht="15.75" customHeight="1">
      <c r="D45" s="182"/>
    </row>
    <row r="46" spans="4:17" ht="15.75" customHeight="1">
      <c r="D46" s="182"/>
    </row>
    <row r="47" spans="4:17" ht="15.75" customHeight="1">
      <c r="D47" s="182"/>
    </row>
    <row r="48" spans="4:17" ht="15.75" customHeight="1">
      <c r="D48" s="182"/>
    </row>
    <row r="49" spans="1:7" ht="15.75" customHeight="1">
      <c r="D49" s="182"/>
    </row>
    <row r="50" spans="1:7" ht="15.75" customHeight="1">
      <c r="D50" s="182"/>
    </row>
    <row r="51" spans="1:7" ht="15.75" customHeight="1">
      <c r="D51" s="182"/>
    </row>
    <row r="52" spans="1:7" ht="15.75" customHeight="1">
      <c r="D52" s="182"/>
    </row>
    <row r="53" spans="1:7" ht="15.75" customHeight="1">
      <c r="D53" s="182"/>
    </row>
    <row r="54" spans="1:7" ht="15.75" customHeight="1">
      <c r="D54" s="182"/>
    </row>
    <row r="55" spans="1:7" ht="15.75" customHeight="1">
      <c r="A55" s="165" t="s">
        <v>29</v>
      </c>
      <c r="D55" s="182"/>
    </row>
    <row r="56" spans="1:7" ht="15.75" customHeight="1">
      <c r="B56" s="166" t="s">
        <v>173</v>
      </c>
      <c r="C56" s="166" t="s">
        <v>194</v>
      </c>
      <c r="D56" s="182"/>
      <c r="F56" s="166" t="s">
        <v>173</v>
      </c>
      <c r="G56" s="166" t="s">
        <v>192</v>
      </c>
    </row>
    <row r="57" spans="1:7" ht="15.75" customHeight="1">
      <c r="B57" s="190" t="s">
        <v>76</v>
      </c>
      <c r="C57" s="196">
        <v>8.3451835467970525E-2</v>
      </c>
      <c r="D57" s="182"/>
      <c r="F57" s="190" t="s">
        <v>76</v>
      </c>
      <c r="G57" s="196">
        <v>9.6353256437143209E-2</v>
      </c>
    </row>
    <row r="58" spans="1:7" ht="15.75" customHeight="1">
      <c r="B58" s="190" t="s">
        <v>26</v>
      </c>
      <c r="C58" s="196">
        <v>0.16948490063682908</v>
      </c>
      <c r="D58" s="182"/>
      <c r="F58" s="190" t="s">
        <v>26</v>
      </c>
      <c r="G58" s="196">
        <v>-0.1015855952700887</v>
      </c>
    </row>
    <row r="59" spans="1:7" ht="15.75" customHeight="1">
      <c r="B59" s="190" t="s">
        <v>201</v>
      </c>
      <c r="C59" s="196">
        <v>0.10185208820529956</v>
      </c>
      <c r="D59" s="182"/>
      <c r="F59" s="190" t="s">
        <v>201</v>
      </c>
      <c r="G59" s="196">
        <v>4.3613537117903833E-2</v>
      </c>
    </row>
    <row r="60" spans="1:7" ht="15.75" customHeight="1">
      <c r="B60" s="190" t="s">
        <v>202</v>
      </c>
      <c r="C60" s="196">
        <v>0.1724587802499884</v>
      </c>
      <c r="D60" s="182"/>
      <c r="F60" s="190" t="s">
        <v>202</v>
      </c>
      <c r="G60" s="196">
        <v>2.6425717399200854E-2</v>
      </c>
    </row>
    <row r="61" spans="1:7" ht="15.75" customHeight="1">
      <c r="B61" s="190" t="s">
        <v>203</v>
      </c>
      <c r="C61" s="196">
        <v>0.12071430881701772</v>
      </c>
      <c r="D61" s="182"/>
      <c r="F61" s="190" t="s">
        <v>203</v>
      </c>
      <c r="G61" s="196">
        <v>6.0545023696682465E-2</v>
      </c>
    </row>
    <row r="62" spans="1:7" ht="15.75" customHeight="1">
      <c r="B62" s="190" t="s">
        <v>204</v>
      </c>
      <c r="C62" s="196">
        <v>6.2639530273652211E-2</v>
      </c>
      <c r="D62" s="182"/>
      <c r="F62" s="190" t="s">
        <v>204</v>
      </c>
      <c r="G62" s="196">
        <v>-6.1251086012163336E-2</v>
      </c>
    </row>
    <row r="63" spans="1:7" ht="15.75" customHeight="1">
      <c r="B63" s="190" t="s">
        <v>205</v>
      </c>
      <c r="C63" s="196">
        <v>0.11400910166555867</v>
      </c>
      <c r="D63" s="182"/>
      <c r="F63" s="190" t="s">
        <v>205</v>
      </c>
      <c r="G63" s="196">
        <v>-0.12043956043956039</v>
      </c>
    </row>
    <row r="64" spans="1:7" ht="15.75" customHeight="1">
      <c r="C64" s="188"/>
      <c r="D64" s="182"/>
    </row>
    <row r="65" spans="2:7" ht="15.75" customHeight="1">
      <c r="B65" s="193" t="s">
        <v>214</v>
      </c>
      <c r="C65" s="197">
        <v>0.114</v>
      </c>
      <c r="D65" s="182"/>
      <c r="F65" s="193" t="s">
        <v>214</v>
      </c>
      <c r="G65" s="197">
        <v>3.1099999999999999E-2</v>
      </c>
    </row>
    <row r="66" spans="2:7" ht="15.75" customHeight="1">
      <c r="D66" s="182"/>
    </row>
    <row r="67" spans="2:7" ht="15.75" customHeight="1">
      <c r="D67" s="182"/>
    </row>
    <row r="68" spans="2:7" ht="15.75" customHeight="1">
      <c r="D68" s="182"/>
    </row>
    <row r="69" spans="2:7" ht="15.75" customHeight="1">
      <c r="D69" s="182"/>
    </row>
    <row r="70" spans="2:7" ht="15.75" customHeight="1">
      <c r="D70" s="182"/>
    </row>
    <row r="71" spans="2:7" ht="15.75" customHeight="1">
      <c r="D71" s="182"/>
    </row>
    <row r="72" spans="2:7" ht="15.75" customHeight="1">
      <c r="D72" s="182"/>
    </row>
    <row r="73" spans="2:7" ht="15.75" customHeight="1">
      <c r="D73" s="182"/>
    </row>
    <row r="74" spans="2:7" ht="15.75" customHeight="1">
      <c r="D74" s="182"/>
    </row>
    <row r="75" spans="2:7" ht="15.75" customHeight="1">
      <c r="D75" s="182"/>
    </row>
    <row r="76" spans="2:7" ht="15.75" customHeight="1">
      <c r="D76" s="182"/>
    </row>
    <row r="77" spans="2:7" ht="15.75" customHeight="1">
      <c r="D77" s="182"/>
    </row>
    <row r="78" spans="2:7" ht="15.75" customHeight="1">
      <c r="D78" s="182"/>
    </row>
    <row r="79" spans="2:7" ht="15.75" customHeight="1">
      <c r="D79" s="182"/>
    </row>
    <row r="80" spans="2:7" ht="15.75" customHeight="1">
      <c r="D80" s="182"/>
    </row>
    <row r="81" spans="1:12" ht="15.75" customHeight="1">
      <c r="D81" s="182"/>
    </row>
    <row r="82" spans="1:12" ht="15.75" customHeight="1">
      <c r="A82" s="165" t="s">
        <v>30</v>
      </c>
      <c r="D82" s="182"/>
    </row>
    <row r="83" spans="1:12" ht="15.75" customHeight="1">
      <c r="B83" s="166" t="s">
        <v>173</v>
      </c>
      <c r="C83" s="166" t="s">
        <v>195</v>
      </c>
      <c r="D83" s="166" t="s">
        <v>196</v>
      </c>
      <c r="G83" s="166" t="s">
        <v>173</v>
      </c>
      <c r="H83" s="166" t="s">
        <v>197</v>
      </c>
      <c r="K83" s="166" t="s">
        <v>173</v>
      </c>
      <c r="L83" s="198" t="s">
        <v>198</v>
      </c>
    </row>
    <row r="84" spans="1:12" ht="15.75" customHeight="1">
      <c r="B84" s="190" t="s">
        <v>76</v>
      </c>
      <c r="C84" s="196">
        <v>3.3423157162726008E-2</v>
      </c>
      <c r="D84" s="196">
        <v>8.9532412327311364E-2</v>
      </c>
      <c r="G84" s="190" t="s">
        <v>76</v>
      </c>
      <c r="H84" s="199">
        <v>1.2707431120250074</v>
      </c>
      <c r="K84" s="190" t="s">
        <v>76</v>
      </c>
      <c r="L84" s="200">
        <v>45.028194541029208</v>
      </c>
    </row>
    <row r="85" spans="1:12" ht="15.75" customHeight="1">
      <c r="B85" s="190" t="s">
        <v>26</v>
      </c>
      <c r="C85" s="196">
        <v>0.10831027769238652</v>
      </c>
      <c r="D85" s="196">
        <v>0.1473227639844451</v>
      </c>
      <c r="G85" s="190" t="s">
        <v>26</v>
      </c>
      <c r="H85" s="199">
        <v>1.2327558025498528</v>
      </c>
      <c r="K85" s="190" t="s">
        <v>26</v>
      </c>
      <c r="L85" s="200">
        <v>36.466338764217646</v>
      </c>
    </row>
    <row r="86" spans="1:12" ht="15.75" customHeight="1">
      <c r="B86" s="190" t="s">
        <v>201</v>
      </c>
      <c r="C86" s="196">
        <v>4.503181595692609E-2</v>
      </c>
      <c r="D86" s="196">
        <v>7.1499555416078248E-2</v>
      </c>
      <c r="G86" s="190" t="s">
        <v>201</v>
      </c>
      <c r="H86" s="199">
        <v>1.1407437025189924</v>
      </c>
      <c r="K86" s="190" t="s">
        <v>201</v>
      </c>
      <c r="L86" s="200">
        <v>35.895537608092674</v>
      </c>
    </row>
    <row r="87" spans="1:12" ht="15.75" customHeight="1">
      <c r="B87" s="190" t="s">
        <v>202</v>
      </c>
      <c r="C87" s="196">
        <v>1.795834755889382E-2</v>
      </c>
      <c r="D87" s="196">
        <v>5.609130319384234E-2</v>
      </c>
      <c r="G87" s="190" t="s">
        <v>202</v>
      </c>
      <c r="H87" s="199">
        <v>1.0750286368843069</v>
      </c>
      <c r="K87" s="190" t="s">
        <v>202</v>
      </c>
      <c r="L87" s="200">
        <v>64.675657220894507</v>
      </c>
    </row>
    <row r="88" spans="1:12" ht="15.75" customHeight="1">
      <c r="B88" s="190" t="s">
        <v>203</v>
      </c>
      <c r="C88" s="196">
        <v>1.6084843128590365E-2</v>
      </c>
      <c r="D88" s="196">
        <v>5.9546419394481062E-2</v>
      </c>
      <c r="G88" s="190" t="s">
        <v>203</v>
      </c>
      <c r="H88" s="199">
        <v>0.64785764457972372</v>
      </c>
      <c r="K88" s="190" t="s">
        <v>203</v>
      </c>
      <c r="L88" s="200">
        <v>42.806451612903231</v>
      </c>
    </row>
    <row r="89" spans="1:12" ht="15.75" customHeight="1">
      <c r="B89" s="190" t="s">
        <v>204</v>
      </c>
      <c r="C89" s="196">
        <v>2.6130653266331658E-2</v>
      </c>
      <c r="D89" s="196">
        <v>3.8870893105043963E-2</v>
      </c>
      <c r="G89" s="190" t="s">
        <v>204</v>
      </c>
      <c r="H89" s="199">
        <v>1.1030056086695059</v>
      </c>
      <c r="K89" s="190" t="s">
        <v>204</v>
      </c>
      <c r="L89" s="200">
        <v>29.445778894472362</v>
      </c>
    </row>
    <row r="90" spans="1:12" ht="15.75" customHeight="1">
      <c r="B90" s="190" t="s">
        <v>205</v>
      </c>
      <c r="C90" s="196">
        <v>4.2022548684660065E-2</v>
      </c>
      <c r="D90" s="196">
        <v>4.9475262368815595E-2</v>
      </c>
      <c r="G90" s="190" t="s">
        <v>205</v>
      </c>
      <c r="H90" s="199">
        <v>1.3111455108359134</v>
      </c>
      <c r="K90" s="190" t="s">
        <v>205</v>
      </c>
      <c r="L90" s="200">
        <v>40.278442090878031</v>
      </c>
    </row>
    <row r="91" spans="1:12" ht="15.75" customHeight="1"/>
    <row r="92" spans="1:12" ht="15.75" customHeight="1">
      <c r="B92" s="193" t="s">
        <v>214</v>
      </c>
      <c r="C92" s="197">
        <v>4.0099999999999997E-2</v>
      </c>
      <c r="D92" s="197">
        <v>7.8E-2</v>
      </c>
      <c r="G92" s="193" t="s">
        <v>214</v>
      </c>
      <c r="H92" s="193">
        <v>1.1000000000000001</v>
      </c>
      <c r="K92" s="193" t="s">
        <v>214</v>
      </c>
      <c r="L92" s="195">
        <v>44</v>
      </c>
    </row>
    <row r="93" spans="1:12" ht="15.75" customHeight="1">
      <c r="D93" s="182"/>
    </row>
    <row r="94" spans="1:12" ht="15.75" customHeight="1">
      <c r="D94" s="182"/>
    </row>
    <row r="95" spans="1:12" ht="15.75" customHeight="1">
      <c r="D95" s="182"/>
    </row>
    <row r="96" spans="1:12" ht="15.75" customHeight="1">
      <c r="D96" s="182"/>
    </row>
    <row r="97" spans="1:11" ht="15.75" customHeight="1">
      <c r="D97" s="182"/>
    </row>
    <row r="98" spans="1:11" ht="15.75" customHeight="1">
      <c r="D98" s="182"/>
    </row>
    <row r="99" spans="1:11" ht="15.75" customHeight="1">
      <c r="D99" s="182"/>
    </row>
    <row r="100" spans="1:11" ht="15.75" customHeight="1">
      <c r="D100" s="182"/>
    </row>
    <row r="101" spans="1:11" ht="15.75" customHeight="1">
      <c r="D101" s="182"/>
    </row>
    <row r="102" spans="1:11" ht="15.75" customHeight="1">
      <c r="D102" s="182"/>
    </row>
    <row r="103" spans="1:11" ht="15.75" customHeight="1">
      <c r="D103" s="182"/>
    </row>
    <row r="104" spans="1:11" ht="15.75" customHeight="1">
      <c r="D104" s="182"/>
    </row>
    <row r="105" spans="1:11" ht="15.75" customHeight="1">
      <c r="D105" s="182"/>
    </row>
    <row r="106" spans="1:11" ht="15.75" customHeight="1">
      <c r="D106" s="182"/>
    </row>
    <row r="107" spans="1:11" ht="15.75" customHeight="1">
      <c r="D107" s="182"/>
    </row>
    <row r="108" spans="1:11" ht="15.75" customHeight="1">
      <c r="D108" s="182"/>
    </row>
    <row r="109" spans="1:11" ht="15.75" customHeight="1">
      <c r="D109" s="182"/>
    </row>
    <row r="110" spans="1:11" ht="15.75" customHeight="1">
      <c r="D110" s="182"/>
    </row>
    <row r="111" spans="1:11" ht="15.75" customHeight="1">
      <c r="A111" s="165" t="s">
        <v>31</v>
      </c>
      <c r="D111" s="182"/>
    </row>
    <row r="112" spans="1:11" ht="15.75" customHeight="1">
      <c r="B112" s="166" t="s">
        <v>173</v>
      </c>
      <c r="C112" s="166" t="s">
        <v>39</v>
      </c>
      <c r="D112" s="182"/>
      <c r="F112" s="166" t="s">
        <v>173</v>
      </c>
      <c r="G112" s="166" t="s">
        <v>41</v>
      </c>
      <c r="J112" s="166" t="s">
        <v>173</v>
      </c>
      <c r="K112" s="166" t="s">
        <v>40</v>
      </c>
    </row>
    <row r="113" spans="2:11" ht="15.75" customHeight="1">
      <c r="B113" s="190" t="s">
        <v>76</v>
      </c>
      <c r="C113" s="201">
        <v>0.1534251265219907</v>
      </c>
      <c r="D113" s="182"/>
      <c r="F113" s="190" t="s">
        <v>76</v>
      </c>
      <c r="G113" s="202">
        <v>3.561128526645768</v>
      </c>
      <c r="J113" s="190" t="s">
        <v>76</v>
      </c>
      <c r="K113" s="199">
        <v>0.38660097392231557</v>
      </c>
    </row>
    <row r="114" spans="2:11" ht="15.75" customHeight="1">
      <c r="B114" s="190" t="s">
        <v>26</v>
      </c>
      <c r="C114" s="201">
        <v>0.35379939209726446</v>
      </c>
      <c r="D114" s="182"/>
      <c r="F114" s="190" t="s">
        <v>26</v>
      </c>
      <c r="G114" s="202">
        <v>23.666666666666668</v>
      </c>
      <c r="J114" s="190" t="s">
        <v>26</v>
      </c>
      <c r="K114" s="199">
        <v>0.34587243518371241</v>
      </c>
    </row>
    <row r="115" spans="2:11" ht="15.75" customHeight="1">
      <c r="B115" s="190" t="s">
        <v>201</v>
      </c>
      <c r="C115" s="201">
        <v>0.36727776921891853</v>
      </c>
      <c r="D115" s="182"/>
      <c r="F115" s="190" t="s">
        <v>201</v>
      </c>
      <c r="G115" s="202">
        <v>3.4708097928436912</v>
      </c>
      <c r="J115" s="190" t="s">
        <v>201</v>
      </c>
      <c r="K115" s="199">
        <v>0.50807062746286757</v>
      </c>
    </row>
    <row r="116" spans="2:11" ht="15.75" customHeight="1">
      <c r="B116" s="190" t="s">
        <v>202</v>
      </c>
      <c r="C116" s="201">
        <v>1.1530693595535477</v>
      </c>
      <c r="D116" s="182"/>
      <c r="F116" s="190" t="s">
        <v>202</v>
      </c>
      <c r="G116" s="202">
        <v>1.9604395604395604</v>
      </c>
      <c r="J116" s="190" t="s">
        <v>202</v>
      </c>
      <c r="K116" s="199">
        <v>0.6992860468725749</v>
      </c>
    </row>
    <row r="117" spans="2:11" ht="15.75" customHeight="1">
      <c r="B117" s="190" t="s">
        <v>203</v>
      </c>
      <c r="C117" s="201">
        <v>0.50239234449760761</v>
      </c>
      <c r="D117" s="182"/>
      <c r="F117" s="190" t="s">
        <v>203</v>
      </c>
      <c r="G117" s="202">
        <v>2.0867768595041323</v>
      </c>
      <c r="J117" s="190" t="s">
        <v>203</v>
      </c>
      <c r="K117" s="199">
        <v>0.61670911869587364</v>
      </c>
    </row>
    <row r="118" spans="2:11" ht="15.75" customHeight="1">
      <c r="B118" s="190" t="s">
        <v>204</v>
      </c>
      <c r="C118" s="201">
        <v>0.65393812514538263</v>
      </c>
      <c r="D118" s="182"/>
      <c r="F118" s="190" t="s">
        <v>204</v>
      </c>
      <c r="G118" s="202">
        <v>3.45</v>
      </c>
      <c r="J118" s="190" t="s">
        <v>204</v>
      </c>
      <c r="K118" s="199">
        <v>0.54747112871954817</v>
      </c>
    </row>
    <row r="119" spans="2:11" ht="15.75" customHeight="1">
      <c r="B119" s="190" t="s">
        <v>205</v>
      </c>
      <c r="C119" s="201">
        <v>0</v>
      </c>
      <c r="D119" s="182"/>
      <c r="F119" s="190" t="s">
        <v>205</v>
      </c>
      <c r="G119" s="202">
        <v>51.75</v>
      </c>
      <c r="J119" s="190" t="s">
        <v>205</v>
      </c>
      <c r="K119" s="199">
        <v>0.521505376344086</v>
      </c>
    </row>
    <row r="120" spans="2:11" ht="15.75" customHeight="1">
      <c r="D120" s="182"/>
    </row>
    <row r="121" spans="2:11" ht="15.75" customHeight="1">
      <c r="B121" s="193" t="s">
        <v>214</v>
      </c>
      <c r="C121" s="193">
        <v>0.37</v>
      </c>
      <c r="D121" s="182"/>
      <c r="F121" s="193" t="s">
        <v>214</v>
      </c>
      <c r="G121" s="193">
        <v>3.6</v>
      </c>
      <c r="J121" s="193" t="s">
        <v>214</v>
      </c>
      <c r="K121" s="193">
        <v>0.49</v>
      </c>
    </row>
    <row r="122" spans="2:11" ht="15.75" customHeight="1">
      <c r="D122" s="182"/>
    </row>
    <row r="123" spans="2:11" ht="15.75" customHeight="1">
      <c r="D123" s="182"/>
    </row>
    <row r="124" spans="2:11" ht="15.75" customHeight="1">
      <c r="D124" s="182"/>
    </row>
    <row r="125" spans="2:11" ht="15.75" customHeight="1">
      <c r="D125" s="182"/>
    </row>
    <row r="126" spans="2:11" ht="15.75" customHeight="1">
      <c r="D126" s="182"/>
    </row>
    <row r="127" spans="2:11" ht="15.75" customHeight="1">
      <c r="D127" s="182"/>
    </row>
    <row r="128" spans="2:11" ht="15.75" customHeight="1">
      <c r="D128" s="182"/>
    </row>
    <row r="129" spans="1:11" ht="15.75" customHeight="1">
      <c r="D129" s="182"/>
    </row>
    <row r="130" spans="1:11" ht="15.75" customHeight="1">
      <c r="D130" s="182"/>
    </row>
    <row r="131" spans="1:11" ht="15.75" customHeight="1">
      <c r="D131" s="182"/>
    </row>
    <row r="132" spans="1:11" ht="15.75" customHeight="1">
      <c r="D132" s="182"/>
    </row>
    <row r="133" spans="1:11" ht="15.75" customHeight="1">
      <c r="D133" s="182"/>
    </row>
    <row r="134" spans="1:11" ht="15.75" customHeight="1">
      <c r="D134" s="182"/>
    </row>
    <row r="135" spans="1:11" ht="15.75" customHeight="1">
      <c r="D135" s="182"/>
    </row>
    <row r="136" spans="1:11" ht="15.75" customHeight="1">
      <c r="D136" s="182"/>
    </row>
    <row r="137" spans="1:11" ht="15.75" customHeight="1">
      <c r="D137" s="182"/>
    </row>
    <row r="138" spans="1:11" ht="15.75" customHeight="1">
      <c r="D138" s="182"/>
    </row>
    <row r="139" spans="1:11" ht="15.75" customHeight="1">
      <c r="D139" s="182"/>
    </row>
    <row r="140" spans="1:11" ht="15.75" customHeight="1">
      <c r="A140" s="166" t="s">
        <v>32</v>
      </c>
      <c r="D140" s="182"/>
      <c r="G140" s="166" t="s">
        <v>33</v>
      </c>
      <c r="J140" s="182"/>
    </row>
    <row r="141" spans="1:11" ht="15.75" customHeight="1">
      <c r="B141" s="166" t="s">
        <v>173</v>
      </c>
      <c r="C141" s="166" t="s">
        <v>42</v>
      </c>
      <c r="D141" s="166" t="s">
        <v>44</v>
      </c>
      <c r="H141" s="166" t="s">
        <v>173</v>
      </c>
      <c r="I141" s="198" t="s">
        <v>199</v>
      </c>
      <c r="J141" s="198" t="s">
        <v>200</v>
      </c>
      <c r="K141" s="198" t="s">
        <v>48</v>
      </c>
    </row>
    <row r="142" spans="1:11" ht="15.75" customHeight="1">
      <c r="B142" s="190" t="s">
        <v>76</v>
      </c>
      <c r="C142" s="203">
        <v>4.8574843158211235E-2</v>
      </c>
      <c r="D142" s="203">
        <v>2.9795761485123039E-2</v>
      </c>
      <c r="H142" s="190" t="s">
        <v>76</v>
      </c>
      <c r="I142" s="200">
        <v>36.312206676160692</v>
      </c>
      <c r="J142" s="196">
        <v>2.7538948787061996E-2</v>
      </c>
      <c r="K142" s="200">
        <v>3.9734570723464024</v>
      </c>
    </row>
    <row r="143" spans="1:11" ht="15.75" customHeight="1">
      <c r="B143" s="190" t="s">
        <v>26</v>
      </c>
      <c r="C143" s="203">
        <v>0.12851063829787235</v>
      </c>
      <c r="D143" s="203">
        <v>8.4062350882773973E-2</v>
      </c>
      <c r="H143" s="190" t="s">
        <v>26</v>
      </c>
      <c r="I143" s="200">
        <v>45.161912104857358</v>
      </c>
      <c r="J143" s="196">
        <v>2.2142552283397354E-2</v>
      </c>
      <c r="K143" s="200">
        <v>5.3875105893743189</v>
      </c>
    </row>
    <row r="144" spans="1:11" ht="15.75" customHeight="1">
      <c r="B144" s="190" t="s">
        <v>201</v>
      </c>
      <c r="C144" s="203">
        <v>8.5040825758742875E-2</v>
      </c>
      <c r="D144" s="203">
        <v>4.1830857835707794E-2</v>
      </c>
      <c r="H144" s="190" t="s">
        <v>201</v>
      </c>
      <c r="I144" s="200">
        <v>32.411477411477414</v>
      </c>
      <c r="J144" s="196">
        <v>3.0853268035411566E-2</v>
      </c>
      <c r="K144" s="200">
        <v>2.5639478727481793</v>
      </c>
    </row>
    <row r="145" spans="2:11" ht="15.75" customHeight="1">
      <c r="B145" s="190" t="s">
        <v>202</v>
      </c>
      <c r="C145" s="203">
        <v>6.9891044379484457E-2</v>
      </c>
      <c r="D145" s="203">
        <v>2.0409747012261368E-2</v>
      </c>
      <c r="H145" s="190" t="s">
        <v>202</v>
      </c>
      <c r="I145" s="200">
        <v>33.430799220272903</v>
      </c>
      <c r="J145" s="196">
        <v>2.9912536443148688E-2</v>
      </c>
      <c r="K145" s="200">
        <v>3.3067287513116472</v>
      </c>
    </row>
    <row r="146" spans="2:11" ht="15.75" customHeight="1">
      <c r="B146" s="190" t="s">
        <v>203</v>
      </c>
      <c r="C146" s="203">
        <v>4.837852206273259E-2</v>
      </c>
      <c r="D146" s="203">
        <v>1.8543046357615896E-2</v>
      </c>
      <c r="H146" s="190" t="s">
        <v>203</v>
      </c>
      <c r="I146" s="200">
        <v>17.50500151561079</v>
      </c>
      <c r="J146" s="196">
        <v>5.7126530329529517E-2</v>
      </c>
      <c r="K146" s="200">
        <v>3.0378221988427141</v>
      </c>
    </row>
    <row r="147" spans="2:11" ht="15.75" customHeight="1">
      <c r="B147" s="190" t="s">
        <v>204</v>
      </c>
      <c r="C147" s="203">
        <v>7.2575017445917656E-2</v>
      </c>
      <c r="D147" s="203">
        <v>3.2875326645873726E-2</v>
      </c>
      <c r="H147" s="190" t="s">
        <v>204</v>
      </c>
      <c r="I147" s="200">
        <v>34.331778377936004</v>
      </c>
      <c r="J147" s="196">
        <v>2.9127532777115613E-2</v>
      </c>
      <c r="K147" s="200">
        <v>2.9687179534557147</v>
      </c>
    </row>
    <row r="148" spans="2:11" ht="15.75" customHeight="1">
      <c r="B148" s="190" t="s">
        <v>205</v>
      </c>
      <c r="C148" s="203">
        <v>0.19743178170144463</v>
      </c>
      <c r="D148" s="203">
        <v>9.4470046082949302E-2</v>
      </c>
      <c r="H148" s="190" t="s">
        <v>205</v>
      </c>
      <c r="I148" s="200">
        <v>22.277379733879226</v>
      </c>
      <c r="J148" s="196">
        <v>4.4888582586721799E-2</v>
      </c>
      <c r="K148" s="200">
        <v>4.6494891640866873</v>
      </c>
    </row>
    <row r="149" spans="2:11" ht="15.75" customHeight="1">
      <c r="D149" s="182"/>
    </row>
    <row r="150" spans="2:11" ht="15.75" customHeight="1">
      <c r="B150" s="193" t="s">
        <v>214</v>
      </c>
      <c r="C150" s="197">
        <v>7.7299999999999994E-2</v>
      </c>
      <c r="D150" s="197">
        <v>3.9199999999999999E-2</v>
      </c>
      <c r="H150" s="193" t="s">
        <v>214</v>
      </c>
      <c r="I150" s="195">
        <v>33</v>
      </c>
      <c r="J150" s="197">
        <v>0.03</v>
      </c>
      <c r="K150" s="195">
        <v>3</v>
      </c>
    </row>
    <row r="151" spans="2:11" ht="15.75" customHeight="1">
      <c r="D151" s="182"/>
    </row>
    <row r="152" spans="2:11" ht="15.75" customHeight="1">
      <c r="D152" s="182"/>
    </row>
    <row r="153" spans="2:11" ht="15.75" customHeight="1">
      <c r="D153" s="182"/>
    </row>
    <row r="154" spans="2:11" ht="15.75" customHeight="1">
      <c r="D154" s="182"/>
    </row>
    <row r="155" spans="2:11" ht="15.75" customHeight="1">
      <c r="D155" s="182"/>
    </row>
    <row r="156" spans="2:11" ht="15.75" customHeight="1">
      <c r="D156" s="182"/>
    </row>
    <row r="157" spans="2:11" ht="15.75" customHeight="1">
      <c r="D157" s="182"/>
    </row>
    <row r="158" spans="2:11" ht="15.75" customHeight="1">
      <c r="D158" s="182"/>
    </row>
    <row r="159" spans="2:11" ht="15.75" customHeight="1">
      <c r="D159" s="182"/>
    </row>
    <row r="160" spans="2:11" ht="15.75" customHeight="1">
      <c r="D160" s="182"/>
    </row>
    <row r="161" spans="1:12" ht="15.75" customHeight="1">
      <c r="D161" s="182"/>
    </row>
    <row r="162" spans="1:12" ht="15.75" customHeight="1">
      <c r="D162" s="182"/>
    </row>
    <row r="163" spans="1:12" ht="15.75" customHeight="1">
      <c r="D163" s="182"/>
    </row>
    <row r="164" spans="1:12" ht="15.75" customHeight="1">
      <c r="D164" s="182"/>
    </row>
    <row r="165" spans="1:12" ht="15.75" customHeight="1">
      <c r="D165" s="182"/>
    </row>
    <row r="166" spans="1:12" ht="15.75" customHeight="1">
      <c r="D166" s="182"/>
    </row>
    <row r="167" spans="1:12" ht="15.75" customHeight="1">
      <c r="D167" s="182"/>
    </row>
    <row r="168" spans="1:12" ht="15.75" customHeight="1">
      <c r="D168" s="182"/>
    </row>
    <row r="169" spans="1:12" ht="15.75" customHeight="1">
      <c r="D169" s="182"/>
    </row>
    <row r="170" spans="1:12" ht="15.75" customHeight="1">
      <c r="A170" s="165" t="s">
        <v>220</v>
      </c>
      <c r="D170" s="182"/>
    </row>
    <row r="171" spans="1:12" ht="15.75" customHeight="1">
      <c r="B171" s="204" t="s">
        <v>173</v>
      </c>
      <c r="C171" s="204" t="s">
        <v>174</v>
      </c>
      <c r="D171" s="204" t="s">
        <v>87</v>
      </c>
      <c r="E171" s="204" t="s">
        <v>68</v>
      </c>
      <c r="F171" s="204" t="s">
        <v>221</v>
      </c>
      <c r="G171" s="204" t="s">
        <v>222</v>
      </c>
      <c r="H171" s="204" t="s">
        <v>223</v>
      </c>
      <c r="J171" s="204" t="s">
        <v>173</v>
      </c>
      <c r="K171" s="204" t="s">
        <v>86</v>
      </c>
      <c r="L171" s="204" t="s">
        <v>224</v>
      </c>
    </row>
    <row r="172" spans="1:12" ht="15.75" customHeight="1">
      <c r="B172" s="205" t="s">
        <v>76</v>
      </c>
      <c r="C172" s="186">
        <v>149355</v>
      </c>
      <c r="D172" s="182">
        <v>19399</v>
      </c>
      <c r="E172" s="186">
        <v>2390</v>
      </c>
      <c r="F172" s="188">
        <f t="shared" ref="F172:F178" si="21">(C172/D172)^(1/10)-1</f>
        <v>0.2264336060775618</v>
      </c>
      <c r="G172" s="188">
        <f t="shared" ref="G172:G178" si="22">(C172/E172)^(1/20)-1</f>
        <v>0.22967712242144867</v>
      </c>
      <c r="H172" s="182">
        <f t="shared" ref="H172:H178" si="23">C172/E172</f>
        <v>62.49163179916318</v>
      </c>
      <c r="J172" s="205" t="s">
        <v>76</v>
      </c>
      <c r="K172" s="188">
        <v>4.2820998438868739E-2</v>
      </c>
      <c r="L172" s="188">
        <v>7.3221757322175729E-2</v>
      </c>
    </row>
    <row r="173" spans="1:12" ht="15.75" customHeight="1">
      <c r="B173" s="205" t="s">
        <v>26</v>
      </c>
      <c r="C173" s="186">
        <v>2338.9499999999998</v>
      </c>
      <c r="D173" s="182">
        <v>164</v>
      </c>
      <c r="E173" s="186">
        <v>13.6</v>
      </c>
      <c r="F173" s="188">
        <f t="shared" si="21"/>
        <v>0.30442078089384172</v>
      </c>
      <c r="G173" s="188">
        <f t="shared" si="22"/>
        <v>0.29352283979489147</v>
      </c>
      <c r="H173" s="182">
        <f t="shared" si="23"/>
        <v>171.98161764705881</v>
      </c>
      <c r="J173" s="205" t="s">
        <v>26</v>
      </c>
      <c r="K173" s="188">
        <v>0.30840400925212025</v>
      </c>
      <c r="L173" s="188">
        <v>1.1764705882352942</v>
      </c>
    </row>
    <row r="174" spans="1:12" ht="15.75" customHeight="1">
      <c r="B174" s="205" t="s">
        <v>201</v>
      </c>
      <c r="C174" s="186">
        <v>528.35</v>
      </c>
      <c r="D174" s="182">
        <v>108</v>
      </c>
      <c r="E174" s="186">
        <v>27</v>
      </c>
      <c r="F174" s="188">
        <f t="shared" si="21"/>
        <v>0.17205986778297522</v>
      </c>
      <c r="G174" s="188">
        <f t="shared" si="22"/>
        <v>0.16032031873976327</v>
      </c>
      <c r="H174" s="182">
        <f t="shared" si="23"/>
        <v>19.56851851851852</v>
      </c>
      <c r="J174" s="205" t="s">
        <v>201</v>
      </c>
      <c r="K174" s="188">
        <v>0.27472527472527475</v>
      </c>
      <c r="L174" s="188">
        <v>0.16666666666666666</v>
      </c>
    </row>
    <row r="175" spans="1:12" ht="15.75" customHeight="1">
      <c r="B175" s="205" t="s">
        <v>202</v>
      </c>
      <c r="C175" s="186">
        <v>515.20000000000005</v>
      </c>
      <c r="D175" s="182">
        <v>36</v>
      </c>
      <c r="E175" s="186">
        <v>16</v>
      </c>
      <c r="F175" s="188">
        <f t="shared" si="21"/>
        <v>0.30487026707960929</v>
      </c>
      <c r="G175" s="188">
        <f t="shared" si="22"/>
        <v>0.18957764341930949</v>
      </c>
      <c r="H175" s="182">
        <f t="shared" si="23"/>
        <v>32.200000000000003</v>
      </c>
      <c r="J175" s="205" t="s">
        <v>202</v>
      </c>
      <c r="K175" s="188">
        <v>0.12995451591942819</v>
      </c>
      <c r="L175" s="188">
        <v>0.125</v>
      </c>
    </row>
    <row r="176" spans="1:12" ht="15.75" customHeight="1">
      <c r="B176" s="205" t="s">
        <v>203</v>
      </c>
      <c r="C176" s="186">
        <v>2879.7</v>
      </c>
      <c r="D176" s="182">
        <v>324</v>
      </c>
      <c r="E176" s="186">
        <v>65</v>
      </c>
      <c r="F176" s="188">
        <f t="shared" si="21"/>
        <v>0.24417142780478707</v>
      </c>
      <c r="G176" s="188">
        <f t="shared" si="22"/>
        <v>0.20870882919149825</v>
      </c>
      <c r="H176" s="182">
        <f t="shared" si="23"/>
        <v>44.303076923076922</v>
      </c>
      <c r="J176" s="205" t="s">
        <v>203</v>
      </c>
      <c r="K176" s="188">
        <v>7.2749317975143987E-2</v>
      </c>
      <c r="L176" s="188">
        <v>0.18461538461538463</v>
      </c>
    </row>
    <row r="177" spans="1:14" ht="15.75" customHeight="1">
      <c r="B177" s="205" t="s">
        <v>204</v>
      </c>
      <c r="C177" s="186">
        <v>4203.5</v>
      </c>
      <c r="D177" s="182">
        <v>275</v>
      </c>
      <c r="E177" s="186">
        <v>74</v>
      </c>
      <c r="F177" s="188">
        <f t="shared" si="21"/>
        <v>0.31349322123762891</v>
      </c>
      <c r="G177" s="188">
        <f t="shared" si="22"/>
        <v>0.22382400240725353</v>
      </c>
      <c r="H177" s="182">
        <f t="shared" si="23"/>
        <v>56.804054054054056</v>
      </c>
      <c r="J177" s="205" t="s">
        <v>204</v>
      </c>
      <c r="K177" s="188">
        <v>0.26188722481381455</v>
      </c>
      <c r="L177" s="188">
        <v>0.43243243243243246</v>
      </c>
    </row>
    <row r="178" spans="1:14" ht="15.75" customHeight="1">
      <c r="B178" s="206" t="s">
        <v>205</v>
      </c>
      <c r="C178" s="207">
        <v>1309.8</v>
      </c>
      <c r="D178" s="208">
        <v>373</v>
      </c>
      <c r="E178" s="207">
        <v>53</v>
      </c>
      <c r="F178" s="209">
        <f t="shared" si="21"/>
        <v>0.13383436419142258</v>
      </c>
      <c r="G178" s="209">
        <f t="shared" si="22"/>
        <v>0.17394150051591617</v>
      </c>
      <c r="H178" s="208">
        <f t="shared" si="23"/>
        <v>24.713207547169809</v>
      </c>
      <c r="J178" s="206" t="s">
        <v>205</v>
      </c>
      <c r="K178" s="209">
        <v>0.88706925963834871</v>
      </c>
      <c r="L178" s="209">
        <v>0.98113207547169812</v>
      </c>
    </row>
    <row r="179" spans="1:14" ht="15.75" customHeight="1">
      <c r="D179" s="182"/>
    </row>
    <row r="180" spans="1:14" ht="15.75" customHeight="1">
      <c r="B180" s="193" t="s">
        <v>214</v>
      </c>
      <c r="C180" s="210"/>
      <c r="D180" s="211"/>
      <c r="E180" s="210"/>
      <c r="F180" s="212">
        <f t="shared" ref="F180:H180" si="24">MEDIAN(F172:F178)</f>
        <v>0.24417142780478707</v>
      </c>
      <c r="G180" s="212">
        <f t="shared" si="24"/>
        <v>0.20870882919149825</v>
      </c>
      <c r="H180" s="211">
        <f t="shared" si="24"/>
        <v>44.303076923076922</v>
      </c>
      <c r="J180" s="193" t="s">
        <v>214</v>
      </c>
      <c r="K180" s="213">
        <f t="shared" ref="K180:L180" si="25">MEDIAN(K172:K178)</f>
        <v>0.26188722481381455</v>
      </c>
      <c r="L180" s="213">
        <f t="shared" si="25"/>
        <v>0.18461538461538463</v>
      </c>
    </row>
    <row r="181" spans="1:14" ht="15.75" customHeight="1">
      <c r="D181" s="182"/>
    </row>
    <row r="182" spans="1:14" ht="15.75" customHeight="1">
      <c r="D182" s="182"/>
    </row>
    <row r="183" spans="1:14" ht="15.75" customHeight="1">
      <c r="D183" s="182"/>
    </row>
    <row r="184" spans="1:14" ht="15.75" customHeight="1">
      <c r="A184" s="214" t="s">
        <v>171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9"/>
    </row>
    <row r="185" spans="1:14" ht="15.75" customHeight="1">
      <c r="A185" s="162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4"/>
    </row>
    <row r="186" spans="1:14" ht="15.75" customHeight="1">
      <c r="D186" s="182"/>
    </row>
    <row r="187" spans="1:14" ht="15.75" customHeight="1">
      <c r="D187" s="182"/>
    </row>
    <row r="188" spans="1:14" ht="15.75" customHeight="1">
      <c r="D188" s="182"/>
    </row>
    <row r="189" spans="1:14" ht="15.75" customHeight="1">
      <c r="D189" s="182"/>
    </row>
    <row r="190" spans="1:14" ht="15.75" customHeight="1">
      <c r="D190" s="182"/>
    </row>
    <row r="191" spans="1:14" ht="15.75" customHeight="1">
      <c r="D191" s="182"/>
    </row>
    <row r="192" spans="1:14" ht="15.75" customHeight="1">
      <c r="D192" s="182"/>
    </row>
    <row r="193" spans="4:4" ht="15.75" customHeight="1">
      <c r="D193" s="182"/>
    </row>
    <row r="194" spans="4:4" ht="15.75" customHeight="1">
      <c r="D194" s="182"/>
    </row>
    <row r="195" spans="4:4" ht="15.75" customHeight="1">
      <c r="D195" s="182"/>
    </row>
    <row r="196" spans="4:4" ht="15.75" customHeight="1">
      <c r="D196" s="182"/>
    </row>
    <row r="197" spans="4:4" ht="15.75" customHeight="1">
      <c r="D197" s="182"/>
    </row>
    <row r="198" spans="4:4" ht="15.75" customHeight="1">
      <c r="D198" s="182"/>
    </row>
    <row r="199" spans="4:4" ht="15.75" customHeight="1">
      <c r="D199" s="182"/>
    </row>
    <row r="200" spans="4:4" ht="15.75" customHeight="1">
      <c r="D200" s="182"/>
    </row>
    <row r="201" spans="4:4" ht="15.75" customHeight="1">
      <c r="D201" s="182"/>
    </row>
    <row r="202" spans="4:4" ht="15.75" customHeight="1">
      <c r="D202" s="182"/>
    </row>
    <row r="203" spans="4:4" ht="15.75" customHeight="1">
      <c r="D203" s="182"/>
    </row>
    <row r="204" spans="4:4" ht="15.75" customHeight="1">
      <c r="D204" s="182"/>
    </row>
    <row r="205" spans="4:4" ht="15.75" customHeight="1">
      <c r="D205" s="182"/>
    </row>
    <row r="206" spans="4:4" ht="15.75" customHeight="1">
      <c r="D206" s="182"/>
    </row>
    <row r="207" spans="4:4" ht="15.75" customHeight="1">
      <c r="D207" s="182"/>
    </row>
    <row r="208" spans="4:4" ht="15.75" customHeight="1">
      <c r="D208" s="182"/>
    </row>
    <row r="209" spans="4:4" ht="15.75" customHeight="1">
      <c r="D209" s="182"/>
    </row>
    <row r="210" spans="4:4" ht="15.75" customHeight="1">
      <c r="D210" s="182"/>
    </row>
    <row r="211" spans="4:4" ht="15.75" customHeight="1">
      <c r="D211" s="182"/>
    </row>
    <row r="212" spans="4:4" ht="15.75" customHeight="1">
      <c r="D212" s="182"/>
    </row>
    <row r="213" spans="4:4" ht="15.75" customHeight="1">
      <c r="D213" s="182"/>
    </row>
    <row r="214" spans="4:4" ht="15.75" customHeight="1">
      <c r="D214" s="182"/>
    </row>
    <row r="215" spans="4:4" ht="15.75" customHeight="1">
      <c r="D215" s="182"/>
    </row>
    <row r="216" spans="4:4" ht="15.75" customHeight="1">
      <c r="D216" s="182"/>
    </row>
    <row r="217" spans="4:4" ht="15.75" customHeight="1">
      <c r="D217" s="182"/>
    </row>
    <row r="218" spans="4:4" ht="15.75" customHeight="1">
      <c r="D218" s="182"/>
    </row>
    <row r="219" spans="4:4" ht="15.75" customHeight="1">
      <c r="D219" s="182"/>
    </row>
    <row r="220" spans="4:4" ht="15.75" customHeight="1">
      <c r="D220" s="182"/>
    </row>
    <row r="221" spans="4:4" ht="15.75" customHeight="1">
      <c r="D221" s="182"/>
    </row>
    <row r="222" spans="4:4" ht="15.75" customHeight="1">
      <c r="D222" s="182"/>
    </row>
    <row r="223" spans="4:4" ht="15.75" customHeight="1">
      <c r="D223" s="182"/>
    </row>
    <row r="224" spans="4:4" ht="15.75" customHeight="1">
      <c r="D224" s="182"/>
    </row>
    <row r="225" spans="4:4" ht="15.75" customHeight="1">
      <c r="D225" s="182"/>
    </row>
    <row r="226" spans="4:4" ht="15.75" customHeight="1">
      <c r="D226" s="182"/>
    </row>
    <row r="227" spans="4:4" ht="15.75" customHeight="1">
      <c r="D227" s="182"/>
    </row>
    <row r="228" spans="4:4" ht="15.75" customHeight="1">
      <c r="D228" s="182"/>
    </row>
    <row r="229" spans="4:4" ht="15.75" customHeight="1">
      <c r="D229" s="182"/>
    </row>
    <row r="230" spans="4:4" ht="15.75" customHeight="1">
      <c r="D230" s="182"/>
    </row>
    <row r="231" spans="4:4" ht="15.75" customHeight="1">
      <c r="D231" s="182"/>
    </row>
    <row r="232" spans="4:4" ht="15.75" customHeight="1">
      <c r="D232" s="182"/>
    </row>
    <row r="233" spans="4:4" ht="15.75" customHeight="1">
      <c r="D233" s="182"/>
    </row>
    <row r="234" spans="4:4" ht="15.75" customHeight="1">
      <c r="D234" s="182"/>
    </row>
    <row r="235" spans="4:4" ht="15.75" customHeight="1">
      <c r="D235" s="182"/>
    </row>
    <row r="236" spans="4:4" ht="15.75" customHeight="1">
      <c r="D236" s="182"/>
    </row>
    <row r="237" spans="4:4" ht="15.75" customHeight="1">
      <c r="D237" s="182"/>
    </row>
    <row r="238" spans="4:4" ht="15.75" customHeight="1">
      <c r="D238" s="182"/>
    </row>
    <row r="239" spans="4:4" ht="15.75" customHeight="1">
      <c r="D239" s="182"/>
    </row>
    <row r="240" spans="4:4" ht="15.75" customHeight="1">
      <c r="D240" s="182"/>
    </row>
    <row r="241" spans="4:4" ht="15.75" customHeight="1">
      <c r="D241" s="182"/>
    </row>
    <row r="242" spans="4:4" ht="15.75" customHeight="1">
      <c r="D242" s="182"/>
    </row>
    <row r="243" spans="4:4" ht="15.75" customHeight="1">
      <c r="D243" s="182"/>
    </row>
    <row r="244" spans="4:4" ht="15.75" customHeight="1">
      <c r="D244" s="182"/>
    </row>
    <row r="245" spans="4:4" ht="15.75" customHeight="1">
      <c r="D245" s="182"/>
    </row>
    <row r="246" spans="4:4" ht="15.75" customHeight="1">
      <c r="D246" s="182"/>
    </row>
    <row r="247" spans="4:4" ht="15.75" customHeight="1">
      <c r="D247" s="182"/>
    </row>
    <row r="248" spans="4:4" ht="15.75" customHeight="1">
      <c r="D248" s="182"/>
    </row>
    <row r="249" spans="4:4" ht="15.75" customHeight="1">
      <c r="D249" s="182"/>
    </row>
    <row r="250" spans="4:4" ht="15.75" customHeight="1">
      <c r="D250" s="182"/>
    </row>
    <row r="251" spans="4:4" ht="15.75" customHeight="1">
      <c r="D251" s="182"/>
    </row>
    <row r="252" spans="4:4" ht="15.75" customHeight="1">
      <c r="D252" s="182"/>
    </row>
    <row r="253" spans="4:4" ht="15.75" customHeight="1">
      <c r="D253" s="182"/>
    </row>
    <row r="254" spans="4:4" ht="15.75" customHeight="1">
      <c r="D254" s="182"/>
    </row>
    <row r="255" spans="4:4" ht="15.75" customHeight="1">
      <c r="D255" s="182"/>
    </row>
    <row r="256" spans="4:4" ht="15.75" customHeight="1">
      <c r="D256" s="182"/>
    </row>
    <row r="257" spans="4:4" ht="15.75" customHeight="1">
      <c r="D257" s="182"/>
    </row>
    <row r="258" spans="4:4" ht="15.75" customHeight="1">
      <c r="D258" s="182"/>
    </row>
    <row r="259" spans="4:4" ht="15.75" customHeight="1">
      <c r="D259" s="182"/>
    </row>
    <row r="260" spans="4:4" ht="15.75" customHeight="1">
      <c r="D260" s="182"/>
    </row>
    <row r="261" spans="4:4" ht="15.75" customHeight="1">
      <c r="D261" s="182"/>
    </row>
    <row r="262" spans="4:4" ht="15.75" customHeight="1">
      <c r="D262" s="182"/>
    </row>
    <row r="263" spans="4:4" ht="15.75" customHeight="1">
      <c r="D263" s="182"/>
    </row>
    <row r="264" spans="4:4" ht="15.75" customHeight="1">
      <c r="D264" s="182"/>
    </row>
    <row r="265" spans="4:4" ht="15.75" customHeight="1">
      <c r="D265" s="182"/>
    </row>
    <row r="266" spans="4:4" ht="15.75" customHeight="1">
      <c r="D266" s="182"/>
    </row>
    <row r="267" spans="4:4" ht="15.75" customHeight="1">
      <c r="D267" s="182"/>
    </row>
    <row r="268" spans="4:4" ht="15.75" customHeight="1">
      <c r="D268" s="182"/>
    </row>
    <row r="269" spans="4:4" ht="15.75" customHeight="1">
      <c r="D269" s="182"/>
    </row>
    <row r="270" spans="4:4" ht="15.75" customHeight="1">
      <c r="D270" s="182"/>
    </row>
    <row r="271" spans="4:4" ht="15.75" customHeight="1">
      <c r="D271" s="182"/>
    </row>
    <row r="272" spans="4:4" ht="15.75" customHeight="1">
      <c r="D272" s="182"/>
    </row>
    <row r="273" spans="4:4" ht="15.75" customHeight="1">
      <c r="D273" s="182"/>
    </row>
    <row r="274" spans="4:4" ht="15.75" customHeight="1">
      <c r="D274" s="182"/>
    </row>
    <row r="275" spans="4:4" ht="15.75" customHeight="1">
      <c r="D275" s="182"/>
    </row>
    <row r="276" spans="4:4" ht="15.75" customHeight="1">
      <c r="D276" s="182"/>
    </row>
    <row r="277" spans="4:4" ht="15.75" customHeight="1">
      <c r="D277" s="182"/>
    </row>
    <row r="278" spans="4:4" ht="15.75" customHeight="1">
      <c r="D278" s="182"/>
    </row>
    <row r="279" spans="4:4" ht="15.75" customHeight="1">
      <c r="D279" s="182"/>
    </row>
    <row r="280" spans="4:4" ht="15.75" customHeight="1">
      <c r="D280" s="182"/>
    </row>
    <row r="281" spans="4:4" ht="15.75" customHeight="1">
      <c r="D281" s="182"/>
    </row>
    <row r="282" spans="4:4" ht="15.75" customHeight="1">
      <c r="D282" s="182"/>
    </row>
    <row r="283" spans="4:4" ht="15.75" customHeight="1">
      <c r="D283" s="182"/>
    </row>
    <row r="284" spans="4:4" ht="15.75" customHeight="1">
      <c r="D284" s="182"/>
    </row>
    <row r="285" spans="4:4" ht="15.75" customHeight="1">
      <c r="D285" s="182"/>
    </row>
    <row r="286" spans="4:4" ht="15.75" customHeight="1">
      <c r="D286" s="182"/>
    </row>
    <row r="287" spans="4:4" ht="15.75" customHeight="1">
      <c r="D287" s="182"/>
    </row>
    <row r="288" spans="4:4" ht="15.75" customHeight="1">
      <c r="D288" s="182"/>
    </row>
    <row r="289" spans="4:4" ht="15.75" customHeight="1">
      <c r="D289" s="182"/>
    </row>
    <row r="290" spans="4:4" ht="15.75" customHeight="1">
      <c r="D290" s="182"/>
    </row>
    <row r="291" spans="4:4" ht="15.75" customHeight="1">
      <c r="D291" s="182"/>
    </row>
    <row r="292" spans="4:4" ht="15.75" customHeight="1">
      <c r="D292" s="182"/>
    </row>
    <row r="293" spans="4:4" ht="15.75" customHeight="1">
      <c r="D293" s="182"/>
    </row>
    <row r="294" spans="4:4" ht="15.75" customHeight="1">
      <c r="D294" s="182"/>
    </row>
    <row r="295" spans="4:4" ht="15.75" customHeight="1">
      <c r="D295" s="182"/>
    </row>
    <row r="296" spans="4:4" ht="15.75" customHeight="1">
      <c r="D296" s="182"/>
    </row>
    <row r="297" spans="4:4" ht="15.75" customHeight="1">
      <c r="D297" s="182"/>
    </row>
    <row r="298" spans="4:4" ht="15.75" customHeight="1">
      <c r="D298" s="182"/>
    </row>
    <row r="299" spans="4:4" ht="15.75" customHeight="1">
      <c r="D299" s="182"/>
    </row>
    <row r="300" spans="4:4" ht="15.75" customHeight="1">
      <c r="D300" s="182"/>
    </row>
    <row r="301" spans="4:4" ht="15.75" customHeight="1">
      <c r="D301" s="182"/>
    </row>
    <row r="302" spans="4:4" ht="15.75" customHeight="1">
      <c r="D302" s="182"/>
    </row>
    <row r="303" spans="4:4" ht="15.75" customHeight="1">
      <c r="D303" s="182"/>
    </row>
    <row r="304" spans="4:4" ht="15.75" customHeight="1">
      <c r="D304" s="182"/>
    </row>
    <row r="305" spans="4:4" ht="15.75" customHeight="1">
      <c r="D305" s="182"/>
    </row>
    <row r="306" spans="4:4" ht="15.75" customHeight="1">
      <c r="D306" s="182"/>
    </row>
    <row r="307" spans="4:4" ht="15.75" customHeight="1">
      <c r="D307" s="182"/>
    </row>
    <row r="308" spans="4:4" ht="15.75" customHeight="1">
      <c r="D308" s="182"/>
    </row>
    <row r="309" spans="4:4" ht="15.75" customHeight="1">
      <c r="D309" s="182"/>
    </row>
    <row r="310" spans="4:4" ht="15.75" customHeight="1">
      <c r="D310" s="182"/>
    </row>
    <row r="311" spans="4:4" ht="15.75" customHeight="1">
      <c r="D311" s="182"/>
    </row>
    <row r="312" spans="4:4" ht="15.75" customHeight="1">
      <c r="D312" s="182"/>
    </row>
    <row r="313" spans="4:4" ht="15.75" customHeight="1">
      <c r="D313" s="182"/>
    </row>
    <row r="314" spans="4:4" ht="15.75" customHeight="1">
      <c r="D314" s="182"/>
    </row>
    <row r="315" spans="4:4" ht="15.75" customHeight="1">
      <c r="D315" s="182"/>
    </row>
    <row r="316" spans="4:4" ht="15.75" customHeight="1">
      <c r="D316" s="182"/>
    </row>
    <row r="317" spans="4:4" ht="15.75" customHeight="1">
      <c r="D317" s="182"/>
    </row>
    <row r="318" spans="4:4" ht="15.75" customHeight="1">
      <c r="D318" s="182"/>
    </row>
    <row r="319" spans="4:4" ht="15.75" customHeight="1">
      <c r="D319" s="182"/>
    </row>
    <row r="320" spans="4:4" ht="15.75" customHeight="1">
      <c r="D320" s="182"/>
    </row>
    <row r="321" spans="4:4" ht="15.75" customHeight="1">
      <c r="D321" s="182"/>
    </row>
    <row r="322" spans="4:4" ht="15.75" customHeight="1">
      <c r="D322" s="182"/>
    </row>
    <row r="323" spans="4:4" ht="15.75" customHeight="1">
      <c r="D323" s="182"/>
    </row>
    <row r="324" spans="4:4" ht="15.75" customHeight="1">
      <c r="D324" s="182"/>
    </row>
    <row r="325" spans="4:4" ht="15.75" customHeight="1">
      <c r="D325" s="182"/>
    </row>
    <row r="326" spans="4:4" ht="15.75" customHeight="1">
      <c r="D326" s="182"/>
    </row>
    <row r="327" spans="4:4" ht="15.75" customHeight="1">
      <c r="D327" s="182"/>
    </row>
    <row r="328" spans="4:4" ht="15.75" customHeight="1">
      <c r="D328" s="182"/>
    </row>
    <row r="329" spans="4:4" ht="15.75" customHeight="1">
      <c r="D329" s="182"/>
    </row>
    <row r="330" spans="4:4" ht="15.75" customHeight="1">
      <c r="D330" s="182"/>
    </row>
    <row r="331" spans="4:4" ht="15.75" customHeight="1">
      <c r="D331" s="182"/>
    </row>
    <row r="332" spans="4:4" ht="15.75" customHeight="1">
      <c r="D332" s="182"/>
    </row>
    <row r="333" spans="4:4" ht="15.75" customHeight="1">
      <c r="D333" s="182"/>
    </row>
    <row r="334" spans="4:4" ht="15.75" customHeight="1">
      <c r="D334" s="182"/>
    </row>
    <row r="335" spans="4:4" ht="15.75" customHeight="1">
      <c r="D335" s="182"/>
    </row>
    <row r="336" spans="4:4" ht="15.75" customHeight="1">
      <c r="D336" s="182"/>
    </row>
    <row r="337" spans="4:4" ht="15.75" customHeight="1">
      <c r="D337" s="182"/>
    </row>
    <row r="338" spans="4:4" ht="15.75" customHeight="1">
      <c r="D338" s="182"/>
    </row>
    <row r="339" spans="4:4" ht="15.75" customHeight="1">
      <c r="D339" s="182"/>
    </row>
    <row r="340" spans="4:4" ht="15.75" customHeight="1">
      <c r="D340" s="182"/>
    </row>
    <row r="341" spans="4:4" ht="15.75" customHeight="1">
      <c r="D341" s="182"/>
    </row>
    <row r="342" spans="4:4" ht="15.75" customHeight="1">
      <c r="D342" s="182"/>
    </row>
    <row r="343" spans="4:4" ht="15.75" customHeight="1">
      <c r="D343" s="182"/>
    </row>
    <row r="344" spans="4:4" ht="15.75" customHeight="1">
      <c r="D344" s="182"/>
    </row>
    <row r="345" spans="4:4" ht="15.75" customHeight="1">
      <c r="D345" s="182"/>
    </row>
    <row r="346" spans="4:4" ht="15.75" customHeight="1">
      <c r="D346" s="182"/>
    </row>
    <row r="347" spans="4:4" ht="15.75" customHeight="1">
      <c r="D347" s="182"/>
    </row>
    <row r="348" spans="4:4" ht="15.75" customHeight="1">
      <c r="D348" s="182"/>
    </row>
    <row r="349" spans="4:4" ht="15.75" customHeight="1">
      <c r="D349" s="182"/>
    </row>
    <row r="350" spans="4:4" ht="15.75" customHeight="1">
      <c r="D350" s="182"/>
    </row>
    <row r="351" spans="4:4" ht="15.75" customHeight="1">
      <c r="D351" s="182"/>
    </row>
    <row r="352" spans="4:4" ht="15.75" customHeight="1">
      <c r="D352" s="182"/>
    </row>
    <row r="353" spans="4:4" ht="15.75" customHeight="1">
      <c r="D353" s="182"/>
    </row>
    <row r="354" spans="4:4" ht="15.75" customHeight="1">
      <c r="D354" s="182"/>
    </row>
    <row r="355" spans="4:4" ht="15.75" customHeight="1">
      <c r="D355" s="182"/>
    </row>
    <row r="356" spans="4:4" ht="15.75" customHeight="1">
      <c r="D356" s="182"/>
    </row>
    <row r="357" spans="4:4" ht="15.75" customHeight="1">
      <c r="D357" s="182"/>
    </row>
    <row r="358" spans="4:4" ht="15.75" customHeight="1">
      <c r="D358" s="182"/>
    </row>
    <row r="359" spans="4:4" ht="15.75" customHeight="1">
      <c r="D359" s="182"/>
    </row>
    <row r="360" spans="4:4" ht="15.75" customHeight="1">
      <c r="D360" s="182"/>
    </row>
    <row r="361" spans="4:4" ht="15.75" customHeight="1">
      <c r="D361" s="182"/>
    </row>
    <row r="362" spans="4:4" ht="15.75" customHeight="1">
      <c r="D362" s="182"/>
    </row>
    <row r="363" spans="4:4" ht="15.75" customHeight="1">
      <c r="D363" s="182"/>
    </row>
    <row r="364" spans="4:4" ht="15.75" customHeight="1">
      <c r="D364" s="182"/>
    </row>
    <row r="365" spans="4:4" ht="15.75" customHeight="1">
      <c r="D365" s="182"/>
    </row>
    <row r="366" spans="4:4" ht="15.75" customHeight="1">
      <c r="D366" s="182"/>
    </row>
    <row r="367" spans="4:4" ht="15.75" customHeight="1">
      <c r="D367" s="182"/>
    </row>
    <row r="368" spans="4:4" ht="15.75" customHeight="1">
      <c r="D368" s="182"/>
    </row>
    <row r="369" spans="4:4" ht="15.75" customHeight="1">
      <c r="D369" s="182"/>
    </row>
    <row r="370" spans="4:4" ht="15.75" customHeight="1">
      <c r="D370" s="182"/>
    </row>
    <row r="371" spans="4:4" ht="15.75" customHeight="1">
      <c r="D371" s="182"/>
    </row>
    <row r="372" spans="4:4" ht="15.75" customHeight="1">
      <c r="D372" s="182"/>
    </row>
    <row r="373" spans="4:4" ht="15.75" customHeight="1">
      <c r="D373" s="182"/>
    </row>
    <row r="374" spans="4:4" ht="15.75" customHeight="1">
      <c r="D374" s="182"/>
    </row>
    <row r="375" spans="4:4" ht="15.75" customHeight="1">
      <c r="D375" s="182"/>
    </row>
    <row r="376" spans="4:4" ht="15.75" customHeight="1">
      <c r="D376" s="182"/>
    </row>
    <row r="377" spans="4:4" ht="15.75" customHeight="1">
      <c r="D377" s="182"/>
    </row>
    <row r="378" spans="4:4" ht="15.75" customHeight="1">
      <c r="D378" s="182"/>
    </row>
    <row r="379" spans="4:4" ht="15.75" customHeight="1">
      <c r="D379" s="182"/>
    </row>
    <row r="380" spans="4:4" ht="15.75" customHeight="1">
      <c r="D380" s="182"/>
    </row>
    <row r="381" spans="4:4" ht="15.75" customHeight="1">
      <c r="D381" s="182"/>
    </row>
    <row r="382" spans="4:4" ht="15.75" customHeight="1">
      <c r="D382" s="182"/>
    </row>
    <row r="383" spans="4:4" ht="15.75" customHeight="1">
      <c r="D383" s="182"/>
    </row>
    <row r="384" spans="4:4" ht="15.75" customHeight="1">
      <c r="D384" s="182"/>
    </row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1:AO18" xr:uid="{00000000-0009-0000-0000-000000000000}"/>
  <mergeCells count="1">
    <mergeCell ref="A184:N185"/>
  </mergeCells>
  <conditionalFormatting sqref="C57:C63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13:C119">
    <cfRule type="colorScale" priority="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42:C148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D22 B21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4:D90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42:D148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72:G178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57:G63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13:G119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84:H9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72:H178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2:I36">
    <cfRule type="colorScale" priority="12">
      <colorScale>
        <cfvo type="min"/>
        <cfvo type="max"/>
        <color rgb="FFFFFFFF"/>
        <color rgb="FF57BB8A"/>
      </colorScale>
    </cfRule>
  </conditionalFormatting>
  <conditionalFormatting sqref="I142:I148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J142:J148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13:K119">
    <cfRule type="colorScale" priority="1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42:K148">
    <cfRule type="colorScale" priority="1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172:K178">
    <cfRule type="colorScale" priority="1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84:L90">
    <cfRule type="colorScale" priority="1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172:L17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22:M28">
    <cfRule type="colorScale" priority="2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22:Q28">
    <cfRule type="colorScale" priority="2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A184" r:id="rId1" xr:uid="{7024030A-0E74-4D2F-9A9E-BD7245969DBC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BALKRISIND</vt:lpstr>
      <vt:lpstr>Tyres &amp; Rubber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2024-02-18T08:07:22Z</dcterms:created>
  <dcterms:modified xsi:type="dcterms:W3CDTF">2024-02-18T08:08:06Z</dcterms:modified>
</cp:coreProperties>
</file>