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E93A8A36-027E-4C9E-8609-689D9D75DF8E}" xr6:coauthVersionLast="47" xr6:coauthVersionMax="47" xr10:uidLastSave="{00000000-0000-0000-0000-000000000000}"/>
  <bookViews>
    <workbookView xWindow="-108" yWindow="-108" windowWidth="23256" windowHeight="12456" xr2:uid="{20D88CAA-0EE0-4187-8CBF-D84743FAAC11}"/>
  </bookViews>
  <sheets>
    <sheet name="Amarajabat" sheetId="1" r:id="rId1"/>
    <sheet name="Auto Components &amp; Equipments" sheetId="2" r:id="rId2"/>
  </sheets>
  <externalReferences>
    <externalReference r:id="rId3"/>
  </externalReferences>
  <definedNames>
    <definedName name="_xlnm._FilterDatabase" localSheetId="1" hidden="1">'Auto Components &amp; Equipments'!$B$173:$D$193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21" i="2" l="1"/>
  <c r="V321" i="2"/>
  <c r="U321" i="2"/>
  <c r="T321" i="2"/>
  <c r="S321" i="2"/>
  <c r="R321" i="2"/>
  <c r="Q321" i="2"/>
  <c r="AE321" i="2" s="1"/>
  <c r="P321" i="2"/>
  <c r="X321" i="2" s="1"/>
  <c r="O321" i="2"/>
  <c r="N321" i="2"/>
  <c r="L321" i="2"/>
  <c r="Z321" i="2" s="1"/>
  <c r="K321" i="2"/>
  <c r="AA321" i="2" s="1"/>
  <c r="J321" i="2"/>
  <c r="I321" i="2"/>
  <c r="H321" i="2"/>
  <c r="AB321" i="2" s="1"/>
  <c r="G321" i="2"/>
  <c r="F321" i="2"/>
  <c r="E321" i="2"/>
  <c r="Y321" i="2" s="1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AB255" i="2"/>
  <c r="AA255" i="2"/>
  <c r="Y255" i="2"/>
  <c r="D255" i="2"/>
  <c r="C255" i="2"/>
  <c r="AB254" i="2"/>
  <c r="AA254" i="2"/>
  <c r="Y254" i="2"/>
  <c r="D254" i="2"/>
  <c r="C254" i="2"/>
  <c r="AB253" i="2"/>
  <c r="AA253" i="2"/>
  <c r="Y253" i="2"/>
  <c r="D253" i="2"/>
  <c r="C253" i="2"/>
  <c r="AB252" i="2"/>
  <c r="AA252" i="2"/>
  <c r="Y252" i="2"/>
  <c r="D252" i="2"/>
  <c r="C252" i="2"/>
  <c r="AB251" i="2"/>
  <c r="AA251" i="2"/>
  <c r="Y251" i="2"/>
  <c r="D251" i="2"/>
  <c r="C251" i="2"/>
  <c r="AB250" i="2"/>
  <c r="AA250" i="2"/>
  <c r="Y250" i="2"/>
  <c r="D250" i="2"/>
  <c r="C250" i="2"/>
  <c r="AB249" i="2"/>
  <c r="AA249" i="2"/>
  <c r="Y249" i="2"/>
  <c r="D249" i="2"/>
  <c r="C249" i="2"/>
  <c r="AH248" i="2"/>
  <c r="AE248" i="2"/>
  <c r="AD248" i="2"/>
  <c r="AC248" i="2"/>
  <c r="AB248" i="2"/>
  <c r="AA248" i="2"/>
  <c r="Z248" i="2"/>
  <c r="Y248" i="2"/>
  <c r="X248" i="2"/>
  <c r="W248" i="2"/>
  <c r="U248" i="2"/>
  <c r="D248" i="2"/>
  <c r="C248" i="2"/>
  <c r="AG248" i="2" s="1"/>
  <c r="D247" i="2"/>
  <c r="C247" i="2"/>
  <c r="AH246" i="2"/>
  <c r="AF246" i="2"/>
  <c r="AE246" i="2"/>
  <c r="AD246" i="2"/>
  <c r="AC246" i="2"/>
  <c r="AB246" i="2"/>
  <c r="AA246" i="2"/>
  <c r="Z246" i="2"/>
  <c r="Y246" i="2"/>
  <c r="X246" i="2"/>
  <c r="W246" i="2"/>
  <c r="U246" i="2"/>
  <c r="D246" i="2"/>
  <c r="C246" i="2"/>
  <c r="AI246" i="2" s="1"/>
  <c r="AH245" i="2"/>
  <c r="AE245" i="2"/>
  <c r="AD245" i="2"/>
  <c r="AC245" i="2"/>
  <c r="AB245" i="2"/>
  <c r="AA245" i="2"/>
  <c r="Z245" i="2"/>
  <c r="Y245" i="2"/>
  <c r="X245" i="2"/>
  <c r="W245" i="2"/>
  <c r="U245" i="2"/>
  <c r="D245" i="2"/>
  <c r="C245" i="2"/>
  <c r="AG245" i="2" s="1"/>
  <c r="AH244" i="2"/>
  <c r="AE244" i="2"/>
  <c r="AD244" i="2"/>
  <c r="AC244" i="2"/>
  <c r="AB244" i="2"/>
  <c r="AA244" i="2"/>
  <c r="Z244" i="2"/>
  <c r="Y244" i="2"/>
  <c r="X244" i="2"/>
  <c r="W244" i="2"/>
  <c r="U244" i="2"/>
  <c r="D244" i="2"/>
  <c r="C244" i="2"/>
  <c r="AG244" i="2" s="1"/>
  <c r="AI243" i="2"/>
  <c r="AH243" i="2"/>
  <c r="AE243" i="2"/>
  <c r="AD243" i="2"/>
  <c r="AC243" i="2"/>
  <c r="AB243" i="2"/>
  <c r="AA243" i="2"/>
  <c r="Z243" i="2"/>
  <c r="Y243" i="2"/>
  <c r="X243" i="2"/>
  <c r="W243" i="2"/>
  <c r="U243" i="2"/>
  <c r="D243" i="2"/>
  <c r="C243" i="2"/>
  <c r="AG243" i="2" s="1"/>
  <c r="AH242" i="2"/>
  <c r="AE242" i="2"/>
  <c r="AD242" i="2"/>
  <c r="AC242" i="2"/>
  <c r="AB242" i="2"/>
  <c r="AA242" i="2"/>
  <c r="Z242" i="2"/>
  <c r="Y242" i="2"/>
  <c r="X242" i="2"/>
  <c r="W242" i="2"/>
  <c r="D242" i="2"/>
  <c r="C242" i="2"/>
  <c r="AI242" i="2" s="1"/>
  <c r="AE241" i="2"/>
  <c r="AD241" i="2"/>
  <c r="AC241" i="2"/>
  <c r="AB241" i="2"/>
  <c r="AA241" i="2"/>
  <c r="Z241" i="2"/>
  <c r="Y241" i="2"/>
  <c r="X241" i="2"/>
  <c r="W241" i="2"/>
  <c r="U241" i="2"/>
  <c r="D241" i="2"/>
  <c r="C241" i="2"/>
  <c r="AG241" i="2" s="1"/>
  <c r="AH240" i="2"/>
  <c r="AE240" i="2"/>
  <c r="AD240" i="2"/>
  <c r="AC240" i="2"/>
  <c r="AB240" i="2"/>
  <c r="AA240" i="2"/>
  <c r="Z240" i="2"/>
  <c r="Y240" i="2"/>
  <c r="X240" i="2"/>
  <c r="W240" i="2"/>
  <c r="U240" i="2"/>
  <c r="D240" i="2"/>
  <c r="C240" i="2"/>
  <c r="AI240" i="2" s="1"/>
  <c r="AH239" i="2"/>
  <c r="AE239" i="2"/>
  <c r="AD239" i="2"/>
  <c r="AC239" i="2"/>
  <c r="AB239" i="2"/>
  <c r="AA239" i="2"/>
  <c r="Z239" i="2"/>
  <c r="Y239" i="2"/>
  <c r="X239" i="2"/>
  <c r="W239" i="2"/>
  <c r="U239" i="2"/>
  <c r="D239" i="2"/>
  <c r="C239" i="2"/>
  <c r="AI239" i="2" s="1"/>
  <c r="AH238" i="2"/>
  <c r="AE238" i="2"/>
  <c r="AD238" i="2"/>
  <c r="AC238" i="2"/>
  <c r="AB238" i="2"/>
  <c r="AA238" i="2"/>
  <c r="Z238" i="2"/>
  <c r="Y238" i="2"/>
  <c r="X238" i="2"/>
  <c r="W238" i="2"/>
  <c r="D238" i="2"/>
  <c r="C238" i="2"/>
  <c r="AI238" i="2" s="1"/>
  <c r="AI237" i="2"/>
  <c r="AH237" i="2"/>
  <c r="AG237" i="2"/>
  <c r="AE237" i="2"/>
  <c r="AD237" i="2"/>
  <c r="AC237" i="2"/>
  <c r="AB237" i="2"/>
  <c r="AA237" i="2"/>
  <c r="Z237" i="2"/>
  <c r="Y237" i="2"/>
  <c r="X237" i="2"/>
  <c r="W237" i="2"/>
  <c r="U237" i="2"/>
  <c r="D237" i="2"/>
  <c r="C237" i="2"/>
  <c r="AF237" i="2" s="1"/>
  <c r="AI236" i="2"/>
  <c r="AH236" i="2"/>
  <c r="AG236" i="2"/>
  <c r="AE236" i="2"/>
  <c r="AD236" i="2"/>
  <c r="AC236" i="2"/>
  <c r="AB236" i="2"/>
  <c r="AA236" i="2"/>
  <c r="Z236" i="2"/>
  <c r="Y236" i="2"/>
  <c r="X236" i="2"/>
  <c r="W236" i="2"/>
  <c r="U236" i="2"/>
  <c r="D236" i="2"/>
  <c r="C236" i="2"/>
  <c r="AF236" i="2" s="1"/>
  <c r="AH235" i="2"/>
  <c r="AG235" i="2"/>
  <c r="AE235" i="2"/>
  <c r="AD235" i="2"/>
  <c r="AC235" i="2"/>
  <c r="AB235" i="2"/>
  <c r="AA235" i="2"/>
  <c r="Z235" i="2"/>
  <c r="Y235" i="2"/>
  <c r="X235" i="2"/>
  <c r="W235" i="2"/>
  <c r="U235" i="2"/>
  <c r="D235" i="2"/>
  <c r="C235" i="2"/>
  <c r="AF235" i="2" s="1"/>
  <c r="AI234" i="2"/>
  <c r="AH234" i="2"/>
  <c r="AG234" i="2"/>
  <c r="AE234" i="2"/>
  <c r="AD234" i="2"/>
  <c r="AC234" i="2"/>
  <c r="AB234" i="2"/>
  <c r="AA234" i="2"/>
  <c r="Z234" i="2"/>
  <c r="Y234" i="2"/>
  <c r="X234" i="2"/>
  <c r="W234" i="2"/>
  <c r="U234" i="2"/>
  <c r="D234" i="2"/>
  <c r="C234" i="2"/>
  <c r="AF234" i="2" s="1"/>
  <c r="AH233" i="2"/>
  <c r="AE233" i="2"/>
  <c r="AD233" i="2"/>
  <c r="AC233" i="2"/>
  <c r="AB233" i="2"/>
  <c r="AA233" i="2"/>
  <c r="Z233" i="2"/>
  <c r="Y233" i="2"/>
  <c r="X233" i="2"/>
  <c r="W233" i="2"/>
  <c r="U233" i="2"/>
  <c r="D233" i="2"/>
  <c r="C233" i="2"/>
  <c r="AF233" i="2" s="1"/>
  <c r="AH232" i="2"/>
  <c r="AE232" i="2"/>
  <c r="AD232" i="2"/>
  <c r="AC232" i="2"/>
  <c r="AB232" i="2"/>
  <c r="AA232" i="2"/>
  <c r="Z232" i="2"/>
  <c r="Y232" i="2"/>
  <c r="X232" i="2"/>
  <c r="W232" i="2"/>
  <c r="U232" i="2"/>
  <c r="D232" i="2"/>
  <c r="C232" i="2"/>
  <c r="AF232" i="2" s="1"/>
  <c r="AI231" i="2"/>
  <c r="AH231" i="2"/>
  <c r="AE231" i="2"/>
  <c r="AD231" i="2"/>
  <c r="AC231" i="2"/>
  <c r="AB231" i="2"/>
  <c r="AA231" i="2"/>
  <c r="Z231" i="2"/>
  <c r="Y231" i="2"/>
  <c r="X231" i="2"/>
  <c r="W231" i="2"/>
  <c r="U231" i="2"/>
  <c r="D231" i="2"/>
  <c r="C231" i="2"/>
  <c r="AF231" i="2" s="1"/>
  <c r="AH230" i="2"/>
  <c r="AE230" i="2"/>
  <c r="AD230" i="2"/>
  <c r="AC230" i="2"/>
  <c r="AB230" i="2"/>
  <c r="AA230" i="2"/>
  <c r="Z230" i="2"/>
  <c r="Y230" i="2"/>
  <c r="X230" i="2"/>
  <c r="W230" i="2"/>
  <c r="U230" i="2"/>
  <c r="D230" i="2"/>
  <c r="C230" i="2"/>
  <c r="AF230" i="2" s="1"/>
  <c r="AI229" i="2"/>
  <c r="AH229" i="2"/>
  <c r="AG229" i="2"/>
  <c r="AE229" i="2"/>
  <c r="AD229" i="2"/>
  <c r="AC229" i="2"/>
  <c r="AB229" i="2"/>
  <c r="AA229" i="2"/>
  <c r="Z229" i="2"/>
  <c r="Y229" i="2"/>
  <c r="X229" i="2"/>
  <c r="W229" i="2"/>
  <c r="U229" i="2"/>
  <c r="D229" i="2"/>
  <c r="C229" i="2"/>
  <c r="AF229" i="2" s="1"/>
  <c r="AI228" i="2"/>
  <c r="AH228" i="2"/>
  <c r="AG228" i="2"/>
  <c r="AE228" i="2"/>
  <c r="AD228" i="2"/>
  <c r="AC228" i="2"/>
  <c r="AB228" i="2"/>
  <c r="AA228" i="2"/>
  <c r="Z228" i="2"/>
  <c r="Y228" i="2"/>
  <c r="X228" i="2"/>
  <c r="W228" i="2"/>
  <c r="U228" i="2"/>
  <c r="D228" i="2"/>
  <c r="C228" i="2"/>
  <c r="AF228" i="2" s="1"/>
  <c r="AI227" i="2"/>
  <c r="AH227" i="2"/>
  <c r="AG227" i="2"/>
  <c r="AE227" i="2"/>
  <c r="AD227" i="2"/>
  <c r="AC227" i="2"/>
  <c r="AB227" i="2"/>
  <c r="AA227" i="2"/>
  <c r="Z227" i="2"/>
  <c r="Y227" i="2"/>
  <c r="X227" i="2"/>
  <c r="W227" i="2"/>
  <c r="U227" i="2"/>
  <c r="D227" i="2"/>
  <c r="C227" i="2"/>
  <c r="AF227" i="2" s="1"/>
  <c r="AI226" i="2"/>
  <c r="AH226" i="2"/>
  <c r="AG226" i="2"/>
  <c r="AE226" i="2"/>
  <c r="AD226" i="2"/>
  <c r="AC226" i="2"/>
  <c r="AB226" i="2"/>
  <c r="AA226" i="2"/>
  <c r="Z226" i="2"/>
  <c r="Y226" i="2"/>
  <c r="X226" i="2"/>
  <c r="W226" i="2"/>
  <c r="U226" i="2"/>
  <c r="D226" i="2"/>
  <c r="C226" i="2"/>
  <c r="AF226" i="2" s="1"/>
  <c r="AH225" i="2"/>
  <c r="AE225" i="2"/>
  <c r="AD225" i="2"/>
  <c r="AC225" i="2"/>
  <c r="AB225" i="2"/>
  <c r="AA225" i="2"/>
  <c r="Z225" i="2"/>
  <c r="Y225" i="2"/>
  <c r="X225" i="2"/>
  <c r="W225" i="2"/>
  <c r="U225" i="2"/>
  <c r="D225" i="2"/>
  <c r="C225" i="2"/>
  <c r="AF225" i="2" s="1"/>
  <c r="AH224" i="2"/>
  <c r="AE224" i="2"/>
  <c r="AD224" i="2"/>
  <c r="AC224" i="2"/>
  <c r="AB224" i="2"/>
  <c r="AA224" i="2"/>
  <c r="Z224" i="2"/>
  <c r="Y224" i="2"/>
  <c r="X224" i="2"/>
  <c r="W224" i="2"/>
  <c r="U224" i="2"/>
  <c r="D224" i="2"/>
  <c r="C224" i="2"/>
  <c r="AF224" i="2" s="1"/>
  <c r="AI223" i="2"/>
  <c r="AH223" i="2"/>
  <c r="AE223" i="2"/>
  <c r="AD223" i="2"/>
  <c r="AC223" i="2"/>
  <c r="AB223" i="2"/>
  <c r="AA223" i="2"/>
  <c r="Z223" i="2"/>
  <c r="Y223" i="2"/>
  <c r="X223" i="2"/>
  <c r="W223" i="2"/>
  <c r="U223" i="2"/>
  <c r="D223" i="2"/>
  <c r="C223" i="2"/>
  <c r="AF223" i="2" s="1"/>
  <c r="AH222" i="2"/>
  <c r="AE222" i="2"/>
  <c r="AD222" i="2"/>
  <c r="AC222" i="2"/>
  <c r="AB222" i="2"/>
  <c r="AA222" i="2"/>
  <c r="Z222" i="2"/>
  <c r="Y222" i="2"/>
  <c r="X222" i="2"/>
  <c r="W222" i="2"/>
  <c r="U222" i="2"/>
  <c r="D222" i="2"/>
  <c r="C222" i="2"/>
  <c r="AF222" i="2" s="1"/>
  <c r="AI221" i="2"/>
  <c r="AH221" i="2"/>
  <c r="AG221" i="2"/>
  <c r="AE221" i="2"/>
  <c r="AD221" i="2"/>
  <c r="AC221" i="2"/>
  <c r="AB221" i="2"/>
  <c r="AA221" i="2"/>
  <c r="Z221" i="2"/>
  <c r="Y221" i="2"/>
  <c r="X221" i="2"/>
  <c r="W221" i="2"/>
  <c r="U221" i="2"/>
  <c r="D221" i="2"/>
  <c r="C221" i="2"/>
  <c r="AF221" i="2" s="1"/>
  <c r="AI220" i="2"/>
  <c r="AH220" i="2"/>
  <c r="AG220" i="2"/>
  <c r="AE220" i="2"/>
  <c r="AD220" i="2"/>
  <c r="AC220" i="2"/>
  <c r="AB220" i="2"/>
  <c r="AA220" i="2"/>
  <c r="Z220" i="2"/>
  <c r="Y220" i="2"/>
  <c r="X220" i="2"/>
  <c r="W220" i="2"/>
  <c r="U220" i="2"/>
  <c r="D220" i="2"/>
  <c r="C220" i="2"/>
  <c r="AF220" i="2" s="1"/>
  <c r="AH219" i="2"/>
  <c r="AE219" i="2"/>
  <c r="AD219" i="2"/>
  <c r="AC219" i="2"/>
  <c r="AB219" i="2"/>
  <c r="AA219" i="2"/>
  <c r="Z219" i="2"/>
  <c r="Y219" i="2"/>
  <c r="X219" i="2"/>
  <c r="W219" i="2"/>
  <c r="V219" i="2"/>
  <c r="U219" i="2"/>
  <c r="D219" i="2"/>
  <c r="C219" i="2"/>
  <c r="AG219" i="2" s="1"/>
  <c r="AH218" i="2"/>
  <c r="AE218" i="2"/>
  <c r="AD218" i="2"/>
  <c r="AC218" i="2"/>
  <c r="AB218" i="2"/>
  <c r="AA218" i="2"/>
  <c r="Z218" i="2"/>
  <c r="Y218" i="2"/>
  <c r="X218" i="2"/>
  <c r="W218" i="2"/>
  <c r="V218" i="2"/>
  <c r="U218" i="2"/>
  <c r="D218" i="2"/>
  <c r="C218" i="2"/>
  <c r="AI218" i="2" s="1"/>
  <c r="AH217" i="2"/>
  <c r="AE217" i="2"/>
  <c r="AD217" i="2"/>
  <c r="AC217" i="2"/>
  <c r="AB217" i="2"/>
  <c r="AA217" i="2"/>
  <c r="Z217" i="2"/>
  <c r="Y217" i="2"/>
  <c r="X217" i="2"/>
  <c r="W217" i="2"/>
  <c r="V217" i="2"/>
  <c r="U217" i="2"/>
  <c r="D217" i="2"/>
  <c r="C217" i="2"/>
  <c r="AI217" i="2" s="1"/>
  <c r="AH216" i="2"/>
  <c r="AE216" i="2"/>
  <c r="AD216" i="2"/>
  <c r="AC216" i="2"/>
  <c r="AB216" i="2"/>
  <c r="AA216" i="2"/>
  <c r="Z216" i="2"/>
  <c r="Y216" i="2"/>
  <c r="X216" i="2"/>
  <c r="W216" i="2"/>
  <c r="V216" i="2"/>
  <c r="U216" i="2"/>
  <c r="D216" i="2"/>
  <c r="C216" i="2"/>
  <c r="AI216" i="2" s="1"/>
  <c r="AH215" i="2"/>
  <c r="AE215" i="2"/>
  <c r="AD215" i="2"/>
  <c r="AC215" i="2"/>
  <c r="AB215" i="2"/>
  <c r="AA215" i="2"/>
  <c r="Z215" i="2"/>
  <c r="Y215" i="2"/>
  <c r="X215" i="2"/>
  <c r="W215" i="2"/>
  <c r="V215" i="2"/>
  <c r="U215" i="2"/>
  <c r="D215" i="2"/>
  <c r="C215" i="2"/>
  <c r="AI215" i="2" s="1"/>
  <c r="AH214" i="2"/>
  <c r="AF214" i="2"/>
  <c r="AE214" i="2"/>
  <c r="AD214" i="2"/>
  <c r="AC214" i="2"/>
  <c r="AB214" i="2"/>
  <c r="AA214" i="2"/>
  <c r="Z214" i="2"/>
  <c r="Y214" i="2"/>
  <c r="X214" i="2"/>
  <c r="W214" i="2"/>
  <c r="V214" i="2"/>
  <c r="U214" i="2"/>
  <c r="D214" i="2"/>
  <c r="C214" i="2"/>
  <c r="AI214" i="2" s="1"/>
  <c r="AH213" i="2"/>
  <c r="AG213" i="2"/>
  <c r="AF213" i="2"/>
  <c r="AE213" i="2"/>
  <c r="AD213" i="2"/>
  <c r="AC213" i="2"/>
  <c r="AB213" i="2"/>
  <c r="AA213" i="2"/>
  <c r="Z213" i="2"/>
  <c r="Y213" i="2"/>
  <c r="X213" i="2"/>
  <c r="W213" i="2"/>
  <c r="V213" i="2"/>
  <c r="U213" i="2"/>
  <c r="D213" i="2"/>
  <c r="C213" i="2"/>
  <c r="AI213" i="2" s="1"/>
  <c r="AH212" i="2"/>
  <c r="AE212" i="2"/>
  <c r="AD212" i="2"/>
  <c r="AC212" i="2"/>
  <c r="AB212" i="2"/>
  <c r="AA212" i="2"/>
  <c r="Z212" i="2"/>
  <c r="Y212" i="2"/>
  <c r="X212" i="2"/>
  <c r="W212" i="2"/>
  <c r="V212" i="2"/>
  <c r="U212" i="2"/>
  <c r="D212" i="2"/>
  <c r="C212" i="2"/>
  <c r="AG212" i="2" s="1"/>
  <c r="AH211" i="2"/>
  <c r="AE211" i="2"/>
  <c r="AD211" i="2"/>
  <c r="AC211" i="2"/>
  <c r="AB211" i="2"/>
  <c r="AA211" i="2"/>
  <c r="Z211" i="2"/>
  <c r="Y211" i="2"/>
  <c r="X211" i="2"/>
  <c r="W211" i="2"/>
  <c r="V211" i="2"/>
  <c r="U211" i="2"/>
  <c r="D211" i="2"/>
  <c r="C211" i="2"/>
  <c r="AG211" i="2" s="1"/>
  <c r="AH210" i="2"/>
  <c r="AG210" i="2"/>
  <c r="AE210" i="2"/>
  <c r="AD210" i="2"/>
  <c r="AC210" i="2"/>
  <c r="AB210" i="2"/>
  <c r="AA210" i="2"/>
  <c r="Z210" i="2"/>
  <c r="Y210" i="2"/>
  <c r="X210" i="2"/>
  <c r="W210" i="2"/>
  <c r="V210" i="2"/>
  <c r="U210" i="2"/>
  <c r="D210" i="2"/>
  <c r="C210" i="2"/>
  <c r="AI210" i="2" s="1"/>
  <c r="AH209" i="2"/>
  <c r="AE209" i="2"/>
  <c r="AD209" i="2"/>
  <c r="AC209" i="2"/>
  <c r="AB209" i="2"/>
  <c r="AA209" i="2"/>
  <c r="Z209" i="2"/>
  <c r="Y209" i="2"/>
  <c r="X209" i="2"/>
  <c r="W209" i="2"/>
  <c r="V209" i="2"/>
  <c r="U209" i="2"/>
  <c r="D209" i="2"/>
  <c r="C209" i="2"/>
  <c r="AI209" i="2" s="1"/>
  <c r="AH208" i="2"/>
  <c r="AE208" i="2"/>
  <c r="AD208" i="2"/>
  <c r="AC208" i="2"/>
  <c r="AB208" i="2"/>
  <c r="AA208" i="2"/>
  <c r="Z208" i="2"/>
  <c r="Y208" i="2"/>
  <c r="X208" i="2"/>
  <c r="W208" i="2"/>
  <c r="V208" i="2"/>
  <c r="U208" i="2"/>
  <c r="D208" i="2"/>
  <c r="C208" i="2"/>
  <c r="AI208" i="2" s="1"/>
  <c r="AH207" i="2"/>
  <c r="AE207" i="2"/>
  <c r="AD207" i="2"/>
  <c r="AC207" i="2"/>
  <c r="AB207" i="2"/>
  <c r="AA207" i="2"/>
  <c r="Z207" i="2"/>
  <c r="Y207" i="2"/>
  <c r="X207" i="2"/>
  <c r="W207" i="2"/>
  <c r="V207" i="2"/>
  <c r="U207" i="2"/>
  <c r="D207" i="2"/>
  <c r="C207" i="2"/>
  <c r="AI207" i="2" s="1"/>
  <c r="AH206" i="2"/>
  <c r="AE206" i="2"/>
  <c r="AD206" i="2"/>
  <c r="AC206" i="2"/>
  <c r="AB206" i="2"/>
  <c r="AA206" i="2"/>
  <c r="Z206" i="2"/>
  <c r="Y206" i="2"/>
  <c r="X206" i="2"/>
  <c r="W206" i="2"/>
  <c r="V206" i="2"/>
  <c r="U206" i="2"/>
  <c r="D206" i="2"/>
  <c r="C206" i="2"/>
  <c r="AI206" i="2" s="1"/>
  <c r="AH205" i="2"/>
  <c r="AE205" i="2"/>
  <c r="AD205" i="2"/>
  <c r="AC205" i="2"/>
  <c r="AB205" i="2"/>
  <c r="AA205" i="2"/>
  <c r="Z205" i="2"/>
  <c r="Y205" i="2"/>
  <c r="X205" i="2"/>
  <c r="W205" i="2"/>
  <c r="V205" i="2"/>
  <c r="U205" i="2"/>
  <c r="D205" i="2"/>
  <c r="C205" i="2"/>
  <c r="AF205" i="2" s="1"/>
  <c r="AH204" i="2"/>
  <c r="AF204" i="2"/>
  <c r="AE204" i="2"/>
  <c r="AD204" i="2"/>
  <c r="AC204" i="2"/>
  <c r="AB204" i="2"/>
  <c r="AA204" i="2"/>
  <c r="Z204" i="2"/>
  <c r="Y204" i="2"/>
  <c r="X204" i="2"/>
  <c r="W204" i="2"/>
  <c r="V204" i="2"/>
  <c r="U204" i="2"/>
  <c r="D204" i="2"/>
  <c r="C204" i="2"/>
  <c r="AG204" i="2" s="1"/>
  <c r="AH203" i="2"/>
  <c r="AE203" i="2"/>
  <c r="AD203" i="2"/>
  <c r="AC203" i="2"/>
  <c r="AB203" i="2"/>
  <c r="AA203" i="2"/>
  <c r="Z203" i="2"/>
  <c r="Y203" i="2"/>
  <c r="X203" i="2"/>
  <c r="W203" i="2"/>
  <c r="V203" i="2"/>
  <c r="U203" i="2"/>
  <c r="D203" i="2"/>
  <c r="C203" i="2"/>
  <c r="AG203" i="2" s="1"/>
  <c r="AH202" i="2"/>
  <c r="AG202" i="2"/>
  <c r="AF202" i="2"/>
  <c r="AE202" i="2"/>
  <c r="AD202" i="2"/>
  <c r="AC202" i="2"/>
  <c r="AB202" i="2"/>
  <c r="AA202" i="2"/>
  <c r="Z202" i="2"/>
  <c r="Y202" i="2"/>
  <c r="X202" i="2"/>
  <c r="W202" i="2"/>
  <c r="V202" i="2"/>
  <c r="U202" i="2"/>
  <c r="D202" i="2"/>
  <c r="C202" i="2"/>
  <c r="AI202" i="2" s="1"/>
  <c r="AH201" i="2"/>
  <c r="AE201" i="2"/>
  <c r="AD201" i="2"/>
  <c r="AC201" i="2"/>
  <c r="AB201" i="2"/>
  <c r="AA201" i="2"/>
  <c r="Z201" i="2"/>
  <c r="Y201" i="2"/>
  <c r="X201" i="2"/>
  <c r="W201" i="2"/>
  <c r="V201" i="2"/>
  <c r="U201" i="2"/>
  <c r="D201" i="2"/>
  <c r="C201" i="2"/>
  <c r="AI201" i="2" s="1"/>
  <c r="AH200" i="2"/>
  <c r="AH321" i="2" s="1"/>
  <c r="AE200" i="2"/>
  <c r="AD200" i="2"/>
  <c r="AC200" i="2"/>
  <c r="AB200" i="2"/>
  <c r="AA200" i="2"/>
  <c r="Z200" i="2"/>
  <c r="Y200" i="2"/>
  <c r="X200" i="2"/>
  <c r="W200" i="2"/>
  <c r="V200" i="2"/>
  <c r="U200" i="2"/>
  <c r="D200" i="2"/>
  <c r="C200" i="2"/>
  <c r="AI200" i="2" s="1"/>
  <c r="K78" i="2"/>
  <c r="K39" i="2"/>
  <c r="G39" i="2"/>
  <c r="C39" i="2"/>
  <c r="E12" i="2"/>
  <c r="D12" i="2"/>
  <c r="F10" i="2"/>
  <c r="F9" i="2"/>
  <c r="F8" i="2"/>
  <c r="F7" i="2"/>
  <c r="L55" i="1"/>
  <c r="K55" i="1"/>
  <c r="H55" i="1"/>
  <c r="L54" i="1"/>
  <c r="K54" i="1"/>
  <c r="H54" i="1"/>
  <c r="L53" i="1"/>
  <c r="K53" i="1"/>
  <c r="H53" i="1"/>
  <c r="L52" i="1"/>
  <c r="K52" i="1"/>
  <c r="H52" i="1"/>
  <c r="P51" i="1"/>
  <c r="O51" i="1"/>
  <c r="Q44" i="1" s="1"/>
  <c r="L51" i="1"/>
  <c r="K51" i="1"/>
  <c r="H51" i="1"/>
  <c r="L50" i="1"/>
  <c r="K50" i="1"/>
  <c r="H50" i="1"/>
  <c r="R49" i="1"/>
  <c r="L49" i="1"/>
  <c r="K49" i="1"/>
  <c r="H49" i="1"/>
  <c r="R48" i="1"/>
  <c r="L48" i="1"/>
  <c r="K48" i="1"/>
  <c r="H48" i="1"/>
  <c r="R47" i="1"/>
  <c r="L47" i="1"/>
  <c r="K47" i="1"/>
  <c r="H47" i="1"/>
  <c r="R46" i="1"/>
  <c r="L46" i="1"/>
  <c r="K46" i="1"/>
  <c r="H46" i="1"/>
  <c r="R45" i="1"/>
  <c r="L45" i="1"/>
  <c r="K45" i="1"/>
  <c r="H45" i="1"/>
  <c r="R44" i="1"/>
  <c r="L44" i="1"/>
  <c r="K44" i="1"/>
  <c r="H44" i="1"/>
  <c r="R43" i="1"/>
  <c r="L43" i="1"/>
  <c r="K43" i="1"/>
  <c r="H43" i="1"/>
  <c r="V42" i="1"/>
  <c r="U42" i="1"/>
  <c r="X42" i="1" s="1"/>
  <c r="L42" i="1"/>
  <c r="K42" i="1"/>
  <c r="H42" i="1"/>
  <c r="L41" i="1"/>
  <c r="K41" i="1"/>
  <c r="H41" i="1"/>
  <c r="X40" i="1"/>
  <c r="W40" i="1"/>
  <c r="L40" i="1"/>
  <c r="K40" i="1"/>
  <c r="H40" i="1"/>
  <c r="X39" i="1"/>
  <c r="P39" i="1"/>
  <c r="O39" i="1"/>
  <c r="Q39" i="1" s="1"/>
  <c r="L39" i="1"/>
  <c r="K39" i="1"/>
  <c r="H39" i="1"/>
  <c r="Q38" i="1"/>
  <c r="P38" i="1"/>
  <c r="O38" i="1"/>
  <c r="L38" i="1"/>
  <c r="K38" i="1"/>
  <c r="H38" i="1"/>
  <c r="L37" i="1"/>
  <c r="K37" i="1"/>
  <c r="H37" i="1"/>
  <c r="Q36" i="1"/>
  <c r="L36" i="1"/>
  <c r="K36" i="1"/>
  <c r="K23" i="1" s="1"/>
  <c r="M23" i="1" s="1"/>
  <c r="H36" i="1"/>
  <c r="Z35" i="1"/>
  <c r="Y35" i="1"/>
  <c r="AA35" i="1" s="1"/>
  <c r="U35" i="1"/>
  <c r="T35" i="1"/>
  <c r="V35" i="1" s="1"/>
  <c r="Q35" i="1"/>
  <c r="L35" i="1"/>
  <c r="K35" i="1"/>
  <c r="H35" i="1"/>
  <c r="Z34" i="1"/>
  <c r="Y34" i="1"/>
  <c r="AA34" i="1" s="1"/>
  <c r="U34" i="1"/>
  <c r="T34" i="1"/>
  <c r="V34" i="1" s="1"/>
  <c r="L34" i="1"/>
  <c r="K34" i="1"/>
  <c r="H34" i="1"/>
  <c r="AA33" i="1"/>
  <c r="V33" i="1"/>
  <c r="L33" i="1"/>
  <c r="K33" i="1"/>
  <c r="H33" i="1"/>
  <c r="H24" i="1" s="1"/>
  <c r="AA32" i="1"/>
  <c r="V32" i="1"/>
  <c r="Q32" i="1"/>
  <c r="L32" i="1"/>
  <c r="K32" i="1"/>
  <c r="H32" i="1"/>
  <c r="AA31" i="1"/>
  <c r="V31" i="1"/>
  <c r="P31" i="1"/>
  <c r="P33" i="1" s="1"/>
  <c r="O31" i="1"/>
  <c r="O33" i="1" s="1"/>
  <c r="L31" i="1"/>
  <c r="K31" i="1"/>
  <c r="H31" i="1"/>
  <c r="AA30" i="1"/>
  <c r="V30" i="1"/>
  <c r="Q30" i="1"/>
  <c r="L30" i="1"/>
  <c r="L23" i="1" s="1"/>
  <c r="K30" i="1"/>
  <c r="H30" i="1"/>
  <c r="AA29" i="1"/>
  <c r="V29" i="1"/>
  <c r="Q29" i="1"/>
  <c r="L29" i="1"/>
  <c r="K29" i="1"/>
  <c r="H29" i="1"/>
  <c r="D29" i="1"/>
  <c r="C29" i="1"/>
  <c r="J27" i="1"/>
  <c r="I27" i="1"/>
  <c r="G27" i="1"/>
  <c r="D27" i="1"/>
  <c r="C27" i="1"/>
  <c r="L26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G24" i="1"/>
  <c r="F24" i="1"/>
  <c r="E24" i="1"/>
  <c r="D24" i="1"/>
  <c r="C24" i="1"/>
  <c r="J23" i="1"/>
  <c r="I23" i="1"/>
  <c r="G23" i="1"/>
  <c r="F23" i="1"/>
  <c r="E23" i="1"/>
  <c r="D23" i="1"/>
  <c r="C23" i="1"/>
  <c r="O20" i="1"/>
  <c r="F20" i="1"/>
  <c r="E16" i="1"/>
  <c r="F16" i="1" s="1"/>
  <c r="C16" i="1"/>
  <c r="C15" i="1" s="1"/>
  <c r="C14" i="1" s="1"/>
  <c r="L15" i="1"/>
  <c r="E15" i="1"/>
  <c r="E14" i="1" s="1"/>
  <c r="F14" i="1" s="1"/>
  <c r="L10" i="1"/>
  <c r="I10" i="1"/>
  <c r="H10" i="1"/>
  <c r="G10" i="1"/>
  <c r="F10" i="1"/>
  <c r="E10" i="1"/>
  <c r="D10" i="1"/>
  <c r="C10" i="1"/>
  <c r="B10" i="1"/>
  <c r="A10" i="1"/>
  <c r="T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S4" i="1"/>
  <c r="S5" i="1" s="1"/>
  <c r="F4" i="1"/>
  <c r="E4" i="1"/>
  <c r="D4" i="1"/>
  <c r="D5" i="1" s="1"/>
  <c r="S3" i="1"/>
  <c r="C3" i="1"/>
  <c r="B3" i="1"/>
  <c r="Q20" i="1" s="1"/>
  <c r="R18" i="1" s="1"/>
  <c r="N10" i="1" s="1"/>
  <c r="AI222" i="2" l="1"/>
  <c r="AI230" i="2"/>
  <c r="AG225" i="2"/>
  <c r="AG233" i="2"/>
  <c r="AI235" i="2"/>
  <c r="AF245" i="2"/>
  <c r="AI248" i="2"/>
  <c r="AF212" i="2"/>
  <c r="AF218" i="2"/>
  <c r="AG224" i="2"/>
  <c r="AG232" i="2"/>
  <c r="AF244" i="2"/>
  <c r="D321" i="2"/>
  <c r="D323" i="2" s="1"/>
  <c r="AF206" i="2"/>
  <c r="AG223" i="2"/>
  <c r="AI225" i="2"/>
  <c r="AG231" i="2"/>
  <c r="AI233" i="2"/>
  <c r="AF238" i="2"/>
  <c r="AF243" i="2"/>
  <c r="AI245" i="2"/>
  <c r="AG205" i="2"/>
  <c r="AF210" i="2"/>
  <c r="AG222" i="2"/>
  <c r="AI224" i="2"/>
  <c r="AG230" i="2"/>
  <c r="AI232" i="2"/>
  <c r="AI244" i="2"/>
  <c r="AI204" i="2"/>
  <c r="AG206" i="2"/>
  <c r="AF207" i="2"/>
  <c r="AI212" i="2"/>
  <c r="AG214" i="2"/>
  <c r="AF215" i="2"/>
  <c r="AF242" i="2"/>
  <c r="AD321" i="2"/>
  <c r="AI219" i="2"/>
  <c r="AF200" i="2"/>
  <c r="AI205" i="2"/>
  <c r="AG207" i="2"/>
  <c r="AF208" i="2"/>
  <c r="AG215" i="2"/>
  <c r="AF216" i="2"/>
  <c r="AG242" i="2"/>
  <c r="AG246" i="2"/>
  <c r="W321" i="2"/>
  <c r="AI203" i="2"/>
  <c r="AG200" i="2"/>
  <c r="AF201" i="2"/>
  <c r="AG208" i="2"/>
  <c r="AF209" i="2"/>
  <c r="AG216" i="2"/>
  <c r="AF217" i="2"/>
  <c r="AF248" i="2"/>
  <c r="AG201" i="2"/>
  <c r="AG209" i="2"/>
  <c r="AG217" i="2"/>
  <c r="AF239" i="2"/>
  <c r="AF240" i="2"/>
  <c r="AF241" i="2"/>
  <c r="AF203" i="2"/>
  <c r="AF211" i="2"/>
  <c r="AG218" i="2"/>
  <c r="AF219" i="2"/>
  <c r="AG238" i="2"/>
  <c r="AG239" i="2"/>
  <c r="AG240" i="2"/>
  <c r="AI211" i="2"/>
  <c r="C4" i="1"/>
  <c r="C5" i="1" s="1"/>
  <c r="M10" i="1"/>
  <c r="O37" i="1"/>
  <c r="Q33" i="1"/>
  <c r="O34" i="1"/>
  <c r="Q34" i="1" s="1"/>
  <c r="P34" i="1"/>
  <c r="P37" i="1"/>
  <c r="B5" i="1"/>
  <c r="F15" i="1"/>
  <c r="Q31" i="1"/>
  <c r="Q46" i="1"/>
  <c r="Q49" i="1"/>
  <c r="L24" i="1"/>
  <c r="M24" i="1" s="1"/>
  <c r="Q43" i="1"/>
  <c r="H23" i="1"/>
  <c r="F19" i="1" s="1"/>
  <c r="Q48" i="1"/>
  <c r="R51" i="1"/>
  <c r="D16" i="1"/>
  <c r="P20" i="1"/>
  <c r="Q45" i="1"/>
  <c r="J10" i="1"/>
  <c r="K10" i="1" s="1"/>
  <c r="L25" i="1"/>
  <c r="M25" i="1" s="1"/>
  <c r="W42" i="1"/>
  <c r="W39" i="1"/>
  <c r="Q47" i="1"/>
  <c r="Q51" i="1"/>
  <c r="AI321" i="2" l="1"/>
  <c r="AG321" i="2"/>
  <c r="AF321" i="2"/>
  <c r="D15" i="1"/>
  <c r="D14" i="1" s="1"/>
  <c r="D20" i="1"/>
  <c r="Q37" i="1"/>
</calcChain>
</file>

<file path=xl/sharedStrings.xml><?xml version="1.0" encoding="utf-8"?>
<sst xmlns="http://schemas.openxmlformats.org/spreadsheetml/2006/main" count="707" uniqueCount="317">
  <si>
    <t>MARKET DATA</t>
  </si>
  <si>
    <t>INCOME STATEMENT</t>
  </si>
  <si>
    <t>BALANCE SHEET</t>
  </si>
  <si>
    <t>CASHFLOW</t>
  </si>
  <si>
    <t>Company</t>
  </si>
  <si>
    <t>Price</t>
  </si>
  <si>
    <t>Marketcap</t>
  </si>
  <si>
    <t>Sales</t>
  </si>
  <si>
    <t>Profit</t>
  </si>
  <si>
    <t>TRAIL_EPS</t>
  </si>
  <si>
    <t>Equity</t>
  </si>
  <si>
    <t>Reserve</t>
  </si>
  <si>
    <t>Debt</t>
  </si>
  <si>
    <t>Lease</t>
  </si>
  <si>
    <t>Current Assets</t>
  </si>
  <si>
    <t>Current Liabilities</t>
  </si>
  <si>
    <t>TotalAssets</t>
  </si>
  <si>
    <t>Total Liabilities</t>
  </si>
  <si>
    <t>Receivable</t>
  </si>
  <si>
    <t>CFO</t>
  </si>
  <si>
    <t>CFI</t>
  </si>
  <si>
    <t>CFF</t>
  </si>
  <si>
    <t>NET</t>
  </si>
  <si>
    <t>PPE</t>
  </si>
  <si>
    <t>ARE&amp;M</t>
  </si>
  <si>
    <t>Last Year_24</t>
  </si>
  <si>
    <t>Growth</t>
  </si>
  <si>
    <t>GROWTH</t>
  </si>
  <si>
    <t>LIQUIDITY</t>
  </si>
  <si>
    <t>SOLVENCY</t>
  </si>
  <si>
    <t>PROFITABILITY</t>
  </si>
  <si>
    <t>VALUATIONS</t>
  </si>
  <si>
    <t>SALES GROWTH</t>
  </si>
  <si>
    <t>P-MARGIN</t>
  </si>
  <si>
    <t>CUR.RATIO</t>
  </si>
  <si>
    <t>TRADE CYC</t>
  </si>
  <si>
    <t>DEBT2EQUITY</t>
  </si>
  <si>
    <t>DEBTRATIO</t>
  </si>
  <si>
    <t>ICR</t>
  </si>
  <si>
    <t>ROE</t>
  </si>
  <si>
    <t>ROA</t>
  </si>
  <si>
    <t>TRAIL_PE</t>
  </si>
  <si>
    <t>YIELD</t>
  </si>
  <si>
    <t>BOOKVALUE</t>
  </si>
  <si>
    <t>PBV</t>
  </si>
  <si>
    <t>PEG</t>
  </si>
  <si>
    <t>WEIGHTAGE</t>
  </si>
  <si>
    <t>Expectation</t>
  </si>
  <si>
    <t>Year</t>
  </si>
  <si>
    <t>EPS</t>
  </si>
  <si>
    <t>FairValue</t>
  </si>
  <si>
    <t>FY_2035</t>
  </si>
  <si>
    <t>Q2</t>
  </si>
  <si>
    <t>Q3</t>
  </si>
  <si>
    <t>Q4</t>
  </si>
  <si>
    <t>TRAIL EPS_25</t>
  </si>
  <si>
    <t>FY_2030</t>
  </si>
  <si>
    <t>FY_2025</t>
  </si>
  <si>
    <t>TREND</t>
  </si>
  <si>
    <t>H1_FY24</t>
  </si>
  <si>
    <t>9M_FY24</t>
  </si>
  <si>
    <t>FY24</t>
  </si>
  <si>
    <t>Q1_FY25</t>
  </si>
  <si>
    <t>EST-FY25</t>
  </si>
  <si>
    <t>EPS_24</t>
  </si>
  <si>
    <t>T_EPS_25</t>
  </si>
  <si>
    <t>F_EPS_25</t>
  </si>
  <si>
    <t>F_PEG</t>
  </si>
  <si>
    <t>Estimate</t>
  </si>
  <si>
    <t>Margin</t>
  </si>
  <si>
    <t>SALES</t>
  </si>
  <si>
    <t>LongTerm</t>
  </si>
  <si>
    <t>PROFIT</t>
  </si>
  <si>
    <t>PE_24</t>
  </si>
  <si>
    <t>T_PE_25</t>
  </si>
  <si>
    <t>F_PE_25</t>
  </si>
  <si>
    <t>Cy.2025</t>
  </si>
  <si>
    <t>MARGIN</t>
  </si>
  <si>
    <t>High Price</t>
  </si>
  <si>
    <t>Low Price</t>
  </si>
  <si>
    <t>High P/E</t>
  </si>
  <si>
    <t>Low P/E</t>
  </si>
  <si>
    <t>FAIR_PE</t>
  </si>
  <si>
    <t>20 Years</t>
  </si>
  <si>
    <t>10 Years</t>
  </si>
  <si>
    <t>5 Years</t>
  </si>
  <si>
    <t>Last year</t>
  </si>
  <si>
    <t>Actual</t>
  </si>
  <si>
    <t>RESULTS</t>
  </si>
  <si>
    <t>Q1_FY_25</t>
  </si>
  <si>
    <t>Q1_FY_24</t>
  </si>
  <si>
    <t>Q4_FY_24</t>
  </si>
  <si>
    <t>Q4_FY_23</t>
  </si>
  <si>
    <t>FY_24</t>
  </si>
  <si>
    <t>FY_23</t>
  </si>
  <si>
    <t>Trail_fy25</t>
  </si>
  <si>
    <t>FY_2024</t>
  </si>
  <si>
    <t>Cost</t>
  </si>
  <si>
    <t>FY_2023</t>
  </si>
  <si>
    <t>EBITDA</t>
  </si>
  <si>
    <t>Finance</t>
  </si>
  <si>
    <t>FY_2022</t>
  </si>
  <si>
    <t>FY_2021</t>
  </si>
  <si>
    <t>EBTDA</t>
  </si>
  <si>
    <t>FY_2020</t>
  </si>
  <si>
    <t>PBT</t>
  </si>
  <si>
    <t>FY_2019</t>
  </si>
  <si>
    <t>FY_2018</t>
  </si>
  <si>
    <t>FY_2017</t>
  </si>
  <si>
    <t>EBITDA%</t>
  </si>
  <si>
    <t>FY_2016</t>
  </si>
  <si>
    <t>SEGMENT</t>
  </si>
  <si>
    <t>Share</t>
  </si>
  <si>
    <t>FY_2015</t>
  </si>
  <si>
    <t>Lead acid batteries and allied products</t>
  </si>
  <si>
    <t>FY_2014</t>
  </si>
  <si>
    <t>Others</t>
  </si>
  <si>
    <t>Split2:1</t>
  </si>
  <si>
    <t>FY_2013</t>
  </si>
  <si>
    <t>FY_2012</t>
  </si>
  <si>
    <t>MajorCost</t>
  </si>
  <si>
    <t>TOTAL</t>
  </si>
  <si>
    <t>FY_2011</t>
  </si>
  <si>
    <t>Material Consume</t>
  </si>
  <si>
    <t>FY_2010</t>
  </si>
  <si>
    <t>Stock In Trade</t>
  </si>
  <si>
    <t>Bonus1:2</t>
  </si>
  <si>
    <t>FY_2009</t>
  </si>
  <si>
    <t>Inventory</t>
  </si>
  <si>
    <t>Split5:2</t>
  </si>
  <si>
    <t>FY_2008</t>
  </si>
  <si>
    <t>Employee</t>
  </si>
  <si>
    <t>FY_2007</t>
  </si>
  <si>
    <t>Finance Cost</t>
  </si>
  <si>
    <t>FY_2006</t>
  </si>
  <si>
    <t>D&amp;A</t>
  </si>
  <si>
    <t>FY_2005</t>
  </si>
  <si>
    <t>Other Cost</t>
  </si>
  <si>
    <t>FY_2004</t>
  </si>
  <si>
    <t>FY_2003</t>
  </si>
  <si>
    <t>FY_2002</t>
  </si>
  <si>
    <t>FY_2001</t>
  </si>
  <si>
    <t>FY_2000</t>
  </si>
  <si>
    <t>FY_1999</t>
  </si>
  <si>
    <t>WWW.PROFITFROMIT.IN</t>
  </si>
  <si>
    <t>Auto Components &amp; Equipments Industry</t>
  </si>
  <si>
    <t>INDUSTRY</t>
  </si>
  <si>
    <t>AUTO SEGMENT</t>
  </si>
  <si>
    <t>UNITS_FY23 (LAKH)</t>
  </si>
  <si>
    <t>EST_28_UNITS</t>
  </si>
  <si>
    <t>CAGR%_5Y</t>
  </si>
  <si>
    <t>EV%_24</t>
  </si>
  <si>
    <t>EST_EV%_28</t>
  </si>
  <si>
    <t>CATEGORIES</t>
  </si>
  <si>
    <t>COMP SHARE%</t>
  </si>
  <si>
    <t>CV</t>
  </si>
  <si>
    <t>ENGINE COMP</t>
  </si>
  <si>
    <t>PV</t>
  </si>
  <si>
    <t>Suspension &amp; braking</t>
  </si>
  <si>
    <t>2_WHL</t>
  </si>
  <si>
    <t xml:space="preserve">Drive transmission &amp; </t>
  </si>
  <si>
    <t>3_WHL</t>
  </si>
  <si>
    <t>Electricals &amp; electronics</t>
  </si>
  <si>
    <t>Body/ chassis</t>
  </si>
  <si>
    <t>AUTO INDUSTRY</t>
  </si>
  <si>
    <t>Consumables and misc</t>
  </si>
  <si>
    <t>Interiors (non electronics)</t>
  </si>
  <si>
    <t>TOP #</t>
  </si>
  <si>
    <t>TO_20_COMPANIES</t>
  </si>
  <si>
    <t>Market cap</t>
  </si>
  <si>
    <t>SALES_23</t>
  </si>
  <si>
    <t>PROFIT_23</t>
  </si>
  <si>
    <t>OTHER_99</t>
  </si>
  <si>
    <t>MOTHERSON</t>
  </si>
  <si>
    <t>BOSCHLTD</t>
  </si>
  <si>
    <t>TVSHLTD</t>
  </si>
  <si>
    <t>TIINDIA</t>
  </si>
  <si>
    <t>EXIDEIND</t>
  </si>
  <si>
    <t>SCHAEFFLER</t>
  </si>
  <si>
    <t>SONACOMS</t>
  </si>
  <si>
    <t>UNOMINDA</t>
  </si>
  <si>
    <t>MSUMI</t>
  </si>
  <si>
    <t>ZFCVINDIA</t>
  </si>
  <si>
    <t>ENDURANCE</t>
  </si>
  <si>
    <t>CIEINDIA</t>
  </si>
  <si>
    <t>SUNDRMFAST</t>
  </si>
  <si>
    <t>JBMA</t>
  </si>
  <si>
    <t>VARROC</t>
  </si>
  <si>
    <t>ASAHIINDIA</t>
  </si>
  <si>
    <t>MINDACORP</t>
  </si>
  <si>
    <t>HBLPOWER</t>
  </si>
  <si>
    <t>CRAFTSMAN</t>
  </si>
  <si>
    <t>INDUSTRY_119</t>
  </si>
  <si>
    <t>COMPANIES</t>
  </si>
  <si>
    <t>5Y SALES GR</t>
  </si>
  <si>
    <t>CY_SALES</t>
  </si>
  <si>
    <t>Security Name</t>
  </si>
  <si>
    <t>CUR. RATIO</t>
  </si>
  <si>
    <t>TR.DAYS</t>
  </si>
  <si>
    <t>RAWDATA</t>
  </si>
  <si>
    <t>Security Code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</si>
  <si>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</si>
  <si>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</si>
  <si>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</si>
  <si>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</si>
  <si>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</si>
  <si>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</si>
  <si>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</si>
  <si>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>TRADE REC.</t>
  </si>
  <si>
    <t>FV</t>
  </si>
  <si>
    <t>SALES_18</t>
  </si>
  <si>
    <t>TRAIL_SALES</t>
  </si>
  <si>
    <t>FINANCE</t>
  </si>
  <si>
    <t>EXPENSE</t>
  </si>
  <si>
    <t>ROPE</t>
  </si>
  <si>
    <t>SUPRAJIT</t>
  </si>
  <si>
    <t>ASKAUTOLTD</t>
  </si>
  <si>
    <t>ROLEXRINGS</t>
  </si>
  <si>
    <t>SANSERA</t>
  </si>
  <si>
    <t>PRICOLLTD</t>
  </si>
  <si>
    <t>GABRIEL</t>
  </si>
  <si>
    <t>JAMNAAUTO</t>
  </si>
  <si>
    <t>BANCOINDIA</t>
  </si>
  <si>
    <t>SHARDA</t>
  </si>
  <si>
    <t>-</t>
  </si>
  <si>
    <t>SSWL</t>
  </si>
  <si>
    <t>SUBROS</t>
  </si>
  <si>
    <t>JTEKTINDIA</t>
  </si>
  <si>
    <t>LGBBROSLTD</t>
  </si>
  <si>
    <t>RAJGLOWIR</t>
  </si>
  <si>
    <t>SANDHAR</t>
  </si>
  <si>
    <t>NRBBEARING</t>
  </si>
  <si>
    <t>LUMAXTECH</t>
  </si>
  <si>
    <t>AUTOAXLES</t>
  </si>
  <si>
    <t>DIVGIITTS</t>
  </si>
  <si>
    <t>LUMAXIND</t>
  </si>
  <si>
    <t>PRECAM</t>
  </si>
  <si>
    <t>FMGOETZE</t>
  </si>
  <si>
    <t>SJS</t>
  </si>
  <si>
    <t>GNA</t>
  </si>
  <si>
    <t>TALBROAUTO</t>
  </si>
  <si>
    <t>INDNIPPON</t>
  </si>
  <si>
    <t>FIEMIND</t>
  </si>
  <si>
    <t>WHEELS</t>
  </si>
  <si>
    <t>IGARASHI</t>
  </si>
  <si>
    <t>ALICON</t>
  </si>
  <si>
    <t>JAYBARMARU</t>
  </si>
  <si>
    <t>STERTOOLS</t>
  </si>
  <si>
    <t>RICOAUTO</t>
  </si>
  <si>
    <t>RACLGEAR</t>
  </si>
  <si>
    <t>RML</t>
  </si>
  <si>
    <t>SAINTGOBAIN</t>
  </si>
  <si>
    <t>ISTLTD</t>
  </si>
  <si>
    <t>SAPL</t>
  </si>
  <si>
    <t>ACGL</t>
  </si>
  <si>
    <t>ENKEIWHEL</t>
  </si>
  <si>
    <t>NDRAUTO</t>
  </si>
  <si>
    <t>ASAL</t>
  </si>
  <si>
    <t>HITECHGEAR</t>
  </si>
  <si>
    <t>MUNJALAU</t>
  </si>
  <si>
    <t>ZFSTEERING</t>
  </si>
  <si>
    <t>MENONBE</t>
  </si>
  <si>
    <t>REMSONSIND</t>
  </si>
  <si>
    <t>MUNJALSHOW</t>
  </si>
  <si>
    <t>PRITIKAUTO</t>
  </si>
  <si>
    <t>HINDCOMPOS</t>
  </si>
  <si>
    <t>PAVNAIND</t>
  </si>
  <si>
    <t>RBL</t>
  </si>
  <si>
    <t>SHIVAMAUTO</t>
  </si>
  <si>
    <t>AUTOIND</t>
  </si>
  <si>
    <t>VELJAN</t>
  </si>
  <si>
    <t>MENNPIS</t>
  </si>
  <si>
    <t>FRONTSP</t>
  </si>
  <si>
    <t>BHARATSE</t>
  </si>
  <si>
    <t>PRADPME</t>
  </si>
  <si>
    <t>KINETICENG</t>
  </si>
  <si>
    <t>UCAL</t>
  </si>
  <si>
    <t>TALBROSENG</t>
  </si>
  <si>
    <t>TRITONV</t>
  </si>
  <si>
    <t>URAVI</t>
  </si>
  <si>
    <t>PPAP</t>
  </si>
  <si>
    <t>JAYUSH</t>
  </si>
  <si>
    <t>SUNDRMBRAK</t>
  </si>
  <si>
    <t>LGBFORGE</t>
  </si>
  <si>
    <t>RANEENGINE</t>
  </si>
  <si>
    <t>OMAXAUTO</t>
  </si>
  <si>
    <t>UNIAUTO</t>
  </si>
  <si>
    <t>BIMETAL</t>
  </si>
  <si>
    <t>IPRINGLTD</t>
  </si>
  <si>
    <t>BHARATGEAR</t>
  </si>
  <si>
    <t>VISHALBL</t>
  </si>
  <si>
    <t>DUNCANENG</t>
  </si>
  <si>
    <t>SAMKRG</t>
  </si>
  <si>
    <t>AAIL</t>
  </si>
  <si>
    <t>SALAUTO</t>
  </si>
  <si>
    <t>BGWTATO</t>
  </si>
  <si>
    <t>MACPLASQ</t>
  </si>
  <si>
    <t>SNL</t>
  </si>
  <si>
    <t>HIMTEK</t>
  </si>
  <si>
    <t>SETCO</t>
  </si>
  <si>
    <t>PORWAL</t>
  </si>
  <si>
    <t>KRANTI</t>
  </si>
  <si>
    <t>AUTOPINS</t>
  </si>
  <si>
    <t>JAGANLAM</t>
  </si>
  <si>
    <t>SIMMOND</t>
  </si>
  <si>
    <t>HINDHARD</t>
  </si>
  <si>
    <t>RASANDIK</t>
  </si>
  <si>
    <t>GSAUTO</t>
  </si>
  <si>
    <t>ELFORGE</t>
  </si>
  <si>
    <t>JAINEX</t>
  </si>
  <si>
    <t>SIBARAUT</t>
  </si>
  <si>
    <t>METALFORGE</t>
  </si>
  <si>
    <t>AMFORG</t>
  </si>
  <si>
    <t>LAKPRE</t>
  </si>
  <si>
    <t>SPECTRA</t>
  </si>
  <si>
    <t xml:space="preserve">TRADE REC. </t>
  </si>
  <si>
    <t>F_PE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</si>
</sst>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0.0%"/>
    <numFmt numFmtId="166" formatCode="#,##0.0"/>
  </numFmts>
  <fonts count="19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Calibri"/>
      <scheme val="minor"/>
    </font>
    <font>
      <b/>
      <sz val="11"/>
      <color theme="1"/>
      <name val="Calibri"/>
      <scheme val="minor"/>
    </font>
    <font>
      <b/>
      <i/>
      <sz val="11"/>
      <color theme="1"/>
      <name val="Calibri"/>
      <scheme val="minor"/>
    </font>
    <font>
      <sz val="11"/>
      <color rgb="FFFFFFFF"/>
      <name val="Arial"/>
    </font>
    <font>
      <sz val="11"/>
      <color theme="1"/>
      <name val="Calibri"/>
    </font>
    <font>
      <sz val="11"/>
      <color theme="1"/>
      <name val="Arial"/>
    </font>
    <font>
      <sz val="25"/>
      <color theme="1"/>
      <name val="Calibri"/>
    </font>
    <font>
      <b/>
      <u/>
      <sz val="11"/>
      <color rgb="FF0000FF"/>
      <name val="Arial"/>
    </font>
    <font>
      <sz val="11"/>
      <name val="Arial"/>
    </font>
    <font>
      <sz val="11"/>
      <color rgb="FF000000"/>
      <name val="Calibri"/>
    </font>
    <font>
      <b/>
      <sz val="11"/>
      <color theme="1"/>
      <name val="Arial"/>
    </font>
    <font>
      <b/>
      <sz val="11"/>
      <color rgb="FFFFFFFF"/>
      <name val="Arial"/>
    </font>
    <font>
      <b/>
      <sz val="31"/>
      <color rgb="FFFFFFFF"/>
      <name val="&quot;Google Sans&quot;"/>
    </font>
    <font>
      <b/>
      <sz val="11"/>
      <color rgb="FFFFFFFF"/>
      <name val="Calibri"/>
    </font>
    <font>
      <sz val="11"/>
      <color rgb="FFFFFFFF"/>
      <name val="Calibri"/>
    </font>
    <font>
      <b/>
      <i/>
      <u/>
      <sz val="11"/>
      <color rgb="FF000000"/>
      <name val="Calibri"/>
    </font>
    <font>
      <b/>
      <i/>
      <u/>
      <sz val="11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0124D"/>
        <bgColor rgb="FF20124D"/>
      </patternFill>
    </fill>
    <fill>
      <patternFill patternType="solid">
        <fgColor rgb="FFB7B7B7"/>
        <bgColor rgb="FFB7B7B7"/>
      </patternFill>
    </fill>
    <fill>
      <patternFill patternType="solid">
        <fgColor rgb="FFF5FBF8"/>
        <bgColor rgb="FFF5FBF8"/>
      </patternFill>
    </fill>
    <fill>
      <patternFill patternType="solid">
        <fgColor rgb="FF57BB8A"/>
        <bgColor rgb="FF57BB8A"/>
      </patternFill>
    </fill>
    <fill>
      <patternFill patternType="solid">
        <fgColor rgb="FFE67C73"/>
        <bgColor rgb="FFE67C73"/>
      </patternFill>
    </fill>
    <fill>
      <patternFill patternType="solid">
        <fgColor rgb="FF999999"/>
        <bgColor rgb="FF999999"/>
      </patternFill>
    </fill>
    <fill>
      <patternFill patternType="solid">
        <fgColor rgb="FFF5CCC9"/>
        <bgColor rgb="FFF5CCC9"/>
      </patternFill>
    </fill>
    <fill>
      <patternFill patternType="solid">
        <fgColor rgb="FFFFD666"/>
        <bgColor rgb="FFFFD666"/>
      </patternFill>
    </fill>
    <fill>
      <patternFill patternType="solid">
        <fgColor rgb="FF073763"/>
        <bgColor rgb="FF073763"/>
      </patternFill>
    </fill>
    <fill>
      <patternFill patternType="solid">
        <fgColor rgb="FF4C1130"/>
        <bgColor rgb="FF4C113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1" fontId="1" fillId="0" borderId="1" xfId="0" applyNumberFormat="1" applyFont="1" applyBorder="1" applyAlignment="1">
      <alignment horizontal="center"/>
    </xf>
    <xf numFmtId="9" fontId="4" fillId="4" borderId="1" xfId="0" applyNumberFormat="1" applyFont="1" applyFill="1" applyBorder="1" applyAlignment="1">
      <alignment horizontal="center"/>
    </xf>
    <xf numFmtId="0" fontId="5" fillId="3" borderId="2" xfId="0" applyFont="1" applyFill="1" applyBorder="1"/>
    <xf numFmtId="0" fontId="6" fillId="0" borderId="2" xfId="0" applyFont="1" applyBorder="1"/>
    <xf numFmtId="0" fontId="5" fillId="3" borderId="3" xfId="0" applyFont="1" applyFill="1" applyBorder="1"/>
    <xf numFmtId="0" fontId="5" fillId="3" borderId="4" xfId="0" applyFont="1" applyFill="1" applyBorder="1"/>
    <xf numFmtId="10" fontId="5" fillId="3" borderId="4" xfId="0" applyNumberFormat="1" applyFont="1" applyFill="1" applyBorder="1"/>
    <xf numFmtId="9" fontId="7" fillId="4" borderId="3" xfId="0" applyNumberFormat="1" applyFont="1" applyFill="1" applyBorder="1" applyAlignment="1">
      <alignment horizontal="right"/>
    </xf>
    <xf numFmtId="9" fontId="7" fillId="4" borderId="4" xfId="0" applyNumberFormat="1" applyFont="1" applyFill="1" applyBorder="1" applyAlignment="1">
      <alignment horizontal="right"/>
    </xf>
    <xf numFmtId="164" fontId="7" fillId="4" borderId="4" xfId="0" applyNumberFormat="1" applyFont="1" applyFill="1" applyBorder="1" applyAlignment="1">
      <alignment horizontal="right"/>
    </xf>
    <xf numFmtId="3" fontId="7" fillId="4" borderId="4" xfId="0" applyNumberFormat="1" applyFont="1" applyFill="1" applyBorder="1" applyAlignment="1">
      <alignment horizontal="right"/>
    </xf>
    <xf numFmtId="1" fontId="7" fillId="4" borderId="4" xfId="0" applyNumberFormat="1" applyFont="1" applyFill="1" applyBorder="1" applyAlignment="1">
      <alignment horizontal="right"/>
    </xf>
    <xf numFmtId="165" fontId="7" fillId="4" borderId="4" xfId="0" applyNumberFormat="1" applyFont="1" applyFill="1" applyBorder="1" applyAlignment="1">
      <alignment horizontal="right"/>
    </xf>
    <xf numFmtId="10" fontId="1" fillId="0" borderId="0" xfId="0" applyNumberFormat="1" applyFont="1"/>
    <xf numFmtId="0" fontId="2" fillId="3" borderId="1" xfId="0" applyFont="1" applyFill="1" applyBorder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/>
    <xf numFmtId="1" fontId="1" fillId="0" borderId="1" xfId="0" applyNumberFormat="1" applyFont="1" applyBorder="1"/>
    <xf numFmtId="0" fontId="5" fillId="3" borderId="0" xfId="0" applyFont="1" applyFill="1"/>
    <xf numFmtId="0" fontId="6" fillId="5" borderId="4" xfId="0" applyFont="1" applyFill="1" applyBorder="1" applyAlignment="1">
      <alignment horizontal="right"/>
    </xf>
    <xf numFmtId="0" fontId="6" fillId="6" borderId="0" xfId="0" applyFont="1" applyFill="1" applyAlignment="1">
      <alignment horizontal="right"/>
    </xf>
    <xf numFmtId="166" fontId="1" fillId="0" borderId="1" xfId="0" applyNumberFormat="1" applyFont="1" applyBorder="1"/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3" xfId="0" applyFont="1" applyBorder="1"/>
    <xf numFmtId="9" fontId="7" fillId="7" borderId="4" xfId="0" applyNumberFormat="1" applyFont="1" applyFill="1" applyBorder="1" applyAlignment="1">
      <alignment horizontal="right"/>
    </xf>
    <xf numFmtId="1" fontId="6" fillId="2" borderId="3" xfId="0" applyNumberFormat="1" applyFont="1" applyFill="1" applyBorder="1" applyAlignment="1">
      <alignment horizontal="center"/>
    </xf>
    <xf numFmtId="1" fontId="7" fillId="7" borderId="4" xfId="0" applyNumberFormat="1" applyFont="1" applyFill="1" applyBorder="1" applyAlignment="1">
      <alignment horizontal="center"/>
    </xf>
    <xf numFmtId="1" fontId="7" fillId="6" borderId="4" xfId="0" applyNumberFormat="1" applyFont="1" applyFill="1" applyBorder="1" applyAlignment="1">
      <alignment horizontal="center"/>
    </xf>
    <xf numFmtId="164" fontId="8" fillId="8" borderId="0" xfId="0" applyNumberFormat="1" applyFont="1" applyFill="1" applyAlignment="1">
      <alignment horizontal="center" vertical="center"/>
    </xf>
    <xf numFmtId="9" fontId="1" fillId="0" borderId="1" xfId="0" applyNumberFormat="1" applyFont="1" applyBorder="1"/>
    <xf numFmtId="165" fontId="1" fillId="0" borderId="1" xfId="0" applyNumberFormat="1" applyFont="1" applyBorder="1"/>
    <xf numFmtId="9" fontId="7" fillId="9" borderId="4" xfId="0" applyNumberFormat="1" applyFont="1" applyFill="1" applyBorder="1" applyAlignment="1">
      <alignment horizontal="right"/>
    </xf>
    <xf numFmtId="9" fontId="6" fillId="0" borderId="4" xfId="0" applyNumberFormat="1" applyFont="1" applyBorder="1" applyAlignment="1">
      <alignment horizontal="right"/>
    </xf>
    <xf numFmtId="0" fontId="0" fillId="0" borderId="0" xfId="0"/>
    <xf numFmtId="165" fontId="7" fillId="5" borderId="4" xfId="0" applyNumberFormat="1" applyFont="1" applyFill="1" applyBorder="1" applyAlignment="1">
      <alignment horizontal="right"/>
    </xf>
    <xf numFmtId="165" fontId="7" fillId="2" borderId="4" xfId="0" applyNumberFormat="1" applyFont="1" applyFill="1" applyBorder="1" applyAlignment="1">
      <alignment horizontal="right"/>
    </xf>
    <xf numFmtId="1" fontId="6" fillId="6" borderId="3" xfId="0" applyNumberFormat="1" applyFont="1" applyFill="1" applyBorder="1" applyAlignment="1">
      <alignment horizontal="center"/>
    </xf>
    <xf numFmtId="1" fontId="7" fillId="10" borderId="4" xfId="0" applyNumberFormat="1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9" fontId="1" fillId="0" borderId="0" xfId="0" applyNumberFormat="1" applyFont="1"/>
    <xf numFmtId="1" fontId="1" fillId="0" borderId="0" xfId="0" applyNumberFormat="1" applyFont="1"/>
    <xf numFmtId="164" fontId="1" fillId="0" borderId="1" xfId="0" applyNumberFormat="1" applyFont="1" applyBorder="1"/>
    <xf numFmtId="0" fontId="3" fillId="0" borderId="1" xfId="0" applyFont="1" applyBorder="1"/>
    <xf numFmtId="0" fontId="9" fillId="8" borderId="5" xfId="0" applyFont="1" applyFill="1" applyBorder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2" xfId="0" applyFont="1" applyBorder="1"/>
    <xf numFmtId="0" fontId="10" fillId="0" borderId="4" xfId="0" applyFont="1" applyBorder="1"/>
    <xf numFmtId="0" fontId="11" fillId="2" borderId="0" xfId="0" applyFont="1" applyFill="1"/>
    <xf numFmtId="0" fontId="7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1" fontId="13" fillId="2" borderId="0" xfId="0" applyNumberFormat="1" applyFont="1" applyFill="1" applyAlignment="1">
      <alignment horizontal="center"/>
    </xf>
    <xf numFmtId="10" fontId="13" fillId="2" borderId="0" xfId="0" applyNumberFormat="1" applyFont="1" applyFill="1" applyAlignment="1">
      <alignment horizontal="center"/>
    </xf>
    <xf numFmtId="0" fontId="14" fillId="11" borderId="0" xfId="0" applyFont="1" applyFill="1" applyAlignment="1">
      <alignment horizontal="center" vertical="center"/>
    </xf>
    <xf numFmtId="0" fontId="15" fillId="11" borderId="9" xfId="0" applyFont="1" applyFill="1" applyBorder="1"/>
    <xf numFmtId="0" fontId="16" fillId="11" borderId="0" xfId="0" applyFont="1" applyFill="1"/>
    <xf numFmtId="0" fontId="15" fillId="11" borderId="0" xfId="0" applyFont="1" applyFill="1"/>
    <xf numFmtId="165" fontId="7" fillId="2" borderId="0" xfId="0" applyNumberFormat="1" applyFont="1" applyFill="1" applyAlignment="1">
      <alignment horizontal="center"/>
    </xf>
    <xf numFmtId="9" fontId="12" fillId="2" borderId="0" xfId="0" applyNumberFormat="1" applyFont="1" applyFill="1" applyAlignment="1">
      <alignment horizontal="center"/>
    </xf>
    <xf numFmtId="0" fontId="7" fillId="2" borderId="0" xfId="0" applyFont="1" applyFill="1"/>
    <xf numFmtId="165" fontId="12" fillId="2" borderId="0" xfId="0" applyNumberFormat="1" applyFont="1" applyFill="1" applyAlignment="1">
      <alignment horizontal="center"/>
    </xf>
    <xf numFmtId="0" fontId="7" fillId="2" borderId="10" xfId="0" applyFont="1" applyFill="1" applyBorder="1"/>
    <xf numFmtId="165" fontId="7" fillId="2" borderId="10" xfId="0" applyNumberFormat="1" applyFont="1" applyFill="1" applyBorder="1" applyAlignment="1">
      <alignment horizontal="center"/>
    </xf>
    <xf numFmtId="9" fontId="12" fillId="2" borderId="10" xfId="0" applyNumberFormat="1" applyFont="1" applyFill="1" applyBorder="1" applyAlignment="1">
      <alignment horizontal="center"/>
    </xf>
    <xf numFmtId="0" fontId="17" fillId="4" borderId="11" xfId="0" applyFont="1" applyFill="1" applyBorder="1"/>
    <xf numFmtId="164" fontId="18" fillId="4" borderId="11" xfId="0" applyNumberFormat="1" applyFont="1" applyFill="1" applyBorder="1"/>
    <xf numFmtId="165" fontId="18" fillId="4" borderId="11" xfId="0" applyNumberFormat="1" applyFont="1" applyFill="1" applyBorder="1"/>
    <xf numFmtId="0" fontId="7" fillId="2" borderId="10" xfId="0" applyFont="1" applyFill="1" applyBorder="1"/>
    <xf numFmtId="0" fontId="10" fillId="0" borderId="10" xfId="0" applyFont="1" applyBorder="1"/>
    <xf numFmtId="0" fontId="13" fillId="11" borderId="0" xfId="0" applyFont="1" applyFill="1"/>
    <xf numFmtId="0" fontId="6" fillId="0" borderId="0" xfId="0" applyFont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6" fillId="0" borderId="10" xfId="0" applyFont="1" applyBorder="1"/>
    <xf numFmtId="0" fontId="7" fillId="0" borderId="10" xfId="0" applyFont="1" applyBorder="1" applyAlignment="1">
      <alignment horizontal="right"/>
    </xf>
    <xf numFmtId="1" fontId="7" fillId="0" borderId="10" xfId="0" applyNumberFormat="1" applyFont="1" applyBorder="1" applyAlignment="1">
      <alignment horizontal="right"/>
    </xf>
    <xf numFmtId="1" fontId="18" fillId="4" borderId="11" xfId="0" applyNumberFormat="1" applyFont="1" applyFill="1" applyBorder="1"/>
    <xf numFmtId="165" fontId="7" fillId="0" borderId="0" xfId="0" applyNumberFormat="1" applyFont="1" applyAlignment="1">
      <alignment horizontal="right"/>
    </xf>
    <xf numFmtId="165" fontId="7" fillId="0" borderId="10" xfId="0" applyNumberFormat="1" applyFont="1" applyBorder="1" applyAlignment="1">
      <alignment horizontal="right"/>
    </xf>
    <xf numFmtId="10" fontId="18" fillId="4" borderId="11" xfId="0" applyNumberFormat="1" applyFont="1" applyFill="1" applyBorder="1"/>
    <xf numFmtId="0" fontId="11" fillId="0" borderId="0" xfId="0" applyFont="1"/>
    <xf numFmtId="165" fontId="7" fillId="2" borderId="0" xfId="0" applyNumberFormat="1" applyFont="1" applyFill="1"/>
    <xf numFmtId="164" fontId="7" fillId="0" borderId="0" xfId="0" applyNumberFormat="1" applyFont="1" applyAlignment="1">
      <alignment horizontal="right"/>
    </xf>
    <xf numFmtId="0" fontId="11" fillId="0" borderId="10" xfId="0" applyFont="1" applyBorder="1"/>
    <xf numFmtId="165" fontId="7" fillId="2" borderId="10" xfId="0" applyNumberFormat="1" applyFont="1" applyFill="1" applyBorder="1"/>
    <xf numFmtId="164" fontId="7" fillId="0" borderId="10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right"/>
    </xf>
    <xf numFmtId="2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right"/>
    </xf>
    <xf numFmtId="0" fontId="7" fillId="2" borderId="10" xfId="0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2" fontId="7" fillId="0" borderId="10" xfId="0" applyNumberFormat="1" applyFont="1" applyBorder="1" applyAlignment="1">
      <alignment horizontal="right"/>
    </xf>
    <xf numFmtId="0" fontId="11" fillId="2" borderId="10" xfId="0" applyFont="1" applyFill="1" applyBorder="1"/>
    <xf numFmtId="10" fontId="17" fillId="4" borderId="11" xfId="0" applyNumberFormat="1" applyFont="1" applyFill="1" applyBorder="1"/>
    <xf numFmtId="0" fontId="13" fillId="12" borderId="12" xfId="0" applyFont="1" applyFill="1" applyBorder="1" applyAlignment="1">
      <alignment horizontal="center"/>
    </xf>
    <xf numFmtId="1" fontId="13" fillId="12" borderId="12" xfId="0" applyNumberFormat="1" applyFont="1" applyFill="1" applyBorder="1" applyAlignment="1">
      <alignment horizontal="center"/>
    </xf>
    <xf numFmtId="10" fontId="13" fillId="12" borderId="12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7" fillId="0" borderId="1" xfId="0" applyFont="1" applyBorder="1"/>
    <xf numFmtId="1" fontId="7" fillId="0" borderId="1" xfId="0" applyNumberFormat="1" applyFont="1" applyBorder="1"/>
    <xf numFmtId="0" fontId="7" fillId="0" borderId="0" xfId="0" applyFont="1"/>
    <xf numFmtId="0" fontId="7" fillId="0" borderId="6" xfId="0" applyFont="1" applyBorder="1" applyAlignment="1">
      <alignment horizontal="right"/>
    </xf>
    <xf numFmtId="165" fontId="7" fillId="0" borderId="0" xfId="0" applyNumberFormat="1" applyFont="1"/>
    <xf numFmtId="164" fontId="7" fillId="0" borderId="0" xfId="0" applyNumberFormat="1" applyFont="1"/>
    <xf numFmtId="2" fontId="7" fillId="0" borderId="0" xfId="0" applyNumberFormat="1" applyFont="1"/>
    <xf numFmtId="1" fontId="7" fillId="0" borderId="0" xfId="0" applyNumberFormat="1" applyFont="1"/>
    <xf numFmtId="166" fontId="7" fillId="0" borderId="0" xfId="0" applyNumberFormat="1" applyFont="1"/>
    <xf numFmtId="0" fontId="16" fillId="11" borderId="0" xfId="0" applyFont="1" applyFill="1"/>
    <xf numFmtId="0" fontId="5" fillId="11" borderId="0" xfId="0" applyFont="1" applyFill="1"/>
    <xf numFmtId="1" fontId="5" fillId="11" borderId="0" xfId="0" applyNumberFormat="1" applyFont="1" applyFill="1"/>
    <xf numFmtId="10" fontId="5" fillId="11" borderId="0" xfId="0" applyNumberFormat="1" applyFont="1" applyFill="1"/>
  </cellXfs>
  <cellStyles count="1">
    <cellStyle name="Normal" xfId="0" builtinId="0"/>
  </cellStyles>
  <dxfs count="2"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</dxfs>
  <tableStyles count="1" defaultTableStyle="TableStyleMedium2" defaultPivotStyle="PivotStyleLight16">
    <tableStyle name="Amarajabat-style" pivot="0" count="2" xr9:uid="{C1197181-B020-492D-BEE4-64A9B6ECBA22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'Auto Components &amp; Equipments'!$C$16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46A2-45CD-882A-96C52992ACCF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46A2-45CD-882A-96C52992ACCF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46A2-45CD-882A-96C52992ACCF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46A2-45CD-882A-96C52992ACCF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46A2-45CD-882A-96C52992ACCF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46A2-45CD-882A-96C52992ACCF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46A2-45CD-882A-96C52992ACCF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46A2-45CD-882A-96C52992ACCF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46A2-45CD-882A-96C52992ACCF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46A2-45CD-882A-96C52992ACCF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46A2-45CD-882A-96C52992ACCF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46A2-45CD-882A-96C52992ACCF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46A2-45CD-882A-96C52992ACCF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46A2-45CD-882A-96C52992ACCF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46A2-45CD-882A-96C52992ACCF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46A2-45CD-882A-96C52992ACCF}"/>
              </c:ext>
            </c:extLst>
          </c:dPt>
          <c:dPt>
            <c:idx val="16"/>
            <c:bubble3D val="0"/>
            <c:spPr>
              <a:solidFill>
                <a:srgbClr val="FFC599"/>
              </a:solidFill>
            </c:spPr>
            <c:extLst>
              <c:ext xmlns:c16="http://schemas.microsoft.com/office/drawing/2014/chart" uri="{C3380CC4-5D6E-409C-BE32-E72D297353CC}">
                <c16:uniqueId val="{00000021-46A2-45CD-882A-96C52992ACCF}"/>
              </c:ext>
            </c:extLst>
          </c:dPt>
          <c:dPt>
            <c:idx val="17"/>
            <c:bubble3D val="0"/>
            <c:spPr>
              <a:solidFill>
                <a:srgbClr val="B5E5E8"/>
              </a:solidFill>
            </c:spPr>
            <c:extLst>
              <c:ext xmlns:c16="http://schemas.microsoft.com/office/drawing/2014/chart" uri="{C3380CC4-5D6E-409C-BE32-E72D297353CC}">
                <c16:uniqueId val="{00000023-46A2-45CD-882A-96C52992ACCF}"/>
              </c:ext>
            </c:extLst>
          </c:dPt>
          <c:dPt>
            <c:idx val="18"/>
            <c:bubble3D val="0"/>
            <c:spPr>
              <a:solidFill>
                <a:srgbClr val="ECF3FE"/>
              </a:solidFill>
            </c:spPr>
            <c:extLst>
              <c:ext xmlns:c16="http://schemas.microsoft.com/office/drawing/2014/chart" uri="{C3380CC4-5D6E-409C-BE32-E72D297353CC}">
                <c16:uniqueId val="{00000025-46A2-45CD-882A-96C52992ACCF}"/>
              </c:ext>
            </c:extLst>
          </c:dPt>
          <c:dPt>
            <c:idx val="19"/>
            <c:bubble3D val="0"/>
            <c:spPr>
              <a:solidFill>
                <a:srgbClr val="FDECEB"/>
              </a:solidFill>
            </c:spPr>
            <c:extLst>
              <c:ext xmlns:c16="http://schemas.microsoft.com/office/drawing/2014/chart" uri="{C3380CC4-5D6E-409C-BE32-E72D297353CC}">
                <c16:uniqueId val="{00000027-46A2-45CD-882A-96C52992ACCF}"/>
              </c:ext>
            </c:extLst>
          </c:dPt>
          <c:dPt>
            <c:idx val="20"/>
            <c:bubble3D val="0"/>
            <c:spPr>
              <a:solidFill>
                <a:srgbClr val="FFF8E6"/>
              </a:solidFill>
            </c:spPr>
            <c:extLst>
              <c:ext xmlns:c16="http://schemas.microsoft.com/office/drawing/2014/chart" uri="{C3380CC4-5D6E-409C-BE32-E72D297353CC}">
                <c16:uniqueId val="{00000029-46A2-45CD-882A-96C52992ACCF}"/>
              </c:ext>
            </c:extLst>
          </c:dPt>
          <c:cat>
            <c:strRef>
              <c:f>'Auto Components &amp; Equipments'!$B$17:$B$37</c:f>
              <c:strCache>
                <c:ptCount val="21"/>
                <c:pt idx="0">
                  <c:v>OTHER_99</c:v>
                </c:pt>
                <c:pt idx="1">
                  <c:v>BOSCHLTD</c:v>
                </c:pt>
                <c:pt idx="2">
                  <c:v>MOTHERSON</c:v>
                </c:pt>
                <c:pt idx="3">
                  <c:v>TIINDIA</c:v>
                </c:pt>
                <c:pt idx="4">
                  <c:v>SCHAEFFLER</c:v>
                </c:pt>
                <c:pt idx="5">
                  <c:v>SONACOMS</c:v>
                </c:pt>
                <c:pt idx="6">
                  <c:v>UNOMINDA</c:v>
                </c:pt>
                <c:pt idx="7">
                  <c:v>MSUMI</c:v>
                </c:pt>
                <c:pt idx="8">
                  <c:v>ZFCVINDIA</c:v>
                </c:pt>
                <c:pt idx="9">
                  <c:v>EXIDEIND</c:v>
                </c:pt>
                <c:pt idx="10">
                  <c:v>JBMA</c:v>
                </c:pt>
                <c:pt idx="11">
                  <c:v>ENDURANCE</c:v>
                </c:pt>
                <c:pt idx="12">
                  <c:v>SUNDRMFAST</c:v>
                </c:pt>
                <c:pt idx="13">
                  <c:v>TVSHLTD</c:v>
                </c:pt>
                <c:pt idx="14">
                  <c:v>CIEINDIA</c:v>
                </c:pt>
                <c:pt idx="15">
                  <c:v>ARE&amp;M</c:v>
                </c:pt>
                <c:pt idx="16">
                  <c:v>HBLPOWER</c:v>
                </c:pt>
                <c:pt idx="17">
                  <c:v>ASAHIINDIA</c:v>
                </c:pt>
                <c:pt idx="18">
                  <c:v>MINDACORP</c:v>
                </c:pt>
                <c:pt idx="19">
                  <c:v>CRAFTSMAN</c:v>
                </c:pt>
                <c:pt idx="20">
                  <c:v>VARROC</c:v>
                </c:pt>
              </c:strCache>
            </c:strRef>
          </c:cat>
          <c:val>
            <c:numRef>
              <c:f>'Auto Components &amp; Equipments'!$C$17:$C$37</c:f>
              <c:numCache>
                <c:formatCode>0</c:formatCode>
                <c:ptCount val="21"/>
                <c:pt idx="0" formatCode="General">
                  <c:v>130272</c:v>
                </c:pt>
                <c:pt idx="1">
                  <c:v>83926.923755600001</c:v>
                </c:pt>
                <c:pt idx="2">
                  <c:v>80165.908349999998</c:v>
                </c:pt>
                <c:pt idx="3">
                  <c:v>68404.364469099994</c:v>
                </c:pt>
                <c:pt idx="4">
                  <c:v>45268.647868699998</c:v>
                </c:pt>
                <c:pt idx="5">
                  <c:v>38708.500074600001</c:v>
                </c:pt>
                <c:pt idx="6">
                  <c:v>37571.65</c:v>
                </c:pt>
                <c:pt idx="7">
                  <c:v>31398.8847566</c:v>
                </c:pt>
                <c:pt idx="8">
                  <c:v>27599.536723099998</c:v>
                </c:pt>
                <c:pt idx="9">
                  <c:v>27025.747857999999</c:v>
                </c:pt>
                <c:pt idx="10">
                  <c:v>25881.925825300001</c:v>
                </c:pt>
                <c:pt idx="11">
                  <c:v>25630.240773099998</c:v>
                </c:pt>
                <c:pt idx="12">
                  <c:v>22759.006490899999</c:v>
                </c:pt>
                <c:pt idx="13">
                  <c:v>21597.87</c:v>
                </c:pt>
                <c:pt idx="14">
                  <c:v>17243.9128834</c:v>
                </c:pt>
                <c:pt idx="15">
                  <c:v>15404.33</c:v>
                </c:pt>
                <c:pt idx="16">
                  <c:v>13999.7280861</c:v>
                </c:pt>
                <c:pt idx="17">
                  <c:v>13052.712477200001</c:v>
                </c:pt>
                <c:pt idx="18">
                  <c:v>9942.9024449999997</c:v>
                </c:pt>
                <c:pt idx="19">
                  <c:v>8958.0867216000006</c:v>
                </c:pt>
                <c:pt idx="20">
                  <c:v>7611.8186345000004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46A2-45CD-882A-96C52992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'Auto Components &amp; Equipments'!$G$126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'Auto Components &amp; Equipments'!$F$127:$F$146</c:f>
              <c:strCache>
                <c:ptCount val="20"/>
                <c:pt idx="0">
                  <c:v>SCHAEFFLER</c:v>
                </c:pt>
                <c:pt idx="1">
                  <c:v>BOSCHLTD</c:v>
                </c:pt>
                <c:pt idx="2">
                  <c:v>ZFCVINDIA</c:v>
                </c:pt>
                <c:pt idx="3">
                  <c:v>ARE&amp;M</c:v>
                </c:pt>
                <c:pt idx="4">
                  <c:v>CIEINDIA</c:v>
                </c:pt>
                <c:pt idx="5">
                  <c:v>SONACOMS</c:v>
                </c:pt>
                <c:pt idx="6">
                  <c:v>ENDURANCE</c:v>
                </c:pt>
                <c:pt idx="7">
                  <c:v>MSUMI</c:v>
                </c:pt>
                <c:pt idx="8">
                  <c:v>TIINDIA</c:v>
                </c:pt>
                <c:pt idx="9">
                  <c:v>HBLPOWER</c:v>
                </c:pt>
                <c:pt idx="10">
                  <c:v>SUNDRMFAST</c:v>
                </c:pt>
                <c:pt idx="11">
                  <c:v>EXIDEIND</c:v>
                </c:pt>
                <c:pt idx="12">
                  <c:v>UNOMINDA</c:v>
                </c:pt>
                <c:pt idx="13">
                  <c:v>MINDACORP</c:v>
                </c:pt>
                <c:pt idx="14">
                  <c:v>ASAHIINDIA</c:v>
                </c:pt>
                <c:pt idx="15">
                  <c:v>TVSHLTD</c:v>
                </c:pt>
                <c:pt idx="16">
                  <c:v>CRAFTSMAN</c:v>
                </c:pt>
                <c:pt idx="17">
                  <c:v>MOTHERSON</c:v>
                </c:pt>
                <c:pt idx="18">
                  <c:v>JBMA</c:v>
                </c:pt>
                <c:pt idx="19">
                  <c:v>VARROC</c:v>
                </c:pt>
              </c:strCache>
            </c:strRef>
          </c:cat>
          <c:val>
            <c:numRef>
              <c:f>'Auto Components &amp; Equipments'!$G$127:$G$146</c:f>
              <c:numCache>
                <c:formatCode>0.0</c:formatCode>
                <c:ptCount val="20"/>
                <c:pt idx="0">
                  <c:v>178.5</c:v>
                </c:pt>
                <c:pt idx="1">
                  <c:v>118.41666666666667</c:v>
                </c:pt>
                <c:pt idx="2">
                  <c:v>61.166666666666664</c:v>
                </c:pt>
                <c:pt idx="3">
                  <c:v>42.045454545454547</c:v>
                </c:pt>
                <c:pt idx="4">
                  <c:v>38.086956521739133</c:v>
                </c:pt>
                <c:pt idx="5">
                  <c:v>30.411764705882351</c:v>
                </c:pt>
                <c:pt idx="6">
                  <c:v>29.285714285714285</c:v>
                </c:pt>
                <c:pt idx="7">
                  <c:v>23.5</c:v>
                </c:pt>
                <c:pt idx="8">
                  <c:v>22.80952380952381</c:v>
                </c:pt>
                <c:pt idx="9">
                  <c:v>19.166666666666668</c:v>
                </c:pt>
                <c:pt idx="10">
                  <c:v>16.375</c:v>
                </c:pt>
                <c:pt idx="11">
                  <c:v>14.675675675675675</c:v>
                </c:pt>
                <c:pt idx="12">
                  <c:v>11.6</c:v>
                </c:pt>
                <c:pt idx="13">
                  <c:v>7.9024390243902438</c:v>
                </c:pt>
                <c:pt idx="14">
                  <c:v>6.0476190476190474</c:v>
                </c:pt>
                <c:pt idx="15">
                  <c:v>3.9550561797752808</c:v>
                </c:pt>
                <c:pt idx="16">
                  <c:v>3.8416666666666668</c:v>
                </c:pt>
                <c:pt idx="17">
                  <c:v>2.8693982074263764</c:v>
                </c:pt>
                <c:pt idx="18">
                  <c:v>2.126984126984127</c:v>
                </c:pt>
                <c:pt idx="19">
                  <c:v>1.1052631578947369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A16-42E8-9C9A-B8AB9BD3B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1445096"/>
        <c:axId val="1943207431"/>
      </c:barChart>
      <c:catAx>
        <c:axId val="147144509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43207431"/>
        <c:crosses val="autoZero"/>
        <c:auto val="1"/>
        <c:lblAlgn val="ctr"/>
        <c:lblOffset val="100"/>
        <c:noMultiLvlLbl val="1"/>
      </c:catAx>
      <c:valAx>
        <c:axId val="194320743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144509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'Auto Components &amp; Equipments'!$K$126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'Auto Components &amp; Equipments'!$J$127:$J$146</c:f>
              <c:strCache>
                <c:ptCount val="20"/>
                <c:pt idx="0">
                  <c:v>ZFCVINDIA</c:v>
                </c:pt>
                <c:pt idx="1">
                  <c:v>ASAHIINDIA</c:v>
                </c:pt>
                <c:pt idx="2">
                  <c:v>SCHAEFFLER</c:v>
                </c:pt>
                <c:pt idx="3">
                  <c:v>EXIDEIND</c:v>
                </c:pt>
                <c:pt idx="4">
                  <c:v>ARE&amp;M</c:v>
                </c:pt>
                <c:pt idx="5">
                  <c:v>SONACOMS</c:v>
                </c:pt>
                <c:pt idx="6">
                  <c:v>BOSCHLTD</c:v>
                </c:pt>
                <c:pt idx="7">
                  <c:v>SUNDRMFAST</c:v>
                </c:pt>
                <c:pt idx="8">
                  <c:v>HBLPOWER</c:v>
                </c:pt>
                <c:pt idx="9">
                  <c:v>ENDURANCE</c:v>
                </c:pt>
                <c:pt idx="10">
                  <c:v>CIEINDIA</c:v>
                </c:pt>
                <c:pt idx="11">
                  <c:v>UNOMINDA</c:v>
                </c:pt>
                <c:pt idx="12">
                  <c:v>MINDACORP</c:v>
                </c:pt>
                <c:pt idx="13">
                  <c:v>TIINDIA</c:v>
                </c:pt>
                <c:pt idx="14">
                  <c:v>MSUMI</c:v>
                </c:pt>
                <c:pt idx="15">
                  <c:v>CRAFTSMAN</c:v>
                </c:pt>
                <c:pt idx="16">
                  <c:v>MOTHERSON</c:v>
                </c:pt>
                <c:pt idx="17">
                  <c:v>JBMA</c:v>
                </c:pt>
                <c:pt idx="18">
                  <c:v>VARROC</c:v>
                </c:pt>
                <c:pt idx="19">
                  <c:v>TVSHLTD</c:v>
                </c:pt>
              </c:strCache>
            </c:strRef>
          </c:cat>
          <c:val>
            <c:numRef>
              <c:f>'Auto Components &amp; Equipments'!$K$127:$K$146</c:f>
              <c:numCache>
                <c:formatCode>0.00</c:formatCode>
                <c:ptCount val="20"/>
                <c:pt idx="0">
                  <c:v>0.1953416149068323</c:v>
                </c:pt>
                <c:pt idx="1">
                  <c:v>0.21737365536837833</c:v>
                </c:pt>
                <c:pt idx="2">
                  <c:v>0.23312589755864049</c:v>
                </c:pt>
                <c:pt idx="3">
                  <c:v>0.26513280001500766</c:v>
                </c:pt>
                <c:pt idx="4">
                  <c:v>0.2802144559375962</c:v>
                </c:pt>
                <c:pt idx="5">
                  <c:v>0.28994588436342922</c:v>
                </c:pt>
                <c:pt idx="6">
                  <c:v>0.29844961240310075</c:v>
                </c:pt>
                <c:pt idx="7">
                  <c:v>0.31529612270984236</c:v>
                </c:pt>
                <c:pt idx="8">
                  <c:v>0.3170103092783505</c:v>
                </c:pt>
                <c:pt idx="9">
                  <c:v>0.38254672583030791</c:v>
                </c:pt>
                <c:pt idx="10">
                  <c:v>0.38660110633066996</c:v>
                </c:pt>
                <c:pt idx="11">
                  <c:v>0.47800073150955363</c:v>
                </c:pt>
                <c:pt idx="12">
                  <c:v>0.47933425797503465</c:v>
                </c:pt>
                <c:pt idx="13">
                  <c:v>0.52957687316940538</c:v>
                </c:pt>
                <c:pt idx="14">
                  <c:v>0.54003039354399207</c:v>
                </c:pt>
                <c:pt idx="15">
                  <c:v>0.62317475270843148</c:v>
                </c:pt>
                <c:pt idx="16">
                  <c:v>0.68769251062874681</c:v>
                </c:pt>
                <c:pt idx="17">
                  <c:v>0.74201284429039349</c:v>
                </c:pt>
                <c:pt idx="18">
                  <c:v>0.75482980680772771</c:v>
                </c:pt>
                <c:pt idx="19">
                  <c:v>0.9442100109574989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0D2-4D8A-92DB-C7D0A2118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760055"/>
        <c:axId val="1403377331"/>
      </c:barChart>
      <c:catAx>
        <c:axId val="174176005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03377331"/>
        <c:crosses val="autoZero"/>
        <c:auto val="1"/>
        <c:lblAlgn val="ctr"/>
        <c:lblOffset val="100"/>
        <c:noMultiLvlLbl val="1"/>
      </c:catAx>
      <c:valAx>
        <c:axId val="140337733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4176005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'Auto Components &amp; Equipments'!$C$173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'Auto Components &amp; Equipments'!$B$174:$B$193</c:f>
              <c:strCache>
                <c:ptCount val="20"/>
                <c:pt idx="0">
                  <c:v>MSUMI</c:v>
                </c:pt>
                <c:pt idx="1">
                  <c:v>SCHAEFFLER</c:v>
                </c:pt>
                <c:pt idx="2">
                  <c:v>SONACOMS</c:v>
                </c:pt>
                <c:pt idx="3">
                  <c:v>TIINDIA</c:v>
                </c:pt>
                <c:pt idx="4">
                  <c:v>SUNDRMFAST</c:v>
                </c:pt>
                <c:pt idx="5">
                  <c:v>ZFCVINDIA</c:v>
                </c:pt>
                <c:pt idx="6">
                  <c:v>ARE&amp;M</c:v>
                </c:pt>
                <c:pt idx="7">
                  <c:v>BOSCHLTD</c:v>
                </c:pt>
                <c:pt idx="8">
                  <c:v>MINDACORP</c:v>
                </c:pt>
                <c:pt idx="9">
                  <c:v>UNOMINDA</c:v>
                </c:pt>
                <c:pt idx="10">
                  <c:v>ASAHIINDIA</c:v>
                </c:pt>
                <c:pt idx="11">
                  <c:v>ENDURANCE</c:v>
                </c:pt>
                <c:pt idx="12">
                  <c:v>HBLPOWER</c:v>
                </c:pt>
                <c:pt idx="13">
                  <c:v>CRAFTSMAN</c:v>
                </c:pt>
                <c:pt idx="14">
                  <c:v>EXIDEIND</c:v>
                </c:pt>
                <c:pt idx="15">
                  <c:v>TVSHLTD</c:v>
                </c:pt>
                <c:pt idx="16">
                  <c:v>JBMA</c:v>
                </c:pt>
                <c:pt idx="17">
                  <c:v>MOTHERSON</c:v>
                </c:pt>
                <c:pt idx="18">
                  <c:v>CIEINDIA</c:v>
                </c:pt>
                <c:pt idx="19">
                  <c:v>VARROC</c:v>
                </c:pt>
              </c:strCache>
            </c:strRef>
          </c:cat>
          <c:val>
            <c:numRef>
              <c:f>'Auto Components &amp; Equipments'!$C$174:$C$193</c:f>
              <c:numCache>
                <c:formatCode>0.0%</c:formatCode>
                <c:ptCount val="20"/>
                <c:pt idx="0">
                  <c:v>0.36988090898043502</c:v>
                </c:pt>
                <c:pt idx="1">
                  <c:v>0.18293444328824141</c:v>
                </c:pt>
                <c:pt idx="2">
                  <c:v>0.15850722311396467</c:v>
                </c:pt>
                <c:pt idx="3">
                  <c:v>0.22928635702914099</c:v>
                </c:pt>
                <c:pt idx="4">
                  <c:v>0.15659254619480112</c:v>
                </c:pt>
                <c:pt idx="5">
                  <c:v>0.12277992277992278</c:v>
                </c:pt>
                <c:pt idx="6">
                  <c:v>0.12261224143657731</c:v>
                </c:pt>
                <c:pt idx="7">
                  <c:v>0.12302512302512303</c:v>
                </c:pt>
                <c:pt idx="8">
                  <c:v>0.15130527437400107</c:v>
                </c:pt>
                <c:pt idx="9">
                  <c:v>0.14773230905599055</c:v>
                </c:pt>
                <c:pt idx="10">
                  <c:v>0.16309204647006256</c:v>
                </c:pt>
                <c:pt idx="11">
                  <c:v>0.10433456763232411</c:v>
                </c:pt>
                <c:pt idx="12">
                  <c:v>9.3992248062015504E-2</c:v>
                </c:pt>
                <c:pt idx="13">
                  <c:v>0.15697310819262039</c:v>
                </c:pt>
                <c:pt idx="14">
                  <c:v>6.5574555158013137E-2</c:v>
                </c:pt>
                <c:pt idx="15">
                  <c:v>0.55704137066443793</c:v>
                </c:pt>
                <c:pt idx="16">
                  <c:v>0.11727288932253796</c:v>
                </c:pt>
                <c:pt idx="17">
                  <c:v>6.8307380757782199E-2</c:v>
                </c:pt>
                <c:pt idx="18">
                  <c:v>-2.4246746300588339E-2</c:v>
                </c:pt>
                <c:pt idx="19">
                  <c:v>-0.7671361502347418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4C6-495C-909B-ED038228A645}"/>
            </c:ext>
          </c:extLst>
        </c:ser>
        <c:ser>
          <c:idx val="1"/>
          <c:order val="1"/>
          <c:tx>
            <c:strRef>
              <c:f>'Auto Components &amp; Equipments'!$D$173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'Auto Components &amp; Equipments'!$B$174:$B$193</c:f>
              <c:strCache>
                <c:ptCount val="20"/>
                <c:pt idx="0">
                  <c:v>MSUMI</c:v>
                </c:pt>
                <c:pt idx="1">
                  <c:v>SCHAEFFLER</c:v>
                </c:pt>
                <c:pt idx="2">
                  <c:v>SONACOMS</c:v>
                </c:pt>
                <c:pt idx="3">
                  <c:v>TIINDIA</c:v>
                </c:pt>
                <c:pt idx="4">
                  <c:v>SUNDRMFAST</c:v>
                </c:pt>
                <c:pt idx="5">
                  <c:v>ZFCVINDIA</c:v>
                </c:pt>
                <c:pt idx="6">
                  <c:v>ARE&amp;M</c:v>
                </c:pt>
                <c:pt idx="7">
                  <c:v>BOSCHLTD</c:v>
                </c:pt>
                <c:pt idx="8">
                  <c:v>MINDACORP</c:v>
                </c:pt>
                <c:pt idx="9">
                  <c:v>UNOMINDA</c:v>
                </c:pt>
                <c:pt idx="10">
                  <c:v>ASAHIINDIA</c:v>
                </c:pt>
                <c:pt idx="11">
                  <c:v>ENDURANCE</c:v>
                </c:pt>
                <c:pt idx="12">
                  <c:v>HBLPOWER</c:v>
                </c:pt>
                <c:pt idx="13">
                  <c:v>CRAFTSMAN</c:v>
                </c:pt>
                <c:pt idx="14">
                  <c:v>EXIDEIND</c:v>
                </c:pt>
                <c:pt idx="15">
                  <c:v>TVSHLTD</c:v>
                </c:pt>
                <c:pt idx="16">
                  <c:v>JBMA</c:v>
                </c:pt>
                <c:pt idx="17">
                  <c:v>MOTHERSON</c:v>
                </c:pt>
                <c:pt idx="18">
                  <c:v>CIEINDIA</c:v>
                </c:pt>
                <c:pt idx="19">
                  <c:v>VARROC</c:v>
                </c:pt>
              </c:strCache>
            </c:strRef>
          </c:cat>
          <c:val>
            <c:numRef>
              <c:f>'Auto Components &amp; Equipments'!$D$174:$D$193</c:f>
              <c:numCache>
                <c:formatCode>0.0%</c:formatCode>
                <c:ptCount val="20"/>
                <c:pt idx="0">
                  <c:v>0.17013397613932121</c:v>
                </c:pt>
                <c:pt idx="1">
                  <c:v>0.14025849688846337</c:v>
                </c:pt>
                <c:pt idx="2">
                  <c:v>0.11250356023924808</c:v>
                </c:pt>
                <c:pt idx="3">
                  <c:v>0.10786160501324459</c:v>
                </c:pt>
                <c:pt idx="4">
                  <c:v>0.10651896037494674</c:v>
                </c:pt>
                <c:pt idx="5">
                  <c:v>9.8757763975155274E-2</c:v>
                </c:pt>
                <c:pt idx="6">
                  <c:v>8.8254518911137614E-2</c:v>
                </c:pt>
                <c:pt idx="7">
                  <c:v>8.6300872093023256E-2</c:v>
                </c:pt>
                <c:pt idx="8">
                  <c:v>7.877947295423024E-2</c:v>
                </c:pt>
                <c:pt idx="9">
                  <c:v>7.7116971021645622E-2</c:v>
                </c:pt>
                <c:pt idx="10">
                  <c:v>7.4081591231987015E-2</c:v>
                </c:pt>
                <c:pt idx="11">
                  <c:v>6.4407691273362919E-2</c:v>
                </c:pt>
                <c:pt idx="12">
                  <c:v>6.25E-2</c:v>
                </c:pt>
                <c:pt idx="13">
                  <c:v>5.9114460668864811E-2</c:v>
                </c:pt>
                <c:pt idx="14">
                  <c:v>4.8188589739230556E-2</c:v>
                </c:pt>
                <c:pt idx="15">
                  <c:v>3.1077331965588789E-2</c:v>
                </c:pt>
                <c:pt idx="16">
                  <c:v>2.9798372293711829E-2</c:v>
                </c:pt>
                <c:pt idx="17">
                  <c:v>2.1332906589989205E-2</c:v>
                </c:pt>
                <c:pt idx="18">
                  <c:v>-1.3931571399303422E-2</c:v>
                </c:pt>
                <c:pt idx="19">
                  <c:v>-0.18790248390064399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4C6-495C-909B-ED038228A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1843343"/>
        <c:axId val="1778355047"/>
      </c:barChart>
      <c:catAx>
        <c:axId val="197184334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78355047"/>
        <c:crosses val="autoZero"/>
        <c:auto val="1"/>
        <c:lblAlgn val="ctr"/>
        <c:lblOffset val="100"/>
        <c:noMultiLvlLbl val="1"/>
      </c:catAx>
      <c:valAx>
        <c:axId val="177835504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71843343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'Auto Components &amp; Equipments'!$G$16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3E1E-45A5-8B72-372C3C31B1F6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3E1E-45A5-8B72-372C3C31B1F6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3E1E-45A5-8B72-372C3C31B1F6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3E1E-45A5-8B72-372C3C31B1F6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3E1E-45A5-8B72-372C3C31B1F6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3E1E-45A5-8B72-372C3C31B1F6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3E1E-45A5-8B72-372C3C31B1F6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3E1E-45A5-8B72-372C3C31B1F6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3E1E-45A5-8B72-372C3C31B1F6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3E1E-45A5-8B72-372C3C31B1F6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3E1E-45A5-8B72-372C3C31B1F6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3E1E-45A5-8B72-372C3C31B1F6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3E1E-45A5-8B72-372C3C31B1F6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3E1E-45A5-8B72-372C3C31B1F6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3E1E-45A5-8B72-372C3C31B1F6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3E1E-45A5-8B72-372C3C31B1F6}"/>
              </c:ext>
            </c:extLst>
          </c:dPt>
          <c:dPt>
            <c:idx val="16"/>
            <c:bubble3D val="0"/>
            <c:spPr>
              <a:solidFill>
                <a:srgbClr val="FFC599"/>
              </a:solidFill>
            </c:spPr>
            <c:extLst>
              <c:ext xmlns:c16="http://schemas.microsoft.com/office/drawing/2014/chart" uri="{C3380CC4-5D6E-409C-BE32-E72D297353CC}">
                <c16:uniqueId val="{00000021-3E1E-45A5-8B72-372C3C31B1F6}"/>
              </c:ext>
            </c:extLst>
          </c:dPt>
          <c:dPt>
            <c:idx val="17"/>
            <c:bubble3D val="0"/>
            <c:spPr>
              <a:solidFill>
                <a:srgbClr val="B5E5E8"/>
              </a:solidFill>
            </c:spPr>
            <c:extLst>
              <c:ext xmlns:c16="http://schemas.microsoft.com/office/drawing/2014/chart" uri="{C3380CC4-5D6E-409C-BE32-E72D297353CC}">
                <c16:uniqueId val="{00000023-3E1E-45A5-8B72-372C3C31B1F6}"/>
              </c:ext>
            </c:extLst>
          </c:dPt>
          <c:dPt>
            <c:idx val="18"/>
            <c:bubble3D val="0"/>
            <c:spPr>
              <a:solidFill>
                <a:srgbClr val="ECF3FE"/>
              </a:solidFill>
            </c:spPr>
            <c:extLst>
              <c:ext xmlns:c16="http://schemas.microsoft.com/office/drawing/2014/chart" uri="{C3380CC4-5D6E-409C-BE32-E72D297353CC}">
                <c16:uniqueId val="{00000025-3E1E-45A5-8B72-372C3C31B1F6}"/>
              </c:ext>
            </c:extLst>
          </c:dPt>
          <c:dPt>
            <c:idx val="19"/>
            <c:bubble3D val="0"/>
            <c:spPr>
              <a:solidFill>
                <a:srgbClr val="FDECEB"/>
              </a:solidFill>
            </c:spPr>
            <c:extLst>
              <c:ext xmlns:c16="http://schemas.microsoft.com/office/drawing/2014/chart" uri="{C3380CC4-5D6E-409C-BE32-E72D297353CC}">
                <c16:uniqueId val="{00000027-3E1E-45A5-8B72-372C3C31B1F6}"/>
              </c:ext>
            </c:extLst>
          </c:dPt>
          <c:dPt>
            <c:idx val="20"/>
            <c:bubble3D val="0"/>
            <c:spPr>
              <a:solidFill>
                <a:srgbClr val="FFF8E6"/>
              </a:solidFill>
            </c:spPr>
            <c:extLst>
              <c:ext xmlns:c16="http://schemas.microsoft.com/office/drawing/2014/chart" uri="{C3380CC4-5D6E-409C-BE32-E72D297353CC}">
                <c16:uniqueId val="{00000029-3E1E-45A5-8B72-372C3C31B1F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'Auto Components &amp; Equipments'!$F$17:$F$37</c:f>
              <c:strCache>
                <c:ptCount val="21"/>
                <c:pt idx="0">
                  <c:v>MOTHERSON</c:v>
                </c:pt>
                <c:pt idx="1">
                  <c:v>OTHER_99</c:v>
                </c:pt>
                <c:pt idx="2">
                  <c:v>TVSHLTD</c:v>
                </c:pt>
                <c:pt idx="3">
                  <c:v>EXIDEIND</c:v>
                </c:pt>
                <c:pt idx="4">
                  <c:v>BOSCHLTD</c:v>
                </c:pt>
                <c:pt idx="5">
                  <c:v>TIINDIA</c:v>
                </c:pt>
                <c:pt idx="6">
                  <c:v>UNOMINDA</c:v>
                </c:pt>
                <c:pt idx="7">
                  <c:v>ARE&amp;M</c:v>
                </c:pt>
                <c:pt idx="8">
                  <c:v>ENDURANCE</c:v>
                </c:pt>
                <c:pt idx="9">
                  <c:v>CIEINDIA</c:v>
                </c:pt>
                <c:pt idx="10">
                  <c:v>MSUMI</c:v>
                </c:pt>
                <c:pt idx="11">
                  <c:v>SCHAEFFLER</c:v>
                </c:pt>
                <c:pt idx="12">
                  <c:v>VARROC</c:v>
                </c:pt>
                <c:pt idx="13">
                  <c:v>SUNDRMFAST</c:v>
                </c:pt>
                <c:pt idx="14">
                  <c:v>MINDACORP</c:v>
                </c:pt>
                <c:pt idx="15">
                  <c:v>ASAHIINDIA</c:v>
                </c:pt>
                <c:pt idx="16">
                  <c:v>JBMA</c:v>
                </c:pt>
                <c:pt idx="17">
                  <c:v>ZFCVINDIA</c:v>
                </c:pt>
                <c:pt idx="18">
                  <c:v>CRAFTSMAN</c:v>
                </c:pt>
                <c:pt idx="19">
                  <c:v>SONACOMS</c:v>
                </c:pt>
                <c:pt idx="20">
                  <c:v>HBLPOWER</c:v>
                </c:pt>
              </c:strCache>
            </c:strRef>
          </c:cat>
          <c:val>
            <c:numRef>
              <c:f>'Auto Components &amp; Equipments'!$G$17:$G$37</c:f>
              <c:numCache>
                <c:formatCode>General</c:formatCode>
                <c:ptCount val="21"/>
                <c:pt idx="0">
                  <c:v>77870</c:v>
                </c:pt>
                <c:pt idx="1">
                  <c:v>55000</c:v>
                </c:pt>
                <c:pt idx="2">
                  <c:v>33564</c:v>
                </c:pt>
                <c:pt idx="3">
                  <c:v>15078</c:v>
                </c:pt>
                <c:pt idx="4">
                  <c:v>14929</c:v>
                </c:pt>
                <c:pt idx="5">
                  <c:v>14431</c:v>
                </c:pt>
                <c:pt idx="6">
                  <c:v>11236</c:v>
                </c:pt>
                <c:pt idx="7">
                  <c:v>10388</c:v>
                </c:pt>
                <c:pt idx="8">
                  <c:v>8804</c:v>
                </c:pt>
                <c:pt idx="9">
                  <c:v>8753</c:v>
                </c:pt>
                <c:pt idx="10">
                  <c:v>7057</c:v>
                </c:pt>
                <c:pt idx="11">
                  <c:v>6867</c:v>
                </c:pt>
                <c:pt idx="12">
                  <c:v>6863</c:v>
                </c:pt>
                <c:pt idx="13">
                  <c:v>5662</c:v>
                </c:pt>
                <c:pt idx="14">
                  <c:v>4300</c:v>
                </c:pt>
                <c:pt idx="15">
                  <c:v>4018</c:v>
                </c:pt>
                <c:pt idx="16">
                  <c:v>3857</c:v>
                </c:pt>
                <c:pt idx="17">
                  <c:v>3445</c:v>
                </c:pt>
                <c:pt idx="18">
                  <c:v>3182</c:v>
                </c:pt>
                <c:pt idx="19">
                  <c:v>2675</c:v>
                </c:pt>
                <c:pt idx="20">
                  <c:v>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3E1E-45A5-8B72-372C3C31B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 vs TO_20_COMPANIES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'Auto Components &amp; Equipments'!$K$16</c:f>
              <c:strCache>
                <c:ptCount val="1"/>
                <c:pt idx="0">
                  <c:v>PROFIT_23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'Auto Components &amp; Equipments'!$J$17:$J$37</c:f>
              <c:strCache>
                <c:ptCount val="21"/>
                <c:pt idx="0">
                  <c:v>OTHER_99</c:v>
                </c:pt>
                <c:pt idx="1">
                  <c:v>MOTHERSON</c:v>
                </c:pt>
                <c:pt idx="2">
                  <c:v>BOSCHLTD</c:v>
                </c:pt>
                <c:pt idx="3">
                  <c:v>TVSHLTD</c:v>
                </c:pt>
                <c:pt idx="4">
                  <c:v>TIINDIA</c:v>
                </c:pt>
                <c:pt idx="5">
                  <c:v>SCHAEFFLER</c:v>
                </c:pt>
                <c:pt idx="6">
                  <c:v>EXIDEIND</c:v>
                </c:pt>
                <c:pt idx="7">
                  <c:v>UNOMINDA</c:v>
                </c:pt>
                <c:pt idx="8">
                  <c:v>ARE&amp;M</c:v>
                </c:pt>
                <c:pt idx="9">
                  <c:v>SUNDRMFAST</c:v>
                </c:pt>
                <c:pt idx="10">
                  <c:v>MSUMI</c:v>
                </c:pt>
                <c:pt idx="11">
                  <c:v>ENDURANCE</c:v>
                </c:pt>
                <c:pt idx="12">
                  <c:v>SONACOMS</c:v>
                </c:pt>
                <c:pt idx="13">
                  <c:v>ASAHIINDIA</c:v>
                </c:pt>
                <c:pt idx="14">
                  <c:v>ZFCVINDIA</c:v>
                </c:pt>
                <c:pt idx="15">
                  <c:v>MINDACORP</c:v>
                </c:pt>
                <c:pt idx="16">
                  <c:v>CRAFTSMAN</c:v>
                </c:pt>
                <c:pt idx="17">
                  <c:v>JBMA</c:v>
                </c:pt>
                <c:pt idx="18">
                  <c:v>HBLPOWER</c:v>
                </c:pt>
                <c:pt idx="19">
                  <c:v>CIEINDIA</c:v>
                </c:pt>
                <c:pt idx="20">
                  <c:v>VARROC</c:v>
                </c:pt>
              </c:strCache>
            </c:strRef>
          </c:cat>
          <c:val>
            <c:numRef>
              <c:f>'Auto Components &amp; Equipments'!$K$17:$K$37</c:f>
              <c:numCache>
                <c:formatCode>General</c:formatCode>
                <c:ptCount val="21"/>
                <c:pt idx="0">
                  <c:v>3364</c:v>
                </c:pt>
                <c:pt idx="1">
                  <c:v>1669</c:v>
                </c:pt>
                <c:pt idx="2">
                  <c:v>1425</c:v>
                </c:pt>
                <c:pt idx="3">
                  <c:v>1333</c:v>
                </c:pt>
                <c:pt idx="4">
                  <c:v>1325</c:v>
                </c:pt>
                <c:pt idx="5">
                  <c:v>879</c:v>
                </c:pt>
                <c:pt idx="6">
                  <c:v>822</c:v>
                </c:pt>
                <c:pt idx="7">
                  <c:v>700</c:v>
                </c:pt>
                <c:pt idx="8">
                  <c:v>694</c:v>
                </c:pt>
                <c:pt idx="9">
                  <c:v>500</c:v>
                </c:pt>
                <c:pt idx="10">
                  <c:v>487</c:v>
                </c:pt>
                <c:pt idx="11">
                  <c:v>479</c:v>
                </c:pt>
                <c:pt idx="12">
                  <c:v>395</c:v>
                </c:pt>
                <c:pt idx="13">
                  <c:v>365</c:v>
                </c:pt>
                <c:pt idx="14">
                  <c:v>318</c:v>
                </c:pt>
                <c:pt idx="15">
                  <c:v>284</c:v>
                </c:pt>
                <c:pt idx="16">
                  <c:v>251</c:v>
                </c:pt>
                <c:pt idx="17">
                  <c:v>125</c:v>
                </c:pt>
                <c:pt idx="18">
                  <c:v>97</c:v>
                </c:pt>
                <c:pt idx="19">
                  <c:v>-136</c:v>
                </c:pt>
                <c:pt idx="20">
                  <c:v>-817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900-4E39-8DE4-A17960C8B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597102"/>
        <c:axId val="1985141441"/>
      </c:barChart>
      <c:catAx>
        <c:axId val="10125971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TO_20_COMPANIES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5141441"/>
        <c:crosses val="autoZero"/>
        <c:auto val="1"/>
        <c:lblAlgn val="ctr"/>
        <c:lblOffset val="100"/>
        <c:noMultiLvlLbl val="1"/>
      </c:catAx>
      <c:valAx>
        <c:axId val="19851414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125971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5Y SALES GR: INDUSTRY 8.2%</a:t>
            </a:r>
          </a:p>
        </c:rich>
      </c:tx>
      <c:layout>
        <c:manualLayout>
          <c:xMode val="edge"/>
          <c:yMode val="edge"/>
          <c:x val="4.8877551020408166E-2"/>
          <c:y val="4.5824634655532367E-2"/>
        </c:manualLayout>
      </c:layout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'Auto Components &amp; Equipments'!$C$56</c:f>
              <c:strCache>
                <c:ptCount val="1"/>
                <c:pt idx="0">
                  <c:v>5Y 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'Auto Components &amp; Equipments'!$B$57:$B$76</c:f>
              <c:strCache>
                <c:ptCount val="20"/>
                <c:pt idx="0">
                  <c:v>SONACOMS</c:v>
                </c:pt>
                <c:pt idx="1">
                  <c:v>TIINDIA</c:v>
                </c:pt>
                <c:pt idx="2">
                  <c:v>UNOMINDA</c:v>
                </c:pt>
                <c:pt idx="3">
                  <c:v>JBMA</c:v>
                </c:pt>
                <c:pt idx="4">
                  <c:v>CRAFTSMAN</c:v>
                </c:pt>
                <c:pt idx="5">
                  <c:v>TVSHLTD</c:v>
                </c:pt>
                <c:pt idx="6">
                  <c:v>ARE&amp;M</c:v>
                </c:pt>
                <c:pt idx="7">
                  <c:v>MINDACORP</c:v>
                </c:pt>
                <c:pt idx="8">
                  <c:v>MSUMI</c:v>
                </c:pt>
                <c:pt idx="9">
                  <c:v>SCHAEFFLER</c:v>
                </c:pt>
                <c:pt idx="10">
                  <c:v>ASAHIINDIA</c:v>
                </c:pt>
                <c:pt idx="11">
                  <c:v>SUNDRMFAST</c:v>
                </c:pt>
                <c:pt idx="12">
                  <c:v>MOTHERSON</c:v>
                </c:pt>
                <c:pt idx="13">
                  <c:v>ENDURANCE</c:v>
                </c:pt>
                <c:pt idx="14">
                  <c:v>ZFCVINDIA</c:v>
                </c:pt>
                <c:pt idx="15">
                  <c:v>BOSCHLTD</c:v>
                </c:pt>
                <c:pt idx="16">
                  <c:v>EXIDEIND</c:v>
                </c:pt>
                <c:pt idx="17">
                  <c:v>CIEINDIA</c:v>
                </c:pt>
                <c:pt idx="18">
                  <c:v>HBLPOWER</c:v>
                </c:pt>
                <c:pt idx="19">
                  <c:v>VARROC</c:v>
                </c:pt>
              </c:strCache>
            </c:strRef>
          </c:cat>
          <c:val>
            <c:numRef>
              <c:f>'Auto Components &amp; Equipments'!$C$57:$C$76</c:f>
              <c:numCache>
                <c:formatCode>0.0%</c:formatCode>
                <c:ptCount val="20"/>
                <c:pt idx="0">
                  <c:v>0.33834212537965591</c:v>
                </c:pt>
                <c:pt idx="1">
                  <c:v>0.24420004584416444</c:v>
                </c:pt>
                <c:pt idx="2">
                  <c:v>0.19827984591913639</c:v>
                </c:pt>
                <c:pt idx="3">
                  <c:v>0.17985031074799696</c:v>
                </c:pt>
                <c:pt idx="4">
                  <c:v>0.16061222878508286</c:v>
                </c:pt>
                <c:pt idx="5">
                  <c:v>0.13887966370438187</c:v>
                </c:pt>
                <c:pt idx="6">
                  <c:v>0.10759477738118961</c:v>
                </c:pt>
                <c:pt idx="7">
                  <c:v>0.1029036327504369</c:v>
                </c:pt>
                <c:pt idx="8">
                  <c:v>9.4990309403052864E-2</c:v>
                </c:pt>
                <c:pt idx="9">
                  <c:v>8.5278988699844405E-2</c:v>
                </c:pt>
                <c:pt idx="10">
                  <c:v>8.444478287496171E-2</c:v>
                </c:pt>
                <c:pt idx="11">
                  <c:v>7.8129836184553714E-2</c:v>
                </c:pt>
                <c:pt idx="12">
                  <c:v>6.6183770863060376E-2</c:v>
                </c:pt>
                <c:pt idx="13">
                  <c:v>5.7214095749748006E-2</c:v>
                </c:pt>
                <c:pt idx="14">
                  <c:v>5.716561609565729E-2</c:v>
                </c:pt>
                <c:pt idx="15">
                  <c:v>4.6890758411812783E-2</c:v>
                </c:pt>
                <c:pt idx="16">
                  <c:v>2.8807019679515822E-2</c:v>
                </c:pt>
                <c:pt idx="17">
                  <c:v>1.6381329746904871E-2</c:v>
                </c:pt>
                <c:pt idx="18">
                  <c:v>-3.4912236790558437E-2</c:v>
                </c:pt>
                <c:pt idx="19">
                  <c:v>-7.9380718571995579E-2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0A5-4341-9768-6F5C33191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133198"/>
        <c:axId val="1042608825"/>
      </c:barChart>
      <c:catAx>
        <c:axId val="13513319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2608825"/>
        <c:crosses val="autoZero"/>
        <c:auto val="1"/>
        <c:lblAlgn val="ctr"/>
        <c:lblOffset val="100"/>
        <c:noMultiLvlLbl val="1"/>
      </c:catAx>
      <c:valAx>
        <c:axId val="104260882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5Y 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133198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vs COMPANIES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'Auto Components &amp; Equipments'!$K$56</c:f>
              <c:strCache>
                <c:ptCount val="1"/>
                <c:pt idx="0">
                  <c:v>CY_SALES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'Auto Components &amp; Equipments'!$J$57:$J$76</c:f>
              <c:strCache>
                <c:ptCount val="20"/>
                <c:pt idx="0">
                  <c:v>HBLPOWER</c:v>
                </c:pt>
                <c:pt idx="1">
                  <c:v>CRAFTSMAN</c:v>
                </c:pt>
                <c:pt idx="2">
                  <c:v>MOTHERSON</c:v>
                </c:pt>
                <c:pt idx="3">
                  <c:v>JBMA</c:v>
                </c:pt>
                <c:pt idx="4">
                  <c:v>UNOMINDA</c:v>
                </c:pt>
                <c:pt idx="5">
                  <c:v>TVSHLTD</c:v>
                </c:pt>
                <c:pt idx="6">
                  <c:v>SONACOMS</c:v>
                </c:pt>
                <c:pt idx="7">
                  <c:v>MSUMI</c:v>
                </c:pt>
                <c:pt idx="8">
                  <c:v>TIINDIA</c:v>
                </c:pt>
                <c:pt idx="9">
                  <c:v>ENDURANCE</c:v>
                </c:pt>
                <c:pt idx="10">
                  <c:v>BOSCHLTD</c:v>
                </c:pt>
                <c:pt idx="11">
                  <c:v>ZFCVINDIA</c:v>
                </c:pt>
                <c:pt idx="12">
                  <c:v>EXIDEIND</c:v>
                </c:pt>
                <c:pt idx="13">
                  <c:v>ASAHIINDIA</c:v>
                </c:pt>
                <c:pt idx="14">
                  <c:v>CIEINDIA</c:v>
                </c:pt>
                <c:pt idx="15">
                  <c:v>VARROC</c:v>
                </c:pt>
                <c:pt idx="16">
                  <c:v>SCHAEFFLER</c:v>
                </c:pt>
                <c:pt idx="17">
                  <c:v>MINDACORP</c:v>
                </c:pt>
                <c:pt idx="18">
                  <c:v>ARE&amp;M</c:v>
                </c:pt>
                <c:pt idx="19">
                  <c:v>SUNDRMFAST</c:v>
                </c:pt>
              </c:strCache>
            </c:strRef>
          </c:cat>
          <c:val>
            <c:numRef>
              <c:f>'Auto Components &amp; Equipments'!$K$57:$K$76</c:f>
              <c:numCache>
                <c:formatCode>0.0%</c:formatCode>
                <c:ptCount val="20"/>
                <c:pt idx="0">
                  <c:v>0.48099415204678353</c:v>
                </c:pt>
                <c:pt idx="1">
                  <c:v>0.35983658076681335</c:v>
                </c:pt>
                <c:pt idx="2">
                  <c:v>0.20855271606523695</c:v>
                </c:pt>
                <c:pt idx="3">
                  <c:v>0.17526575058335503</c:v>
                </c:pt>
                <c:pt idx="4">
                  <c:v>0.16820932716269144</c:v>
                </c:pt>
                <c:pt idx="5">
                  <c:v>0.14402335836014779</c:v>
                </c:pt>
                <c:pt idx="6">
                  <c:v>0.13757009345794402</c:v>
                </c:pt>
                <c:pt idx="7">
                  <c:v>0.1258325067309054</c:v>
                </c:pt>
                <c:pt idx="8">
                  <c:v>0.12105883168179621</c:v>
                </c:pt>
                <c:pt idx="9">
                  <c:v>0.11199454793275776</c:v>
                </c:pt>
                <c:pt idx="10">
                  <c:v>0.10904950097126398</c:v>
                </c:pt>
                <c:pt idx="11">
                  <c:v>0.10449927431059503</c:v>
                </c:pt>
                <c:pt idx="12">
                  <c:v>7.9320864836185168E-2</c:v>
                </c:pt>
                <c:pt idx="13">
                  <c:v>7.6157292185166758E-2</c:v>
                </c:pt>
                <c:pt idx="14">
                  <c:v>6.0207928710156455E-2</c:v>
                </c:pt>
                <c:pt idx="15">
                  <c:v>5.8866384962844132E-2</c:v>
                </c:pt>
                <c:pt idx="16">
                  <c:v>5.227901558176784E-2</c:v>
                </c:pt>
                <c:pt idx="17">
                  <c:v>4.9069767441860535E-2</c:v>
                </c:pt>
                <c:pt idx="18">
                  <c:v>4.8421255294570642E-2</c:v>
                </c:pt>
                <c:pt idx="19">
                  <c:v>-2.4726245143058545E-3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BE7-4B74-9BD6-73D67974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09403"/>
        <c:axId val="932452015"/>
      </c:barChart>
      <c:catAx>
        <c:axId val="33530940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2452015"/>
        <c:crosses val="autoZero"/>
        <c:auto val="1"/>
        <c:lblAlgn val="ctr"/>
        <c:lblOffset val="100"/>
        <c:noMultiLvlLbl val="1"/>
      </c:catAx>
      <c:valAx>
        <c:axId val="93245201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CY_SALES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5309403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'Auto Components &amp; Equipments'!$C$81</c:f>
              <c:strCache>
                <c:ptCount val="1"/>
                <c:pt idx="0">
                  <c:v>MARGIN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'Auto Components &amp; Equipments'!$B$82:$B$101</c:f>
              <c:strCache>
                <c:ptCount val="20"/>
                <c:pt idx="0">
                  <c:v>SONACOMS</c:v>
                </c:pt>
                <c:pt idx="1">
                  <c:v>SCHAEFFLER</c:v>
                </c:pt>
                <c:pt idx="2">
                  <c:v>BOSCHLTD</c:v>
                </c:pt>
                <c:pt idx="3">
                  <c:v>ZFCVINDIA</c:v>
                </c:pt>
                <c:pt idx="4">
                  <c:v>TIINDIA</c:v>
                </c:pt>
                <c:pt idx="5">
                  <c:v>ASAHIINDIA</c:v>
                </c:pt>
                <c:pt idx="6">
                  <c:v>SUNDRMFAST</c:v>
                </c:pt>
                <c:pt idx="7">
                  <c:v>CRAFTSMAN</c:v>
                </c:pt>
                <c:pt idx="8">
                  <c:v>HBLPOWER</c:v>
                </c:pt>
                <c:pt idx="9">
                  <c:v>MSUMI</c:v>
                </c:pt>
                <c:pt idx="10">
                  <c:v>ARE&amp;M</c:v>
                </c:pt>
                <c:pt idx="11">
                  <c:v>MINDACORP</c:v>
                </c:pt>
                <c:pt idx="12">
                  <c:v>UNOMINDA</c:v>
                </c:pt>
                <c:pt idx="13">
                  <c:v>EXIDEIND</c:v>
                </c:pt>
                <c:pt idx="14">
                  <c:v>ENDURANCE</c:v>
                </c:pt>
                <c:pt idx="15">
                  <c:v>TVSHLTD</c:v>
                </c:pt>
                <c:pt idx="16">
                  <c:v>JBMA</c:v>
                </c:pt>
                <c:pt idx="17">
                  <c:v>MOTHERSON</c:v>
                </c:pt>
                <c:pt idx="18">
                  <c:v>CIEINDIA</c:v>
                </c:pt>
                <c:pt idx="19">
                  <c:v>VARROC</c:v>
                </c:pt>
              </c:strCache>
            </c:strRef>
          </c:cat>
          <c:val>
            <c:numRef>
              <c:f>'Auto Components &amp; Equipments'!$C$82:$C$101</c:f>
              <c:numCache>
                <c:formatCode>0.0%</c:formatCode>
                <c:ptCount val="20"/>
                <c:pt idx="0">
                  <c:v>0.14766355140186915</c:v>
                </c:pt>
                <c:pt idx="1">
                  <c:v>0.12800349497597205</c:v>
                </c:pt>
                <c:pt idx="2">
                  <c:v>9.5451805211333646E-2</c:v>
                </c:pt>
                <c:pt idx="3">
                  <c:v>9.2307692307692313E-2</c:v>
                </c:pt>
                <c:pt idx="4">
                  <c:v>9.1816228951562606E-2</c:v>
                </c:pt>
                <c:pt idx="5">
                  <c:v>9.0841214534594331E-2</c:v>
                </c:pt>
                <c:pt idx="6">
                  <c:v>8.8308018368067814E-2</c:v>
                </c:pt>
                <c:pt idx="7">
                  <c:v>7.8881206788183528E-2</c:v>
                </c:pt>
                <c:pt idx="8">
                  <c:v>7.0906432748538015E-2</c:v>
                </c:pt>
                <c:pt idx="9">
                  <c:v>6.900949411931416E-2</c:v>
                </c:pt>
                <c:pt idx="10">
                  <c:v>6.680785521755872E-2</c:v>
                </c:pt>
                <c:pt idx="11">
                  <c:v>6.6046511627906979E-2</c:v>
                </c:pt>
                <c:pt idx="12">
                  <c:v>6.2299750800996798E-2</c:v>
                </c:pt>
                <c:pt idx="13">
                  <c:v>5.451651412654198E-2</c:v>
                </c:pt>
                <c:pt idx="14">
                  <c:v>5.4407087687414812E-2</c:v>
                </c:pt>
                <c:pt idx="15">
                  <c:v>3.9715171016565368E-2</c:v>
                </c:pt>
                <c:pt idx="16">
                  <c:v>3.2408607726212083E-2</c:v>
                </c:pt>
                <c:pt idx="17">
                  <c:v>2.143315782714781E-2</c:v>
                </c:pt>
                <c:pt idx="18">
                  <c:v>-1.5537529989717811E-2</c:v>
                </c:pt>
                <c:pt idx="19">
                  <c:v>-0.11904414978872213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2F3-403C-AED9-42F2D65B4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624731"/>
        <c:axId val="1640600559"/>
      </c:barChart>
      <c:catAx>
        <c:axId val="125362473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40600559"/>
        <c:crosses val="autoZero"/>
        <c:auto val="1"/>
        <c:lblAlgn val="ctr"/>
        <c:lblOffset val="100"/>
        <c:noMultiLvlLbl val="1"/>
      </c:catAx>
      <c:valAx>
        <c:axId val="164060055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3624731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'Auto Components &amp; Equipments'!$G$81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'Auto Components &amp; Equipments'!$F$82:$F$101</c:f>
              <c:strCache>
                <c:ptCount val="20"/>
                <c:pt idx="0">
                  <c:v>ZFCVINDIA</c:v>
                </c:pt>
                <c:pt idx="1">
                  <c:v>SCHAEFFLER</c:v>
                </c:pt>
                <c:pt idx="2">
                  <c:v>ARE&amp;M</c:v>
                </c:pt>
                <c:pt idx="3">
                  <c:v>BOSCHLTD</c:v>
                </c:pt>
                <c:pt idx="4">
                  <c:v>SONACOMS</c:v>
                </c:pt>
                <c:pt idx="5">
                  <c:v>SUNDRMFAST</c:v>
                </c:pt>
                <c:pt idx="6">
                  <c:v>EXIDEIND</c:v>
                </c:pt>
                <c:pt idx="7">
                  <c:v>MSUMI</c:v>
                </c:pt>
                <c:pt idx="8">
                  <c:v>TIINDIA</c:v>
                </c:pt>
                <c:pt idx="9">
                  <c:v>ENDURANCE</c:v>
                </c:pt>
                <c:pt idx="10">
                  <c:v>MINDACORP</c:v>
                </c:pt>
                <c:pt idx="11">
                  <c:v>UNOMINDA</c:v>
                </c:pt>
                <c:pt idx="12">
                  <c:v>CRAFTSMAN</c:v>
                </c:pt>
                <c:pt idx="13">
                  <c:v>ASAHIINDIA</c:v>
                </c:pt>
                <c:pt idx="14">
                  <c:v>TVSHLTD</c:v>
                </c:pt>
                <c:pt idx="15">
                  <c:v>CIEINDIA</c:v>
                </c:pt>
                <c:pt idx="16">
                  <c:v>JBMA</c:v>
                </c:pt>
                <c:pt idx="17">
                  <c:v>MOTHERSON</c:v>
                </c:pt>
                <c:pt idx="18">
                  <c:v>VARROC</c:v>
                </c:pt>
                <c:pt idx="19">
                  <c:v>HBLPOWER</c:v>
                </c:pt>
              </c:strCache>
            </c:strRef>
          </c:cat>
          <c:val>
            <c:numRef>
              <c:f>'Auto Components &amp; Equipments'!$G$82:$G$101</c:f>
              <c:numCache>
                <c:formatCode>0.0</c:formatCode>
                <c:ptCount val="20"/>
                <c:pt idx="0">
                  <c:v>4.376363636363636</c:v>
                </c:pt>
                <c:pt idx="1">
                  <c:v>2.9224199288256227</c:v>
                </c:pt>
                <c:pt idx="2">
                  <c:v>2.1801399230204073</c:v>
                </c:pt>
                <c:pt idx="3">
                  <c:v>2.0142610198789974</c:v>
                </c:pt>
                <c:pt idx="4">
                  <c:v>1.8957746478873239</c:v>
                </c:pt>
                <c:pt idx="5">
                  <c:v>1.884485666104553</c:v>
                </c:pt>
                <c:pt idx="6">
                  <c:v>1.6633927913319082</c:v>
                </c:pt>
                <c:pt idx="7">
                  <c:v>1.659739856338575</c:v>
                </c:pt>
                <c:pt idx="8">
                  <c:v>1.6596411068941377</c:v>
                </c:pt>
                <c:pt idx="9">
                  <c:v>1.6585585585585585</c:v>
                </c:pt>
                <c:pt idx="10">
                  <c:v>1.2445935868754661</c:v>
                </c:pt>
                <c:pt idx="11">
                  <c:v>1.215556093282115</c:v>
                </c:pt>
                <c:pt idx="12">
                  <c:v>1.1930937279774489</c:v>
                </c:pt>
                <c:pt idx="13">
                  <c:v>1.0963855421686748</c:v>
                </c:pt>
                <c:pt idx="14">
                  <c:v>1.0158244222145567</c:v>
                </c:pt>
                <c:pt idx="15">
                  <c:v>1.0141798259748631</c:v>
                </c:pt>
                <c:pt idx="16">
                  <c:v>1.0129586730911786</c:v>
                </c:pt>
                <c:pt idx="17">
                  <c:v>0.95089169688177988</c:v>
                </c:pt>
                <c:pt idx="18">
                  <c:v>0.6926263463131731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1D7-4EFB-88F9-66C757A62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5776538"/>
        <c:axId val="935791679"/>
      </c:barChart>
      <c:catAx>
        <c:axId val="191577653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5791679"/>
        <c:crosses val="autoZero"/>
        <c:auto val="1"/>
        <c:lblAlgn val="ctr"/>
        <c:lblOffset val="100"/>
        <c:noMultiLvlLbl val="1"/>
      </c:catAx>
      <c:valAx>
        <c:axId val="93579167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15776538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'Auto Components &amp; Equipments'!$K$81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'Auto Components &amp; Equipments'!$J$82:$J$101</c:f>
              <c:strCache>
                <c:ptCount val="20"/>
                <c:pt idx="0">
                  <c:v>TVSHLTD</c:v>
                </c:pt>
                <c:pt idx="1">
                  <c:v>CIEINDIA</c:v>
                </c:pt>
                <c:pt idx="2">
                  <c:v>VARROC</c:v>
                </c:pt>
                <c:pt idx="3">
                  <c:v>EXIDEIND</c:v>
                </c:pt>
                <c:pt idx="4">
                  <c:v>ASAHIINDIA</c:v>
                </c:pt>
                <c:pt idx="5">
                  <c:v>ARE&amp;M</c:v>
                </c:pt>
                <c:pt idx="6">
                  <c:v>MSUMI</c:v>
                </c:pt>
                <c:pt idx="7">
                  <c:v>JBMA</c:v>
                </c:pt>
                <c:pt idx="8">
                  <c:v>BOSCHLTD</c:v>
                </c:pt>
                <c:pt idx="9">
                  <c:v>ENDURANCE</c:v>
                </c:pt>
                <c:pt idx="10">
                  <c:v>SCHAEFFLER</c:v>
                </c:pt>
                <c:pt idx="11">
                  <c:v>TIINDIA</c:v>
                </c:pt>
                <c:pt idx="12">
                  <c:v>UNOMINDA</c:v>
                </c:pt>
                <c:pt idx="13">
                  <c:v>MINDACORP</c:v>
                </c:pt>
                <c:pt idx="14">
                  <c:v>CRAFTSMAN</c:v>
                </c:pt>
                <c:pt idx="15">
                  <c:v>SUNDRMFAST</c:v>
                </c:pt>
                <c:pt idx="16">
                  <c:v>MOTHERSON</c:v>
                </c:pt>
                <c:pt idx="17">
                  <c:v>ZFCVINDIA</c:v>
                </c:pt>
                <c:pt idx="18">
                  <c:v>SONACOMS</c:v>
                </c:pt>
                <c:pt idx="19">
                  <c:v>HBLPOWER</c:v>
                </c:pt>
              </c:strCache>
            </c:strRef>
          </c:cat>
          <c:val>
            <c:numRef>
              <c:f>'Auto Components &amp; Equipments'!$K$82:$K$101</c:f>
              <c:numCache>
                <c:formatCode>0.0</c:formatCode>
                <c:ptCount val="20"/>
                <c:pt idx="0">
                  <c:v>15.931503992372781</c:v>
                </c:pt>
                <c:pt idx="1">
                  <c:v>27.647092425454129</c:v>
                </c:pt>
                <c:pt idx="2">
                  <c:v>28.985137694885619</c:v>
                </c:pt>
                <c:pt idx="3">
                  <c:v>32.945861520095505</c:v>
                </c:pt>
                <c:pt idx="4">
                  <c:v>38.153310104529616</c:v>
                </c:pt>
                <c:pt idx="5">
                  <c:v>39.570595879861379</c:v>
                </c:pt>
                <c:pt idx="6">
                  <c:v>47.126739407680311</c:v>
                </c:pt>
                <c:pt idx="7">
                  <c:v>47.213417163598656</c:v>
                </c:pt>
                <c:pt idx="8">
                  <c:v>48.70252528635541</c:v>
                </c:pt>
                <c:pt idx="9">
                  <c:v>53.813039527487511</c:v>
                </c:pt>
                <c:pt idx="10">
                  <c:v>56.129314110965481</c:v>
                </c:pt>
                <c:pt idx="11">
                  <c:v>60.606288545492347</c:v>
                </c:pt>
                <c:pt idx="12">
                  <c:v>61.938252046991813</c:v>
                </c:pt>
                <c:pt idx="13">
                  <c:v>68.416279069767441</c:v>
                </c:pt>
                <c:pt idx="14">
                  <c:v>70.545254556882469</c:v>
                </c:pt>
                <c:pt idx="15">
                  <c:v>72.45849523136701</c:v>
                </c:pt>
                <c:pt idx="16">
                  <c:v>76.277172210093738</c:v>
                </c:pt>
                <c:pt idx="17">
                  <c:v>86.985486211901303</c:v>
                </c:pt>
                <c:pt idx="18">
                  <c:v>92.239252336448587</c:v>
                </c:pt>
                <c:pt idx="19">
                  <c:v>121.13304093567251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C91-41D2-9DC2-60984DDDA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27612"/>
        <c:axId val="650058246"/>
      </c:barChart>
      <c:catAx>
        <c:axId val="15822761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50058246"/>
        <c:crosses val="autoZero"/>
        <c:auto val="1"/>
        <c:lblAlgn val="ctr"/>
        <c:lblOffset val="100"/>
        <c:noMultiLvlLbl val="1"/>
      </c:catAx>
      <c:valAx>
        <c:axId val="65005824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822761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'Auto Components &amp; Equipments'!$C$126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'Auto Components &amp; Equipments'!$B$127:$B$146</c:f>
              <c:strCache>
                <c:ptCount val="20"/>
                <c:pt idx="0">
                  <c:v>BOSCHLTD</c:v>
                </c:pt>
                <c:pt idx="1">
                  <c:v>SCHAEFFLER</c:v>
                </c:pt>
                <c:pt idx="2">
                  <c:v>ZFCVINDIA</c:v>
                </c:pt>
                <c:pt idx="3">
                  <c:v>ARE&amp;M</c:v>
                </c:pt>
                <c:pt idx="4">
                  <c:v>EXIDEIND</c:v>
                </c:pt>
                <c:pt idx="5">
                  <c:v>HBLPOWER</c:v>
                </c:pt>
                <c:pt idx="6">
                  <c:v>SONACOMS</c:v>
                </c:pt>
                <c:pt idx="7">
                  <c:v>TIINDIA</c:v>
                </c:pt>
                <c:pt idx="8">
                  <c:v>ENDURANCE</c:v>
                </c:pt>
                <c:pt idx="9">
                  <c:v>CIEINDIA</c:v>
                </c:pt>
                <c:pt idx="10">
                  <c:v>SUNDRMFAST</c:v>
                </c:pt>
                <c:pt idx="11">
                  <c:v>MSUMI</c:v>
                </c:pt>
                <c:pt idx="12">
                  <c:v>UNOMINDA</c:v>
                </c:pt>
                <c:pt idx="13">
                  <c:v>MINDACORP</c:v>
                </c:pt>
                <c:pt idx="14">
                  <c:v>ASAHIINDIA</c:v>
                </c:pt>
                <c:pt idx="15">
                  <c:v>MOTHERSON</c:v>
                </c:pt>
                <c:pt idx="16">
                  <c:v>CRAFTSMAN</c:v>
                </c:pt>
                <c:pt idx="17">
                  <c:v>VARROC</c:v>
                </c:pt>
                <c:pt idx="18">
                  <c:v>JBMA</c:v>
                </c:pt>
                <c:pt idx="19">
                  <c:v>TVSHLTD</c:v>
                </c:pt>
              </c:strCache>
            </c:strRef>
          </c:cat>
          <c:val>
            <c:numRef>
              <c:f>'Auto Components &amp; Equipments'!$C$127:$C$146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2.9186660353490738E-3</c:v>
                </c:pt>
                <c:pt idx="4">
                  <c:v>2.5007678285807737E-2</c:v>
                </c:pt>
                <c:pt idx="5">
                  <c:v>0.10368217054263566</c:v>
                </c:pt>
                <c:pt idx="6">
                  <c:v>0.1151685393258427</c:v>
                </c:pt>
                <c:pt idx="7">
                  <c:v>0.14207101820447152</c:v>
                </c:pt>
                <c:pt idx="8">
                  <c:v>0.14419516445218908</c:v>
                </c:pt>
                <c:pt idx="9">
                  <c:v>0.15243358887502229</c:v>
                </c:pt>
                <c:pt idx="10">
                  <c:v>0.18571875978703414</c:v>
                </c:pt>
                <c:pt idx="11">
                  <c:v>0.21</c:v>
                </c:pt>
                <c:pt idx="12">
                  <c:v>0.30273304771753584</c:v>
                </c:pt>
                <c:pt idx="13">
                  <c:v>0.31699520511454449</c:v>
                </c:pt>
                <c:pt idx="14">
                  <c:v>0.67247542448614839</c:v>
                </c:pt>
                <c:pt idx="15">
                  <c:v>0.78694809252969367</c:v>
                </c:pt>
                <c:pt idx="16">
                  <c:v>0.85928705440900566</c:v>
                </c:pt>
                <c:pt idx="17">
                  <c:v>1.1821596244131456</c:v>
                </c:pt>
                <c:pt idx="18">
                  <c:v>1.9032639390556247</c:v>
                </c:pt>
                <c:pt idx="19">
                  <c:v>10.776849143334726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9F7-4D22-9307-99965D7CC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093075"/>
        <c:axId val="332151504"/>
      </c:barChart>
      <c:catAx>
        <c:axId val="63409307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2151504"/>
        <c:crosses val="autoZero"/>
        <c:auto val="1"/>
        <c:lblAlgn val="ctr"/>
        <c:lblOffset val="100"/>
        <c:noMultiLvlLbl val="1"/>
      </c:catAx>
      <c:valAx>
        <c:axId val="33215150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3409307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56</xdr:row>
      <xdr:rowOff>-152400</xdr:rowOff>
    </xdr:from>
    <xdr:ext cx="6619875" cy="66198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FEE7E019-DAD5-4AEE-A5E8-5F28DF1DF1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10104120"/>
          <a:ext cx="6619875" cy="6619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39</xdr:row>
      <xdr:rowOff>85725</xdr:rowOff>
    </xdr:from>
    <xdr:ext cx="4324350" cy="26670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4BF39395-A8A1-4B3F-BE99-5045BD811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19050</xdr:colOff>
      <xdr:row>39</xdr:row>
      <xdr:rowOff>85725</xdr:rowOff>
    </xdr:from>
    <xdr:ext cx="4324350" cy="26670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F377CFEF-637D-4081-89C8-68B252ECE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514350</xdr:colOff>
      <xdr:row>39</xdr:row>
      <xdr:rowOff>85725</xdr:rowOff>
    </xdr:from>
    <xdr:ext cx="4371975" cy="26670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30DC0AE9-F676-4CEA-96AA-1133E5095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142875</xdr:colOff>
      <xdr:row>54</xdr:row>
      <xdr:rowOff>190500</xdr:rowOff>
    </xdr:from>
    <xdr:ext cx="4667250" cy="45624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2EFAEFA5-827C-45FE-8876-9359DE31E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11</xdr:col>
      <xdr:colOff>85725</xdr:colOff>
      <xdr:row>54</xdr:row>
      <xdr:rowOff>190500</xdr:rowOff>
    </xdr:from>
    <xdr:ext cx="5715000" cy="456247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CDE5FF4-53C3-4DA0-B6DD-F9F9560E3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171450</xdr:colOff>
      <xdr:row>103</xdr:row>
      <xdr:rowOff>85725</xdr:rowOff>
    </xdr:from>
    <xdr:ext cx="4276725" cy="45053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E8138455-6006-45B5-B1F1-7334BF5AA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5</xdr:col>
      <xdr:colOff>19050</xdr:colOff>
      <xdr:row>103</xdr:row>
      <xdr:rowOff>85725</xdr:rowOff>
    </xdr:from>
    <xdr:ext cx="4791075" cy="45053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2CBE2D72-D2D1-42C4-A675-B251439F7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19050</xdr:colOff>
      <xdr:row>103</xdr:row>
      <xdr:rowOff>85725</xdr:rowOff>
    </xdr:from>
    <xdr:ext cx="4743450" cy="450532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B755AA7C-3909-4FE6-BAE2-C5E0D153E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28575</xdr:colOff>
      <xdr:row>148</xdr:row>
      <xdr:rowOff>38100</xdr:rowOff>
    </xdr:from>
    <xdr:ext cx="4371975" cy="475297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0C0FCE37-15CB-4E9E-91E4-C8ED0279F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4</xdr:col>
      <xdr:colOff>923925</xdr:colOff>
      <xdr:row>148</xdr:row>
      <xdr:rowOff>38100</xdr:rowOff>
    </xdr:from>
    <xdr:ext cx="4857750" cy="475297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3D6BF3A2-53B0-4BDB-AE43-CFDB728DD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10</xdr:col>
      <xdr:colOff>19050</xdr:colOff>
      <xdr:row>148</xdr:row>
      <xdr:rowOff>38100</xdr:rowOff>
    </xdr:from>
    <xdr:ext cx="6096000" cy="475297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BF1A27B3-39FF-44D3-A506-51C818C9E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4</xdr:col>
      <xdr:colOff>161925</xdr:colOff>
      <xdr:row>171</xdr:row>
      <xdr:rowOff>209550</xdr:rowOff>
    </xdr:from>
    <xdr:ext cx="5715000" cy="527685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8F3ABC45-341C-4BAE-9723-EEC12CF53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12</xdr:col>
      <xdr:colOff>152400</xdr:colOff>
      <xdr:row>4</xdr:row>
      <xdr:rowOff>142875</xdr:rowOff>
    </xdr:from>
    <xdr:ext cx="5114925" cy="2781300"/>
    <xdr:pic>
      <xdr:nvPicPr>
        <xdr:cNvPr id="14" name="image1.png" title="Image">
          <a:extLst>
            <a:ext uri="{FF2B5EF4-FFF2-40B4-BE49-F238E27FC236}">
              <a16:creationId xmlns:a16="http://schemas.microsoft.com/office/drawing/2014/main" id="{F5878DB6-6A9B-4AA7-B06C-C7C3D389E6AD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300460" y="935355"/>
          <a:ext cx="5114925" cy="27813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Auto%20Parts%20_%20Equipment%20(6).xlsx" TargetMode="External"/><Relationship Id="rId1" Type="http://schemas.openxmlformats.org/officeDocument/2006/relationships/externalLinkPath" Target="/Users/profi/Downloads/Auto%20Parts%20_%20Equipment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 Components &amp; Equipments"/>
      <sheetName val="Amarajabat"/>
      <sheetName val="DATA"/>
      <sheetName val="Sheet1"/>
      <sheetName val="DASHBOARD"/>
      <sheetName val="Auto Parts &amp; Equipment"/>
      <sheetName val="amarajaba"/>
      <sheetName val="wabco"/>
      <sheetName val="MOTHERSUMI"/>
      <sheetName val="WABCOINDIA"/>
      <sheetName val="AUTOAXLES"/>
      <sheetName val="VARROC"/>
      <sheetName val="BOSCHLTD"/>
      <sheetName val="BharatGears"/>
      <sheetName val="EXIDEIND"/>
      <sheetName val="GABRIEL"/>
      <sheetName val="GNA"/>
      <sheetName val="LGBBROSLTD"/>
      <sheetName val="MINDACORP"/>
      <sheetName val="Mindaind"/>
      <sheetName val="MENNPIS"/>
      <sheetName val="SUNDRMBRAK"/>
    </sheetNames>
    <sheetDataSet>
      <sheetData sheetId="0">
        <row r="16">
          <cell r="C16" t="str">
            <v>Market cap</v>
          </cell>
          <cell r="G16" t="str">
            <v>SALES_23</v>
          </cell>
          <cell r="K16" t="str">
            <v>PROFIT_23</v>
          </cell>
        </row>
        <row r="17">
          <cell r="B17" t="str">
            <v>OTHER_99</v>
          </cell>
          <cell r="C17">
            <v>130272</v>
          </cell>
          <cell r="F17" t="str">
            <v>MOTHERSON</v>
          </cell>
          <cell r="G17">
            <v>77870</v>
          </cell>
          <cell r="J17" t="str">
            <v>OTHER_99</v>
          </cell>
          <cell r="K17">
            <v>3364</v>
          </cell>
        </row>
        <row r="18">
          <cell r="B18" t="str">
            <v>BOSCHLTD</v>
          </cell>
          <cell r="C18">
            <v>83926.923755600001</v>
          </cell>
          <cell r="F18" t="str">
            <v>OTHER_99</v>
          </cell>
          <cell r="G18">
            <v>55000</v>
          </cell>
          <cell r="J18" t="str">
            <v>MOTHERSON</v>
          </cell>
          <cell r="K18">
            <v>1669</v>
          </cell>
        </row>
        <row r="19">
          <cell r="B19" t="str">
            <v>MOTHERSON</v>
          </cell>
          <cell r="C19">
            <v>80165.908349999998</v>
          </cell>
          <cell r="F19" t="str">
            <v>TVSHLTD</v>
          </cell>
          <cell r="G19">
            <v>33564</v>
          </cell>
          <cell r="J19" t="str">
            <v>BOSCHLTD</v>
          </cell>
          <cell r="K19">
            <v>1425</v>
          </cell>
        </row>
        <row r="20">
          <cell r="B20" t="str">
            <v>TIINDIA</v>
          </cell>
          <cell r="C20">
            <v>68404.364469099994</v>
          </cell>
          <cell r="F20" t="str">
            <v>EXIDEIND</v>
          </cell>
          <cell r="G20">
            <v>15078</v>
          </cell>
          <cell r="J20" t="str">
            <v>TVSHLTD</v>
          </cell>
          <cell r="K20">
            <v>1333</v>
          </cell>
        </row>
        <row r="21">
          <cell r="B21" t="str">
            <v>SCHAEFFLER</v>
          </cell>
          <cell r="C21">
            <v>45268.647868699998</v>
          </cell>
          <cell r="F21" t="str">
            <v>BOSCHLTD</v>
          </cell>
          <cell r="G21">
            <v>14929</v>
          </cell>
          <cell r="J21" t="str">
            <v>TIINDIA</v>
          </cell>
          <cell r="K21">
            <v>1325</v>
          </cell>
        </row>
        <row r="22">
          <cell r="B22" t="str">
            <v>SONACOMS</v>
          </cell>
          <cell r="C22">
            <v>38708.500074600001</v>
          </cell>
          <cell r="F22" t="str">
            <v>TIINDIA</v>
          </cell>
          <cell r="G22">
            <v>14431</v>
          </cell>
          <cell r="J22" t="str">
            <v>SCHAEFFLER</v>
          </cell>
          <cell r="K22">
            <v>879</v>
          </cell>
        </row>
        <row r="23">
          <cell r="B23" t="str">
            <v>UNOMINDA</v>
          </cell>
          <cell r="C23">
            <v>37571.65</v>
          </cell>
          <cell r="F23" t="str">
            <v>UNOMINDA</v>
          </cell>
          <cell r="G23">
            <v>11236</v>
          </cell>
          <cell r="J23" t="str">
            <v>EXIDEIND</v>
          </cell>
          <cell r="K23">
            <v>822</v>
          </cell>
        </row>
        <row r="24">
          <cell r="B24" t="str">
            <v>MSUMI</v>
          </cell>
          <cell r="C24">
            <v>31398.8847566</v>
          </cell>
          <cell r="F24" t="str">
            <v>ARE&amp;M</v>
          </cell>
          <cell r="G24">
            <v>10388</v>
          </cell>
          <cell r="J24" t="str">
            <v>UNOMINDA</v>
          </cell>
          <cell r="K24">
            <v>700</v>
          </cell>
        </row>
        <row r="25">
          <cell r="B25" t="str">
            <v>ZFCVINDIA</v>
          </cell>
          <cell r="C25">
            <v>27599.536723099998</v>
          </cell>
          <cell r="F25" t="str">
            <v>ENDURANCE</v>
          </cell>
          <cell r="G25">
            <v>8804</v>
          </cell>
          <cell r="J25" t="str">
            <v>ARE&amp;M</v>
          </cell>
          <cell r="K25">
            <v>694</v>
          </cell>
        </row>
        <row r="26">
          <cell r="B26" t="str">
            <v>EXIDEIND</v>
          </cell>
          <cell r="C26">
            <v>27025.747857999999</v>
          </cell>
          <cell r="F26" t="str">
            <v>CIEINDIA</v>
          </cell>
          <cell r="G26">
            <v>8753</v>
          </cell>
          <cell r="J26" t="str">
            <v>SUNDRMFAST</v>
          </cell>
          <cell r="K26">
            <v>500</v>
          </cell>
        </row>
        <row r="27">
          <cell r="B27" t="str">
            <v>JBMA</v>
          </cell>
          <cell r="C27">
            <v>25881.925825300001</v>
          </cell>
          <cell r="F27" t="str">
            <v>MSUMI</v>
          </cell>
          <cell r="G27">
            <v>7057</v>
          </cell>
          <cell r="J27" t="str">
            <v>MSUMI</v>
          </cell>
          <cell r="K27">
            <v>487</v>
          </cell>
        </row>
        <row r="28">
          <cell r="B28" t="str">
            <v>ENDURANCE</v>
          </cell>
          <cell r="C28">
            <v>25630.240773099998</v>
          </cell>
          <cell r="F28" t="str">
            <v>SCHAEFFLER</v>
          </cell>
          <cell r="G28">
            <v>6867</v>
          </cell>
          <cell r="J28" t="str">
            <v>ENDURANCE</v>
          </cell>
          <cell r="K28">
            <v>479</v>
          </cell>
        </row>
        <row r="29">
          <cell r="B29" t="str">
            <v>SUNDRMFAST</v>
          </cell>
          <cell r="C29">
            <v>22759.006490899999</v>
          </cell>
          <cell r="F29" t="str">
            <v>VARROC</v>
          </cell>
          <cell r="G29">
            <v>6863</v>
          </cell>
          <cell r="J29" t="str">
            <v>SONACOMS</v>
          </cell>
          <cell r="K29">
            <v>395</v>
          </cell>
        </row>
        <row r="30">
          <cell r="B30" t="str">
            <v>TVSHLTD</v>
          </cell>
          <cell r="C30">
            <v>21597.87</v>
          </cell>
          <cell r="F30" t="str">
            <v>SUNDRMFAST</v>
          </cell>
          <cell r="G30">
            <v>5662</v>
          </cell>
          <cell r="J30" t="str">
            <v>ASAHIINDIA</v>
          </cell>
          <cell r="K30">
            <v>365</v>
          </cell>
        </row>
        <row r="31">
          <cell r="B31" t="str">
            <v>CIEINDIA</v>
          </cell>
          <cell r="C31">
            <v>17243.9128834</v>
          </cell>
          <cell r="F31" t="str">
            <v>MINDACORP</v>
          </cell>
          <cell r="G31">
            <v>4300</v>
          </cell>
          <cell r="J31" t="str">
            <v>ZFCVINDIA</v>
          </cell>
          <cell r="K31">
            <v>318</v>
          </cell>
        </row>
        <row r="32">
          <cell r="B32" t="str">
            <v>ARE&amp;M</v>
          </cell>
          <cell r="C32">
            <v>15404.33</v>
          </cell>
          <cell r="F32" t="str">
            <v>ASAHIINDIA</v>
          </cell>
          <cell r="G32">
            <v>4018</v>
          </cell>
          <cell r="J32" t="str">
            <v>MINDACORP</v>
          </cell>
          <cell r="K32">
            <v>284</v>
          </cell>
        </row>
        <row r="33">
          <cell r="B33" t="str">
            <v>HBLPOWER</v>
          </cell>
          <cell r="C33">
            <v>13999.7280861</v>
          </cell>
          <cell r="F33" t="str">
            <v>JBMA</v>
          </cell>
          <cell r="G33">
            <v>3857</v>
          </cell>
          <cell r="J33" t="str">
            <v>CRAFTSMAN</v>
          </cell>
          <cell r="K33">
            <v>251</v>
          </cell>
        </row>
        <row r="34">
          <cell r="B34" t="str">
            <v>ASAHIINDIA</v>
          </cell>
          <cell r="C34">
            <v>13052.712477200001</v>
          </cell>
          <cell r="F34" t="str">
            <v>ZFCVINDIA</v>
          </cell>
          <cell r="G34">
            <v>3445</v>
          </cell>
          <cell r="J34" t="str">
            <v>JBMA</v>
          </cell>
          <cell r="K34">
            <v>125</v>
          </cell>
        </row>
        <row r="35">
          <cell r="B35" t="str">
            <v>MINDACORP</v>
          </cell>
          <cell r="C35">
            <v>9942.9024449999997</v>
          </cell>
          <cell r="F35" t="str">
            <v>CRAFTSMAN</v>
          </cell>
          <cell r="G35">
            <v>3182</v>
          </cell>
          <cell r="J35" t="str">
            <v>HBLPOWER</v>
          </cell>
          <cell r="K35">
            <v>97</v>
          </cell>
        </row>
        <row r="36">
          <cell r="B36" t="str">
            <v>CRAFTSMAN</v>
          </cell>
          <cell r="C36">
            <v>8958.0867216000006</v>
          </cell>
          <cell r="F36" t="str">
            <v>SONACOMS</v>
          </cell>
          <cell r="G36">
            <v>2675</v>
          </cell>
          <cell r="J36" t="str">
            <v>CIEINDIA</v>
          </cell>
          <cell r="K36">
            <v>-136</v>
          </cell>
        </row>
        <row r="37">
          <cell r="B37" t="str">
            <v>VARROC</v>
          </cell>
          <cell r="C37">
            <v>7611.8186345000004</v>
          </cell>
          <cell r="F37" t="str">
            <v>HBLPOWER</v>
          </cell>
          <cell r="G37">
            <v>1368</v>
          </cell>
          <cell r="J37" t="str">
            <v>VARROC</v>
          </cell>
          <cell r="K37">
            <v>-817</v>
          </cell>
        </row>
        <row r="56">
          <cell r="C56" t="str">
            <v>5Y SALES GR</v>
          </cell>
          <cell r="K56" t="str">
            <v>CY_SALES</v>
          </cell>
        </row>
        <row r="57">
          <cell r="B57" t="str">
            <v>SONACOMS</v>
          </cell>
          <cell r="C57">
            <v>0.33834212537965591</v>
          </cell>
          <cell r="J57" t="str">
            <v>HBLPOWER</v>
          </cell>
          <cell r="K57">
            <v>0.48099415204678353</v>
          </cell>
        </row>
        <row r="58">
          <cell r="B58" t="str">
            <v>TIINDIA</v>
          </cell>
          <cell r="C58">
            <v>0.24420004584416444</v>
          </cell>
          <cell r="J58" t="str">
            <v>CRAFTSMAN</v>
          </cell>
          <cell r="K58">
            <v>0.35983658076681335</v>
          </cell>
        </row>
        <row r="59">
          <cell r="B59" t="str">
            <v>UNOMINDA</v>
          </cell>
          <cell r="C59">
            <v>0.19827984591913639</v>
          </cell>
          <cell r="J59" t="str">
            <v>MOTHERSON</v>
          </cell>
          <cell r="K59">
            <v>0.20855271606523695</v>
          </cell>
        </row>
        <row r="60">
          <cell r="B60" t="str">
            <v>JBMA</v>
          </cell>
          <cell r="C60">
            <v>0.17985031074799696</v>
          </cell>
          <cell r="J60" t="str">
            <v>JBMA</v>
          </cell>
          <cell r="K60">
            <v>0.17526575058335503</v>
          </cell>
        </row>
        <row r="61">
          <cell r="B61" t="str">
            <v>CRAFTSMAN</v>
          </cell>
          <cell r="C61">
            <v>0.16061222878508286</v>
          </cell>
          <cell r="J61" t="str">
            <v>UNOMINDA</v>
          </cell>
          <cell r="K61">
            <v>0.16820932716269144</v>
          </cell>
        </row>
        <row r="62">
          <cell r="B62" t="str">
            <v>TVSHLTD</v>
          </cell>
          <cell r="C62">
            <v>0.13887966370438187</v>
          </cell>
          <cell r="J62" t="str">
            <v>TVSHLTD</v>
          </cell>
          <cell r="K62">
            <v>0.14402335836014779</v>
          </cell>
        </row>
        <row r="63">
          <cell r="B63" t="str">
            <v>ARE&amp;M</v>
          </cell>
          <cell r="C63">
            <v>0.10759477738118961</v>
          </cell>
          <cell r="J63" t="str">
            <v>SONACOMS</v>
          </cell>
          <cell r="K63">
            <v>0.13757009345794402</v>
          </cell>
        </row>
        <row r="64">
          <cell r="B64" t="str">
            <v>MINDACORP</v>
          </cell>
          <cell r="C64">
            <v>0.1029036327504369</v>
          </cell>
          <cell r="J64" t="str">
            <v>MSUMI</v>
          </cell>
          <cell r="K64">
            <v>0.1258325067309054</v>
          </cell>
        </row>
        <row r="65">
          <cell r="B65" t="str">
            <v>MSUMI</v>
          </cell>
          <cell r="C65">
            <v>9.4990309403052864E-2</v>
          </cell>
          <cell r="J65" t="str">
            <v>TIINDIA</v>
          </cell>
          <cell r="K65">
            <v>0.12105883168179621</v>
          </cell>
        </row>
        <row r="66">
          <cell r="B66" t="str">
            <v>SCHAEFFLER</v>
          </cell>
          <cell r="C66">
            <v>8.5278988699844405E-2</v>
          </cell>
          <cell r="J66" t="str">
            <v>ENDURANCE</v>
          </cell>
          <cell r="K66">
            <v>0.11199454793275776</v>
          </cell>
        </row>
        <row r="67">
          <cell r="B67" t="str">
            <v>ASAHIINDIA</v>
          </cell>
          <cell r="C67">
            <v>8.444478287496171E-2</v>
          </cell>
          <cell r="J67" t="str">
            <v>BOSCHLTD</v>
          </cell>
          <cell r="K67">
            <v>0.10904950097126398</v>
          </cell>
        </row>
        <row r="68">
          <cell r="B68" t="str">
            <v>SUNDRMFAST</v>
          </cell>
          <cell r="C68">
            <v>7.8129836184553714E-2</v>
          </cell>
          <cell r="J68" t="str">
            <v>ZFCVINDIA</v>
          </cell>
          <cell r="K68">
            <v>0.10449927431059503</v>
          </cell>
        </row>
        <row r="69">
          <cell r="B69" t="str">
            <v>MOTHERSON</v>
          </cell>
          <cell r="C69">
            <v>6.6183770863060376E-2</v>
          </cell>
          <cell r="J69" t="str">
            <v>EXIDEIND</v>
          </cell>
          <cell r="K69">
            <v>7.9320864836185168E-2</v>
          </cell>
        </row>
        <row r="70">
          <cell r="B70" t="str">
            <v>ENDURANCE</v>
          </cell>
          <cell r="C70">
            <v>5.7214095749748006E-2</v>
          </cell>
          <cell r="J70" t="str">
            <v>ASAHIINDIA</v>
          </cell>
          <cell r="K70">
            <v>7.6157292185166758E-2</v>
          </cell>
        </row>
        <row r="71">
          <cell r="B71" t="str">
            <v>ZFCVINDIA</v>
          </cell>
          <cell r="C71">
            <v>5.716561609565729E-2</v>
          </cell>
          <cell r="J71" t="str">
            <v>CIEINDIA</v>
          </cell>
          <cell r="K71">
            <v>6.0207928710156455E-2</v>
          </cell>
        </row>
        <row r="72">
          <cell r="B72" t="str">
            <v>BOSCHLTD</v>
          </cell>
          <cell r="C72">
            <v>4.6890758411812783E-2</v>
          </cell>
          <cell r="J72" t="str">
            <v>VARROC</v>
          </cell>
          <cell r="K72">
            <v>5.8866384962844132E-2</v>
          </cell>
        </row>
        <row r="73">
          <cell r="B73" t="str">
            <v>EXIDEIND</v>
          </cell>
          <cell r="C73">
            <v>2.8807019679515822E-2</v>
          </cell>
          <cell r="J73" t="str">
            <v>SCHAEFFLER</v>
          </cell>
          <cell r="K73">
            <v>5.227901558176784E-2</v>
          </cell>
        </row>
        <row r="74">
          <cell r="B74" t="str">
            <v>CIEINDIA</v>
          </cell>
          <cell r="C74">
            <v>1.6381329746904871E-2</v>
          </cell>
          <cell r="J74" t="str">
            <v>MINDACORP</v>
          </cell>
          <cell r="K74">
            <v>4.9069767441860535E-2</v>
          </cell>
        </row>
        <row r="75">
          <cell r="B75" t="str">
            <v>HBLPOWER</v>
          </cell>
          <cell r="C75">
            <v>-3.4912236790558437E-2</v>
          </cell>
          <cell r="J75" t="str">
            <v>ARE&amp;M</v>
          </cell>
          <cell r="K75">
            <v>4.8421255294570642E-2</v>
          </cell>
        </row>
        <row r="76">
          <cell r="B76" t="str">
            <v>VARROC</v>
          </cell>
          <cell r="C76">
            <v>-7.9380718571995579E-2</v>
          </cell>
          <cell r="J76" t="str">
            <v>SUNDRMFAST</v>
          </cell>
          <cell r="K76">
            <v>-2.4726245143058545E-3</v>
          </cell>
        </row>
        <row r="81">
          <cell r="C81" t="str">
            <v>MARGIN</v>
          </cell>
          <cell r="G81" t="str">
            <v>CUR. RATIO</v>
          </cell>
          <cell r="K81" t="str">
            <v>TR.DAYS</v>
          </cell>
        </row>
        <row r="82">
          <cell r="B82" t="str">
            <v>SONACOMS</v>
          </cell>
          <cell r="C82">
            <v>0.14766355140186915</v>
          </cell>
          <cell r="F82" t="str">
            <v>ZFCVINDIA</v>
          </cell>
          <cell r="G82">
            <v>4.376363636363636</v>
          </cell>
          <cell r="J82" t="str">
            <v>TVSHLTD</v>
          </cell>
          <cell r="K82">
            <v>15.931503992372781</v>
          </cell>
        </row>
        <row r="83">
          <cell r="B83" t="str">
            <v>SCHAEFFLER</v>
          </cell>
          <cell r="C83">
            <v>0.12800349497597205</v>
          </cell>
          <cell r="F83" t="str">
            <v>SCHAEFFLER</v>
          </cell>
          <cell r="G83">
            <v>2.9224199288256227</v>
          </cell>
          <cell r="J83" t="str">
            <v>CIEINDIA</v>
          </cell>
          <cell r="K83">
            <v>27.647092425454129</v>
          </cell>
        </row>
        <row r="84">
          <cell r="B84" t="str">
            <v>BOSCHLTD</v>
          </cell>
          <cell r="C84">
            <v>9.5451805211333646E-2</v>
          </cell>
          <cell r="F84" t="str">
            <v>ARE&amp;M</v>
          </cell>
          <cell r="G84">
            <v>2.1801399230204073</v>
          </cell>
          <cell r="J84" t="str">
            <v>VARROC</v>
          </cell>
          <cell r="K84">
            <v>28.985137694885619</v>
          </cell>
        </row>
        <row r="85">
          <cell r="B85" t="str">
            <v>ZFCVINDIA</v>
          </cell>
          <cell r="C85">
            <v>9.2307692307692313E-2</v>
          </cell>
          <cell r="F85" t="str">
            <v>BOSCHLTD</v>
          </cell>
          <cell r="G85">
            <v>2.0142610198789974</v>
          </cell>
          <cell r="J85" t="str">
            <v>EXIDEIND</v>
          </cell>
          <cell r="K85">
            <v>32.945861520095505</v>
          </cell>
        </row>
        <row r="86">
          <cell r="B86" t="str">
            <v>TIINDIA</v>
          </cell>
          <cell r="C86">
            <v>9.1816228951562606E-2</v>
          </cell>
          <cell r="F86" t="str">
            <v>SONACOMS</v>
          </cell>
          <cell r="G86">
            <v>1.8957746478873239</v>
          </cell>
          <cell r="J86" t="str">
            <v>ASAHIINDIA</v>
          </cell>
          <cell r="K86">
            <v>38.153310104529616</v>
          </cell>
        </row>
        <row r="87">
          <cell r="B87" t="str">
            <v>ASAHIINDIA</v>
          </cell>
          <cell r="C87">
            <v>9.0841214534594331E-2</v>
          </cell>
          <cell r="F87" t="str">
            <v>SUNDRMFAST</v>
          </cell>
          <cell r="G87">
            <v>1.884485666104553</v>
          </cell>
          <cell r="J87" t="str">
            <v>ARE&amp;M</v>
          </cell>
          <cell r="K87">
            <v>39.570595879861379</v>
          </cell>
        </row>
        <row r="88">
          <cell r="B88" t="str">
            <v>SUNDRMFAST</v>
          </cell>
          <cell r="C88">
            <v>8.8308018368067814E-2</v>
          </cell>
          <cell r="F88" t="str">
            <v>EXIDEIND</v>
          </cell>
          <cell r="G88">
            <v>1.6633927913319082</v>
          </cell>
          <cell r="J88" t="str">
            <v>MSUMI</v>
          </cell>
          <cell r="K88">
            <v>47.126739407680311</v>
          </cell>
        </row>
        <row r="89">
          <cell r="B89" t="str">
            <v>CRAFTSMAN</v>
          </cell>
          <cell r="C89">
            <v>7.8881206788183528E-2</v>
          </cell>
          <cell r="F89" t="str">
            <v>MSUMI</v>
          </cell>
          <cell r="G89">
            <v>1.659739856338575</v>
          </cell>
          <cell r="J89" t="str">
            <v>JBMA</v>
          </cell>
          <cell r="K89">
            <v>47.213417163598656</v>
          </cell>
        </row>
        <row r="90">
          <cell r="B90" t="str">
            <v>HBLPOWER</v>
          </cell>
          <cell r="C90">
            <v>7.0906432748538015E-2</v>
          </cell>
          <cell r="F90" t="str">
            <v>TIINDIA</v>
          </cell>
          <cell r="G90">
            <v>1.6596411068941377</v>
          </cell>
          <cell r="J90" t="str">
            <v>BOSCHLTD</v>
          </cell>
          <cell r="K90">
            <v>48.70252528635541</v>
          </cell>
        </row>
        <row r="91">
          <cell r="B91" t="str">
            <v>MSUMI</v>
          </cell>
          <cell r="C91">
            <v>6.900949411931416E-2</v>
          </cell>
          <cell r="F91" t="str">
            <v>ENDURANCE</v>
          </cell>
          <cell r="G91">
            <v>1.6585585585585585</v>
          </cell>
          <cell r="J91" t="str">
            <v>ENDURANCE</v>
          </cell>
          <cell r="K91">
            <v>53.813039527487511</v>
          </cell>
        </row>
        <row r="92">
          <cell r="B92" t="str">
            <v>ARE&amp;M</v>
          </cell>
          <cell r="C92">
            <v>6.680785521755872E-2</v>
          </cell>
          <cell r="F92" t="str">
            <v>MINDACORP</v>
          </cell>
          <cell r="G92">
            <v>1.2445935868754661</v>
          </cell>
          <cell r="J92" t="str">
            <v>SCHAEFFLER</v>
          </cell>
          <cell r="K92">
            <v>56.129314110965481</v>
          </cell>
        </row>
        <row r="93">
          <cell r="B93" t="str">
            <v>MINDACORP</v>
          </cell>
          <cell r="C93">
            <v>6.6046511627906979E-2</v>
          </cell>
          <cell r="F93" t="str">
            <v>UNOMINDA</v>
          </cell>
          <cell r="G93">
            <v>1.215556093282115</v>
          </cell>
          <cell r="J93" t="str">
            <v>TIINDIA</v>
          </cell>
          <cell r="K93">
            <v>60.606288545492347</v>
          </cell>
        </row>
        <row r="94">
          <cell r="B94" t="str">
            <v>UNOMINDA</v>
          </cell>
          <cell r="C94">
            <v>6.2299750800996798E-2</v>
          </cell>
          <cell r="F94" t="str">
            <v>CRAFTSMAN</v>
          </cell>
          <cell r="G94">
            <v>1.1930937279774489</v>
          </cell>
          <cell r="J94" t="str">
            <v>UNOMINDA</v>
          </cell>
          <cell r="K94">
            <v>61.938252046991813</v>
          </cell>
        </row>
        <row r="95">
          <cell r="B95" t="str">
            <v>EXIDEIND</v>
          </cell>
          <cell r="C95">
            <v>5.451651412654198E-2</v>
          </cell>
          <cell r="F95" t="str">
            <v>ASAHIINDIA</v>
          </cell>
          <cell r="G95">
            <v>1.0963855421686748</v>
          </cell>
          <cell r="J95" t="str">
            <v>MINDACORP</v>
          </cell>
          <cell r="K95">
            <v>68.416279069767441</v>
          </cell>
        </row>
        <row r="96">
          <cell r="B96" t="str">
            <v>ENDURANCE</v>
          </cell>
          <cell r="C96">
            <v>5.4407087687414812E-2</v>
          </cell>
          <cell r="F96" t="str">
            <v>TVSHLTD</v>
          </cell>
          <cell r="G96">
            <v>1.0158244222145567</v>
          </cell>
          <cell r="J96" t="str">
            <v>CRAFTSMAN</v>
          </cell>
          <cell r="K96">
            <v>70.545254556882469</v>
          </cell>
        </row>
        <row r="97">
          <cell r="B97" t="str">
            <v>TVSHLTD</v>
          </cell>
          <cell r="C97">
            <v>3.9715171016565368E-2</v>
          </cell>
          <cell r="F97" t="str">
            <v>CIEINDIA</v>
          </cell>
          <cell r="G97">
            <v>1.0141798259748631</v>
          </cell>
          <cell r="J97" t="str">
            <v>SUNDRMFAST</v>
          </cell>
          <cell r="K97">
            <v>72.45849523136701</v>
          </cell>
        </row>
        <row r="98">
          <cell r="B98" t="str">
            <v>JBMA</v>
          </cell>
          <cell r="C98">
            <v>3.2408607726212083E-2</v>
          </cell>
          <cell r="F98" t="str">
            <v>JBMA</v>
          </cell>
          <cell r="G98">
            <v>1.0129586730911786</v>
          </cell>
          <cell r="J98" t="str">
            <v>MOTHERSON</v>
          </cell>
          <cell r="K98">
            <v>76.277172210093738</v>
          </cell>
        </row>
        <row r="99">
          <cell r="B99" t="str">
            <v>MOTHERSON</v>
          </cell>
          <cell r="C99">
            <v>2.143315782714781E-2</v>
          </cell>
          <cell r="F99" t="str">
            <v>MOTHERSON</v>
          </cell>
          <cell r="G99">
            <v>0.95089169688177988</v>
          </cell>
          <cell r="J99" t="str">
            <v>ZFCVINDIA</v>
          </cell>
          <cell r="K99">
            <v>86.985486211901303</v>
          </cell>
        </row>
        <row r="100">
          <cell r="B100" t="str">
            <v>CIEINDIA</v>
          </cell>
          <cell r="C100">
            <v>-1.5537529989717811E-2</v>
          </cell>
          <cell r="F100" t="str">
            <v>VARROC</v>
          </cell>
          <cell r="G100">
            <v>0.6926263463131731</v>
          </cell>
          <cell r="J100" t="str">
            <v>SONACOMS</v>
          </cell>
          <cell r="K100">
            <v>92.239252336448587</v>
          </cell>
        </row>
        <row r="101">
          <cell r="B101" t="str">
            <v>VARROC</v>
          </cell>
          <cell r="C101">
            <v>-0.11904414978872213</v>
          </cell>
          <cell r="F101" t="str">
            <v>HBLPOWER</v>
          </cell>
          <cell r="J101" t="str">
            <v>HBLPOWER</v>
          </cell>
          <cell r="K101">
            <v>121.13304093567251</v>
          </cell>
        </row>
        <row r="126">
          <cell r="C126" t="str">
            <v>DEBT2EQUITY</v>
          </cell>
          <cell r="G126" t="str">
            <v>ICR</v>
          </cell>
          <cell r="K126" t="str">
            <v>DEBTRATIO</v>
          </cell>
        </row>
        <row r="127">
          <cell r="B127" t="str">
            <v>BOSCHLTD</v>
          </cell>
          <cell r="C127">
            <v>0</v>
          </cell>
          <cell r="F127" t="str">
            <v>SCHAEFFLER</v>
          </cell>
          <cell r="G127">
            <v>178.5</v>
          </cell>
          <cell r="J127" t="str">
            <v>ZFCVINDIA</v>
          </cell>
          <cell r="K127">
            <v>0.1953416149068323</v>
          </cell>
        </row>
        <row r="128">
          <cell r="B128" t="str">
            <v>SCHAEFFLER</v>
          </cell>
          <cell r="C128">
            <v>0</v>
          </cell>
          <cell r="F128" t="str">
            <v>BOSCHLTD</v>
          </cell>
          <cell r="G128">
            <v>118.41666666666667</v>
          </cell>
          <cell r="J128" t="str">
            <v>ASAHIINDIA</v>
          </cell>
          <cell r="K128">
            <v>0.21737365536837833</v>
          </cell>
        </row>
        <row r="129">
          <cell r="B129" t="str">
            <v>ZFCVINDIA</v>
          </cell>
          <cell r="C129">
            <v>0</v>
          </cell>
          <cell r="F129" t="str">
            <v>ZFCVINDIA</v>
          </cell>
          <cell r="G129">
            <v>61.166666666666664</v>
          </cell>
          <cell r="J129" t="str">
            <v>SCHAEFFLER</v>
          </cell>
          <cell r="K129">
            <v>0.23312589755864049</v>
          </cell>
        </row>
        <row r="130">
          <cell r="B130" t="str">
            <v>ARE&amp;M</v>
          </cell>
          <cell r="C130">
            <v>2.9186660353490738E-3</v>
          </cell>
          <cell r="F130" t="str">
            <v>ARE&amp;M</v>
          </cell>
          <cell r="G130">
            <v>42.045454545454547</v>
          </cell>
          <cell r="J130" t="str">
            <v>EXIDEIND</v>
          </cell>
          <cell r="K130">
            <v>0.26513280001500766</v>
          </cell>
        </row>
        <row r="131">
          <cell r="B131" t="str">
            <v>EXIDEIND</v>
          </cell>
          <cell r="C131">
            <v>2.5007678285807737E-2</v>
          </cell>
          <cell r="F131" t="str">
            <v>CIEINDIA</v>
          </cell>
          <cell r="G131">
            <v>38.086956521739133</v>
          </cell>
          <cell r="J131" t="str">
            <v>ARE&amp;M</v>
          </cell>
          <cell r="K131">
            <v>0.2802144559375962</v>
          </cell>
        </row>
        <row r="132">
          <cell r="B132" t="str">
            <v>HBLPOWER</v>
          </cell>
          <cell r="C132">
            <v>0.10368217054263566</v>
          </cell>
          <cell r="F132" t="str">
            <v>SONACOMS</v>
          </cell>
          <cell r="G132">
            <v>30.411764705882351</v>
          </cell>
          <cell r="J132" t="str">
            <v>SONACOMS</v>
          </cell>
          <cell r="K132">
            <v>0.28994588436342922</v>
          </cell>
        </row>
        <row r="133">
          <cell r="B133" t="str">
            <v>SONACOMS</v>
          </cell>
          <cell r="C133">
            <v>0.1151685393258427</v>
          </cell>
          <cell r="F133" t="str">
            <v>ENDURANCE</v>
          </cell>
          <cell r="G133">
            <v>29.285714285714285</v>
          </cell>
          <cell r="J133" t="str">
            <v>BOSCHLTD</v>
          </cell>
          <cell r="K133">
            <v>0.29844961240310075</v>
          </cell>
        </row>
        <row r="134">
          <cell r="B134" t="str">
            <v>TIINDIA</v>
          </cell>
          <cell r="C134">
            <v>0.14207101820447152</v>
          </cell>
          <cell r="F134" t="str">
            <v>MSUMI</v>
          </cell>
          <cell r="G134">
            <v>23.5</v>
          </cell>
          <cell r="J134" t="str">
            <v>SUNDRMFAST</v>
          </cell>
          <cell r="K134">
            <v>0.31529612270984236</v>
          </cell>
        </row>
        <row r="135">
          <cell r="B135" t="str">
            <v>ENDURANCE</v>
          </cell>
          <cell r="C135">
            <v>0.14419516445218908</v>
          </cell>
          <cell r="F135" t="str">
            <v>TIINDIA</v>
          </cell>
          <cell r="G135">
            <v>22.80952380952381</v>
          </cell>
          <cell r="J135" t="str">
            <v>HBLPOWER</v>
          </cell>
          <cell r="K135">
            <v>0.3170103092783505</v>
          </cell>
        </row>
        <row r="136">
          <cell r="B136" t="str">
            <v>CIEINDIA</v>
          </cell>
          <cell r="C136">
            <v>0.15243358887502229</v>
          </cell>
          <cell r="F136" t="str">
            <v>HBLPOWER</v>
          </cell>
          <cell r="G136">
            <v>19.166666666666668</v>
          </cell>
          <cell r="J136" t="str">
            <v>ENDURANCE</v>
          </cell>
          <cell r="K136">
            <v>0.38254672583030791</v>
          </cell>
        </row>
        <row r="137">
          <cell r="B137" t="str">
            <v>SUNDRMFAST</v>
          </cell>
          <cell r="C137">
            <v>0.18571875978703414</v>
          </cell>
          <cell r="F137" t="str">
            <v>SUNDRMFAST</v>
          </cell>
          <cell r="G137">
            <v>16.375</v>
          </cell>
          <cell r="J137" t="str">
            <v>CIEINDIA</v>
          </cell>
          <cell r="K137">
            <v>0.38660110633066996</v>
          </cell>
        </row>
        <row r="138">
          <cell r="B138" t="str">
            <v>MSUMI</v>
          </cell>
          <cell r="C138">
            <v>0.21</v>
          </cell>
          <cell r="F138" t="str">
            <v>EXIDEIND</v>
          </cell>
          <cell r="G138">
            <v>14.675675675675675</v>
          </cell>
          <cell r="J138" t="str">
            <v>UNOMINDA</v>
          </cell>
          <cell r="K138">
            <v>0.47800073150955363</v>
          </cell>
        </row>
        <row r="139">
          <cell r="B139" t="str">
            <v>UNOMINDA</v>
          </cell>
          <cell r="C139">
            <v>0.30273304771753584</v>
          </cell>
          <cell r="F139" t="str">
            <v>UNOMINDA</v>
          </cell>
          <cell r="G139">
            <v>11.6</v>
          </cell>
          <cell r="J139" t="str">
            <v>MINDACORP</v>
          </cell>
          <cell r="K139">
            <v>0.47933425797503465</v>
          </cell>
        </row>
        <row r="140">
          <cell r="B140" t="str">
            <v>MINDACORP</v>
          </cell>
          <cell r="C140">
            <v>0.31699520511454449</v>
          </cell>
          <cell r="F140" t="str">
            <v>MINDACORP</v>
          </cell>
          <cell r="G140">
            <v>7.9024390243902438</v>
          </cell>
          <cell r="J140" t="str">
            <v>TIINDIA</v>
          </cell>
          <cell r="K140">
            <v>0.52957687316940538</v>
          </cell>
        </row>
        <row r="141">
          <cell r="B141" t="str">
            <v>ASAHIINDIA</v>
          </cell>
          <cell r="C141">
            <v>0.67247542448614839</v>
          </cell>
          <cell r="F141" t="str">
            <v>ASAHIINDIA</v>
          </cell>
          <cell r="G141">
            <v>6.0476190476190474</v>
          </cell>
          <cell r="J141" t="str">
            <v>MSUMI</v>
          </cell>
          <cell r="K141">
            <v>0.54003039354399207</v>
          </cell>
        </row>
        <row r="142">
          <cell r="B142" t="str">
            <v>MOTHERSON</v>
          </cell>
          <cell r="C142">
            <v>0.78694809252969367</v>
          </cell>
          <cell r="F142" t="str">
            <v>TVSHLTD</v>
          </cell>
          <cell r="G142">
            <v>3.9550561797752808</v>
          </cell>
          <cell r="J142" t="str">
            <v>CRAFTSMAN</v>
          </cell>
          <cell r="K142">
            <v>0.62317475270843148</v>
          </cell>
        </row>
        <row r="143">
          <cell r="B143" t="str">
            <v>CRAFTSMAN</v>
          </cell>
          <cell r="C143">
            <v>0.85928705440900566</v>
          </cell>
          <cell r="F143" t="str">
            <v>CRAFTSMAN</v>
          </cell>
          <cell r="G143">
            <v>3.8416666666666668</v>
          </cell>
          <cell r="J143" t="str">
            <v>MOTHERSON</v>
          </cell>
          <cell r="K143">
            <v>0.68769251062874681</v>
          </cell>
        </row>
        <row r="144">
          <cell r="B144" t="str">
            <v>VARROC</v>
          </cell>
          <cell r="C144">
            <v>1.1821596244131456</v>
          </cell>
          <cell r="F144" t="str">
            <v>MOTHERSON</v>
          </cell>
          <cell r="G144">
            <v>2.8693982074263764</v>
          </cell>
          <cell r="J144" t="str">
            <v>JBMA</v>
          </cell>
          <cell r="K144">
            <v>0.74201284429039349</v>
          </cell>
        </row>
        <row r="145">
          <cell r="B145" t="str">
            <v>JBMA</v>
          </cell>
          <cell r="C145">
            <v>1.9032639390556247</v>
          </cell>
          <cell r="F145" t="str">
            <v>JBMA</v>
          </cell>
          <cell r="G145">
            <v>2.126984126984127</v>
          </cell>
          <cell r="J145" t="str">
            <v>VARROC</v>
          </cell>
          <cell r="K145">
            <v>0.75482980680772771</v>
          </cell>
        </row>
        <row r="146">
          <cell r="B146" t="str">
            <v>TVSHLTD</v>
          </cell>
          <cell r="C146">
            <v>10.776849143334726</v>
          </cell>
          <cell r="F146" t="str">
            <v>VARROC</v>
          </cell>
          <cell r="G146">
            <v>1.1052631578947369</v>
          </cell>
          <cell r="J146" t="str">
            <v>TVSHLTD</v>
          </cell>
          <cell r="K146">
            <v>0.9442100109574989</v>
          </cell>
        </row>
        <row r="173">
          <cell r="C173" t="str">
            <v>ROE</v>
          </cell>
          <cell r="D173" t="str">
            <v>ROA</v>
          </cell>
        </row>
        <row r="174">
          <cell r="B174" t="str">
            <v>MSUMI</v>
          </cell>
          <cell r="C174">
            <v>0.36988090898043502</v>
          </cell>
          <cell r="D174">
            <v>0.17013397613932121</v>
          </cell>
        </row>
        <row r="175">
          <cell r="B175" t="str">
            <v>SCHAEFFLER</v>
          </cell>
          <cell r="C175">
            <v>0.18293444328824141</v>
          </cell>
          <cell r="D175">
            <v>0.14025849688846337</v>
          </cell>
        </row>
        <row r="176">
          <cell r="B176" t="str">
            <v>SONACOMS</v>
          </cell>
          <cell r="C176">
            <v>0.15850722311396467</v>
          </cell>
          <cell r="D176">
            <v>0.11250356023924808</v>
          </cell>
        </row>
        <row r="177">
          <cell r="B177" t="str">
            <v>TIINDIA</v>
          </cell>
          <cell r="C177">
            <v>0.22928635702914099</v>
          </cell>
          <cell r="D177">
            <v>0.10786160501324459</v>
          </cell>
        </row>
        <row r="178">
          <cell r="B178" t="str">
            <v>SUNDRMFAST</v>
          </cell>
          <cell r="C178">
            <v>0.15659254619480112</v>
          </cell>
          <cell r="D178">
            <v>0.10651896037494674</v>
          </cell>
        </row>
        <row r="179">
          <cell r="B179" t="str">
            <v>ZFCVINDIA</v>
          </cell>
          <cell r="C179">
            <v>0.12277992277992278</v>
          </cell>
          <cell r="D179">
            <v>9.8757763975155274E-2</v>
          </cell>
        </row>
        <row r="180">
          <cell r="B180" t="str">
            <v>ARE&amp;M</v>
          </cell>
          <cell r="C180">
            <v>0.12261224143657731</v>
          </cell>
          <cell r="D180">
            <v>8.8254518911137614E-2</v>
          </cell>
        </row>
        <row r="181">
          <cell r="B181" t="str">
            <v>BOSCHLTD</v>
          </cell>
          <cell r="C181">
            <v>0.12302512302512303</v>
          </cell>
          <cell r="D181">
            <v>8.6300872093023256E-2</v>
          </cell>
        </row>
        <row r="182">
          <cell r="B182" t="str">
            <v>MINDACORP</v>
          </cell>
          <cell r="C182">
            <v>0.15130527437400107</v>
          </cell>
          <cell r="D182">
            <v>7.877947295423024E-2</v>
          </cell>
        </row>
        <row r="183">
          <cell r="B183" t="str">
            <v>UNOMINDA</v>
          </cell>
          <cell r="C183">
            <v>0.14773230905599055</v>
          </cell>
          <cell r="D183">
            <v>7.7116971021645622E-2</v>
          </cell>
        </row>
        <row r="184">
          <cell r="B184" t="str">
            <v>ASAHIINDIA</v>
          </cell>
          <cell r="C184">
            <v>0.16309204647006256</v>
          </cell>
          <cell r="D184">
            <v>7.4081591231987015E-2</v>
          </cell>
        </row>
        <row r="185">
          <cell r="B185" t="str">
            <v>ENDURANCE</v>
          </cell>
          <cell r="C185">
            <v>0.10433456763232411</v>
          </cell>
          <cell r="D185">
            <v>6.4407691273362919E-2</v>
          </cell>
        </row>
        <row r="186">
          <cell r="B186" t="str">
            <v>HBLPOWER</v>
          </cell>
          <cell r="C186">
            <v>9.3992248062015504E-2</v>
          </cell>
          <cell r="D186">
            <v>6.25E-2</v>
          </cell>
        </row>
        <row r="187">
          <cell r="B187" t="str">
            <v>CRAFTSMAN</v>
          </cell>
          <cell r="C187">
            <v>0.15697310819262039</v>
          </cell>
          <cell r="D187">
            <v>5.9114460668864811E-2</v>
          </cell>
        </row>
        <row r="188">
          <cell r="B188" t="str">
            <v>EXIDEIND</v>
          </cell>
          <cell r="C188">
            <v>6.5574555158013137E-2</v>
          </cell>
          <cell r="D188">
            <v>4.8188589739230556E-2</v>
          </cell>
        </row>
        <row r="189">
          <cell r="B189" t="str">
            <v>TVSHLTD</v>
          </cell>
          <cell r="C189">
            <v>0.55704137066443793</v>
          </cell>
          <cell r="D189">
            <v>3.1077331965588789E-2</v>
          </cell>
        </row>
        <row r="190">
          <cell r="B190" t="str">
            <v>JBMA</v>
          </cell>
          <cell r="C190">
            <v>0.11727288932253796</v>
          </cell>
          <cell r="D190">
            <v>2.9798372293711829E-2</v>
          </cell>
        </row>
        <row r="191">
          <cell r="B191" t="str">
            <v>MOTHERSON</v>
          </cell>
          <cell r="C191">
            <v>6.8307380757782199E-2</v>
          </cell>
          <cell r="D191">
            <v>2.1332906589989205E-2</v>
          </cell>
        </row>
        <row r="192">
          <cell r="B192" t="str">
            <v>CIEINDIA</v>
          </cell>
          <cell r="C192">
            <v>-2.4246746300588339E-2</v>
          </cell>
          <cell r="D192">
            <v>-1.3931571399303422E-2</v>
          </cell>
        </row>
        <row r="193">
          <cell r="B193" t="str">
            <v>VARROC</v>
          </cell>
          <cell r="C193">
            <v>-0.7671361502347418</v>
          </cell>
          <cell r="D193">
            <v>-0.18790248390064399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1D5D8E-E287-4965-A530-A637061A3E91}" name="Table_1" displayName="Table_1" ref="A4:I5" headerRowCount="0">
  <tableColumns count="9">
    <tableColumn id="1" xr3:uid="{57B3A279-9342-4B6D-B93B-3D5D234A5303}" name="Column1"/>
    <tableColumn id="2" xr3:uid="{78BA7D99-4C97-40CA-8030-BC09045F0EC3}" name="Column2"/>
    <tableColumn id="3" xr3:uid="{C4124C78-B7F9-4B63-A662-0FD478F29659}" name="Column3"/>
    <tableColumn id="4" xr3:uid="{364B722F-64F7-4A27-8E23-F0D6C2800F54}" name="Column4"/>
    <tableColumn id="5" xr3:uid="{39A89A50-DBDF-4EAB-8523-10C4C8E49A4B}" name="Column5"/>
    <tableColumn id="6" xr3:uid="{1296DE09-A3B7-485A-A101-C7F982BBBB8B}" name="Column6"/>
    <tableColumn id="7" xr3:uid="{440F6CE5-6BC2-42B6-A0EB-31C61DE35AD4}" name="Column7"/>
    <tableColumn id="8" xr3:uid="{1C03B5EE-BC50-4292-8D00-117AC356FDCE}" name="Column8"/>
    <tableColumn id="9" xr3:uid="{746092B7-F739-4408-B11F-C12AE5224118}" name="Column9"/>
  </tableColumns>
  <tableStyleInfo name="Amarajabat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DA82-4B7F-4B68-BA49-776F659A912D}">
  <sheetPr>
    <outlinePr summaryBelow="0" summaryRight="0"/>
  </sheetPr>
  <dimension ref="A1:AA102"/>
  <sheetViews>
    <sheetView showGridLines="0" tabSelected="1" workbookViewId="0"/>
  </sheetViews>
  <sheetFormatPr defaultColWidth="14" defaultRowHeight="15" customHeight="1"/>
  <cols>
    <col min="12" max="12" width="15.44140625" customWidth="1"/>
    <col min="13" max="13" width="11.88671875" customWidth="1"/>
    <col min="14" max="14" width="18" customWidth="1"/>
  </cols>
  <sheetData>
    <row r="1" spans="1:20" ht="14.4">
      <c r="A1" s="1"/>
      <c r="B1" s="2" t="s">
        <v>0</v>
      </c>
      <c r="D1" s="2" t="s">
        <v>1</v>
      </c>
      <c r="G1" s="2" t="s">
        <v>2</v>
      </c>
      <c r="P1" s="2" t="s">
        <v>3</v>
      </c>
    </row>
    <row r="2" spans="1:20" ht="14.4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</row>
    <row r="3" spans="1:20" ht="14.4">
      <c r="A3" s="3" t="s">
        <v>24</v>
      </c>
      <c r="B3" s="3">
        <f ca="1">IFERROR(__xludf.DUMMYFUNCTION("GOOGLEFINANCE(""NSE:""&amp;A3,""PRICE"")"),1547.15)</f>
        <v>1547.15</v>
      </c>
      <c r="C3" s="3">
        <f ca="1">IFERROR(__xludf.DUMMYFUNCTION("GOOGLEFINANCE(""NSE:""&amp;A3,""MARKETCAP"")/10000000"),29241.96)</f>
        <v>29241.96</v>
      </c>
      <c r="D3" s="4">
        <v>11708</v>
      </c>
      <c r="E3" s="4">
        <v>934</v>
      </c>
      <c r="F3" s="4">
        <v>51.05</v>
      </c>
      <c r="G3" s="4">
        <v>18.3</v>
      </c>
      <c r="H3" s="4">
        <v>6780</v>
      </c>
      <c r="I3" s="4">
        <v>52</v>
      </c>
      <c r="J3" s="4">
        <v>103</v>
      </c>
      <c r="K3" s="4">
        <v>3869</v>
      </c>
      <c r="L3" s="4">
        <v>1725</v>
      </c>
      <c r="M3" s="4">
        <v>8977</v>
      </c>
      <c r="N3" s="4">
        <v>2179</v>
      </c>
      <c r="O3" s="4">
        <v>1136</v>
      </c>
      <c r="P3" s="4">
        <v>1266</v>
      </c>
      <c r="Q3" s="4">
        <v>-1020</v>
      </c>
      <c r="R3" s="4">
        <v>-242</v>
      </c>
      <c r="S3" s="4">
        <f t="shared" ref="S3:S4" si="0">SUM(P3:R3)</f>
        <v>4</v>
      </c>
      <c r="T3" s="5">
        <v>872</v>
      </c>
    </row>
    <row r="4" spans="1:20" ht="14.4">
      <c r="A4" s="6" t="s">
        <v>25</v>
      </c>
      <c r="B4" s="4">
        <v>760</v>
      </c>
      <c r="C4" s="7">
        <f ca="1">B4*C3/B3</f>
        <v>14364.40526128688</v>
      </c>
      <c r="D4" s="4">
        <f t="shared" ref="D4:F4" si="1">C31</f>
        <v>10388</v>
      </c>
      <c r="E4" s="4">
        <f t="shared" si="1"/>
        <v>730</v>
      </c>
      <c r="F4" s="7">
        <f t="shared" si="1"/>
        <v>40.659999999999997</v>
      </c>
      <c r="G4" s="4">
        <v>17.079999999999998</v>
      </c>
      <c r="H4" s="4">
        <v>5989</v>
      </c>
      <c r="I4" s="4">
        <v>111</v>
      </c>
      <c r="J4" s="4">
        <v>90</v>
      </c>
      <c r="K4" s="4">
        <v>3451</v>
      </c>
      <c r="L4" s="4">
        <v>1478</v>
      </c>
      <c r="M4" s="4">
        <v>7962</v>
      </c>
      <c r="N4" s="4">
        <v>1954</v>
      </c>
      <c r="O4" s="4">
        <v>887</v>
      </c>
      <c r="P4" s="4">
        <v>944</v>
      </c>
      <c r="Q4" s="4">
        <v>-723</v>
      </c>
      <c r="R4" s="4">
        <v>-112</v>
      </c>
      <c r="S4" s="4">
        <f t="shared" si="0"/>
        <v>109</v>
      </c>
      <c r="T4" s="5">
        <v>511</v>
      </c>
    </row>
    <row r="5" spans="1:20" ht="14.4">
      <c r="A5" s="6" t="s">
        <v>26</v>
      </c>
      <c r="B5" s="8">
        <f t="shared" ref="B5:T5" ca="1" si="2">(B3/B4)-1</f>
        <v>1.0357236842105264</v>
      </c>
      <c r="C5" s="8">
        <f t="shared" ca="1" si="2"/>
        <v>1.0357236842105264</v>
      </c>
      <c r="D5" s="8">
        <f t="shared" si="2"/>
        <v>0.12706969580284944</v>
      </c>
      <c r="E5" s="8">
        <f t="shared" si="2"/>
        <v>0.27945205479452051</v>
      </c>
      <c r="F5" s="8">
        <f t="shared" si="2"/>
        <v>0.2555336940482047</v>
      </c>
      <c r="G5" s="8">
        <f t="shared" si="2"/>
        <v>7.1428571428571619E-2</v>
      </c>
      <c r="H5" s="8">
        <f t="shared" si="2"/>
        <v>0.13207547169811318</v>
      </c>
      <c r="I5" s="8">
        <f t="shared" si="2"/>
        <v>-0.53153153153153154</v>
      </c>
      <c r="J5" s="8">
        <f t="shared" si="2"/>
        <v>0.14444444444444438</v>
      </c>
      <c r="K5" s="8">
        <f t="shared" si="2"/>
        <v>0.12112431179368288</v>
      </c>
      <c r="L5" s="8">
        <f t="shared" si="2"/>
        <v>0.16711772665764557</v>
      </c>
      <c r="M5" s="8">
        <f t="shared" si="2"/>
        <v>0.12748053252951519</v>
      </c>
      <c r="N5" s="8">
        <f t="shared" si="2"/>
        <v>0.11514841351074723</v>
      </c>
      <c r="O5" s="8">
        <f t="shared" si="2"/>
        <v>0.28072153325817362</v>
      </c>
      <c r="P5" s="8">
        <f t="shared" si="2"/>
        <v>0.34110169491525433</v>
      </c>
      <c r="Q5" s="8">
        <f t="shared" si="2"/>
        <v>0.41078838174273868</v>
      </c>
      <c r="R5" s="8">
        <f t="shared" si="2"/>
        <v>1.1607142857142856</v>
      </c>
      <c r="S5" s="8">
        <f t="shared" si="2"/>
        <v>-0.96330275229357798</v>
      </c>
      <c r="T5" s="8">
        <f t="shared" si="2"/>
        <v>0.70645792563600773</v>
      </c>
    </row>
    <row r="8" spans="1:20" ht="15" customHeight="1">
      <c r="A8" s="9" t="s">
        <v>27</v>
      </c>
      <c r="B8" s="9" t="s">
        <v>28</v>
      </c>
      <c r="C8" s="10"/>
      <c r="D8" s="10"/>
      <c r="E8" s="9" t="s">
        <v>29</v>
      </c>
      <c r="F8" s="10"/>
      <c r="G8" s="10"/>
      <c r="H8" s="9" t="s">
        <v>30</v>
      </c>
      <c r="I8" s="10"/>
      <c r="J8" s="9" t="s">
        <v>31</v>
      </c>
      <c r="K8" s="10"/>
      <c r="L8" s="10"/>
      <c r="M8" s="10"/>
      <c r="N8" s="10"/>
    </row>
    <row r="9" spans="1:20" ht="14.4">
      <c r="A9" s="11" t="s">
        <v>32</v>
      </c>
      <c r="B9" s="12" t="s">
        <v>33</v>
      </c>
      <c r="C9" s="13" t="s">
        <v>34</v>
      </c>
      <c r="D9" s="12" t="s">
        <v>35</v>
      </c>
      <c r="E9" s="12" t="s">
        <v>36</v>
      </c>
      <c r="F9" s="12" t="s">
        <v>37</v>
      </c>
      <c r="G9" s="12" t="s">
        <v>38</v>
      </c>
      <c r="H9" s="12" t="s">
        <v>39</v>
      </c>
      <c r="I9" s="12" t="s">
        <v>40</v>
      </c>
      <c r="J9" s="12" t="s">
        <v>41</v>
      </c>
      <c r="K9" s="12" t="s">
        <v>42</v>
      </c>
      <c r="L9" s="12" t="s">
        <v>43</v>
      </c>
      <c r="M9" s="12" t="s">
        <v>44</v>
      </c>
      <c r="N9" s="12" t="s">
        <v>45</v>
      </c>
      <c r="O9" s="2" t="s">
        <v>46</v>
      </c>
    </row>
    <row r="10" spans="1:20" ht="14.4">
      <c r="A10" s="14">
        <f>L18</f>
        <v>0.17</v>
      </c>
      <c r="B10" s="15">
        <f>L20</f>
        <v>7.5999999999999998E-2</v>
      </c>
      <c r="C10" s="16">
        <f>(K3/L3)</f>
        <v>2.2428985507246377</v>
      </c>
      <c r="D10" s="17">
        <f>(O3/D3)*365</f>
        <v>35.415100785787494</v>
      </c>
      <c r="E10" s="15">
        <f>I3/(G3+H3)</f>
        <v>7.6489710662959853E-3</v>
      </c>
      <c r="F10" s="15">
        <f>N3/M3</f>
        <v>0.24273142475214438</v>
      </c>
      <c r="G10" s="18">
        <f>O39</f>
        <v>33.309322033898304</v>
      </c>
      <c r="H10" s="15">
        <f>E3/(G3+H3)</f>
        <v>0.13738728799847019</v>
      </c>
      <c r="I10" s="15">
        <f>E3/M3</f>
        <v>0.10404366714938175</v>
      </c>
      <c r="J10" s="16">
        <f ca="1">B3/F3</f>
        <v>30.306562193927526</v>
      </c>
      <c r="K10" s="19">
        <f ca="1">J10/B3</f>
        <v>1.9588638589618023E-2</v>
      </c>
      <c r="L10" s="18">
        <f>(H3+G3)/(G3/1)</f>
        <v>371.49180327868851</v>
      </c>
      <c r="M10" s="16">
        <f ca="1">B3/L10</f>
        <v>4.1646948501831345</v>
      </c>
      <c r="N10" s="16">
        <f ca="1">R18</f>
        <v>2.7529359430604985</v>
      </c>
      <c r="O10" s="20">
        <v>1.4999999999999999E-2</v>
      </c>
    </row>
    <row r="13" spans="1:20" ht="14.4">
      <c r="A13" s="2" t="s">
        <v>47</v>
      </c>
      <c r="B13" s="2" t="s">
        <v>48</v>
      </c>
      <c r="C13" s="21" t="s">
        <v>7</v>
      </c>
      <c r="D13" s="21" t="s">
        <v>8</v>
      </c>
      <c r="E13" s="21" t="s">
        <v>49</v>
      </c>
      <c r="F13" s="21" t="s">
        <v>50</v>
      </c>
    </row>
    <row r="14" spans="1:20" ht="14.4">
      <c r="A14" s="5"/>
      <c r="B14" s="22" t="s">
        <v>51</v>
      </c>
      <c r="C14" s="23">
        <f t="shared" ref="C14:E14" si="3">FV(12%,5,0,-C15,0)</f>
        <v>47726.531042738963</v>
      </c>
      <c r="D14" s="23">
        <f t="shared" si="3"/>
        <v>3627.2163592481616</v>
      </c>
      <c r="E14" s="23">
        <f t="shared" si="3"/>
        <v>199.05255051952636</v>
      </c>
      <c r="F14" s="24">
        <f t="shared" ref="F14:F16" si="4">E14*$M$26</f>
        <v>3383.8933588319483</v>
      </c>
      <c r="H14" s="9" t="s">
        <v>52</v>
      </c>
      <c r="I14" s="9" t="s">
        <v>53</v>
      </c>
      <c r="J14" s="9" t="s">
        <v>54</v>
      </c>
      <c r="K14" s="9" t="s">
        <v>54</v>
      </c>
      <c r="L14" s="25" t="s">
        <v>55</v>
      </c>
    </row>
    <row r="15" spans="1:20" ht="15" customHeight="1">
      <c r="A15" s="5"/>
      <c r="B15" s="22" t="s">
        <v>56</v>
      </c>
      <c r="C15" s="23">
        <f t="shared" ref="C15:E15" si="5">FV(C19,5,0,-C16,0)</f>
        <v>27081.315443937488</v>
      </c>
      <c r="D15" s="23">
        <f t="shared" si="5"/>
        <v>2058.1799737392494</v>
      </c>
      <c r="E15" s="23">
        <f t="shared" si="5"/>
        <v>112.94776286406247</v>
      </c>
      <c r="F15" s="24">
        <f t="shared" si="4"/>
        <v>1920.111968689062</v>
      </c>
      <c r="H15" s="26">
        <v>13.25</v>
      </c>
      <c r="I15" s="26">
        <v>14.91</v>
      </c>
      <c r="J15" s="26">
        <v>12.55</v>
      </c>
      <c r="K15" s="26">
        <v>13.61</v>
      </c>
      <c r="L15" s="27">
        <f>SUM(H15:K15)</f>
        <v>54.32</v>
      </c>
    </row>
    <row r="16" spans="1:20" ht="14.4">
      <c r="A16" s="5"/>
      <c r="B16" s="22" t="s">
        <v>57</v>
      </c>
      <c r="C16" s="23">
        <f>FV(C20,1,0,-C30,0)</f>
        <v>13464.199999999999</v>
      </c>
      <c r="D16" s="24">
        <f>C16*F20</f>
        <v>1023.2791999999999</v>
      </c>
      <c r="E16" s="28">
        <f>FV(E20,1,0,-E30,0)</f>
        <v>56.155000000000001</v>
      </c>
      <c r="F16" s="24">
        <f t="shared" si="4"/>
        <v>954.63499999999999</v>
      </c>
    </row>
    <row r="17" spans="1:27" ht="14.4">
      <c r="H17" s="9" t="s">
        <v>58</v>
      </c>
      <c r="I17" s="9" t="s">
        <v>59</v>
      </c>
      <c r="J17" s="9" t="s">
        <v>60</v>
      </c>
      <c r="K17" s="9" t="s">
        <v>61</v>
      </c>
      <c r="L17" s="9" t="s">
        <v>62</v>
      </c>
      <c r="M17" s="9" t="s">
        <v>63</v>
      </c>
      <c r="O17" s="29" t="s">
        <v>64</v>
      </c>
      <c r="P17" s="29" t="s">
        <v>65</v>
      </c>
      <c r="Q17" s="29" t="s">
        <v>66</v>
      </c>
      <c r="R17" s="30" t="s">
        <v>67</v>
      </c>
    </row>
    <row r="18" spans="1:27" ht="15" customHeight="1">
      <c r="A18" s="2" t="s">
        <v>68</v>
      </c>
      <c r="B18" s="2" t="s">
        <v>48</v>
      </c>
      <c r="C18" s="21" t="s">
        <v>7</v>
      </c>
      <c r="D18" s="21" t="s">
        <v>8</v>
      </c>
      <c r="E18" s="21" t="s">
        <v>49</v>
      </c>
      <c r="F18" s="21" t="s">
        <v>69</v>
      </c>
      <c r="H18" s="31" t="s">
        <v>70</v>
      </c>
      <c r="I18" s="32">
        <v>0.08</v>
      </c>
      <c r="J18" s="32">
        <v>0.11</v>
      </c>
      <c r="K18" s="32">
        <v>0.13</v>
      </c>
      <c r="L18" s="32">
        <v>0.17</v>
      </c>
      <c r="M18" s="32">
        <v>0.15</v>
      </c>
      <c r="O18" s="33">
        <v>51.05</v>
      </c>
      <c r="P18" s="34">
        <v>54.32</v>
      </c>
      <c r="Q18" s="35">
        <v>56.2</v>
      </c>
      <c r="R18" s="36">
        <f ca="1">Q20/10</f>
        <v>2.7529359430604985</v>
      </c>
    </row>
    <row r="19" spans="1:27" ht="15" customHeight="1">
      <c r="A19" s="5"/>
      <c r="B19" s="22" t="s">
        <v>71</v>
      </c>
      <c r="C19" s="37">
        <v>0.15</v>
      </c>
      <c r="D19" s="37">
        <v>0.15</v>
      </c>
      <c r="E19" s="37">
        <v>0.15</v>
      </c>
      <c r="F19" s="38">
        <f>AVERAGE(H23:H26)</f>
        <v>7.8726832889278106E-2</v>
      </c>
      <c r="H19" s="31" t="s">
        <v>72</v>
      </c>
      <c r="I19" s="39">
        <v>0.26</v>
      </c>
      <c r="J19" s="39">
        <v>0.21</v>
      </c>
      <c r="K19" s="39">
        <v>0.28000000000000003</v>
      </c>
      <c r="L19" s="39">
        <v>0.26</v>
      </c>
      <c r="M19" s="40">
        <v>0.1</v>
      </c>
      <c r="O19" s="29" t="s">
        <v>73</v>
      </c>
      <c r="P19" s="29" t="s">
        <v>74</v>
      </c>
      <c r="Q19" s="29" t="s">
        <v>75</v>
      </c>
      <c r="R19" s="41"/>
    </row>
    <row r="20" spans="1:27" ht="15" customHeight="1">
      <c r="A20" s="5"/>
      <c r="B20" s="22" t="s">
        <v>76</v>
      </c>
      <c r="C20" s="37">
        <v>0.15</v>
      </c>
      <c r="D20" s="37">
        <f>(D16/D30)-1</f>
        <v>9.5588008565310467E-2</v>
      </c>
      <c r="E20" s="37">
        <v>0.1</v>
      </c>
      <c r="F20" s="38">
        <f>M20</f>
        <v>7.5999999999999998E-2</v>
      </c>
      <c r="H20" s="31" t="s">
        <v>77</v>
      </c>
      <c r="I20" s="42">
        <v>7.2999999999999995E-2</v>
      </c>
      <c r="J20" s="42">
        <v>7.5999999999999998E-2</v>
      </c>
      <c r="K20" s="42">
        <v>0.08</v>
      </c>
      <c r="L20" s="42">
        <v>7.5999999999999998E-2</v>
      </c>
      <c r="M20" s="43">
        <v>7.5999999999999998E-2</v>
      </c>
      <c r="O20" s="44">
        <f>B4/O18</f>
        <v>14.887365328109697</v>
      </c>
      <c r="P20" s="34">
        <f ca="1">B3/P18</f>
        <v>28.482142857142858</v>
      </c>
      <c r="Q20" s="45">
        <f ca="1">B3/Q18</f>
        <v>27.529359430604984</v>
      </c>
      <c r="R20" s="41"/>
    </row>
    <row r="22" spans="1:27" ht="14.4">
      <c r="A22" s="2" t="s">
        <v>26</v>
      </c>
      <c r="B22" s="2" t="s">
        <v>48</v>
      </c>
      <c r="C22" s="21" t="s">
        <v>7</v>
      </c>
      <c r="D22" s="21" t="s">
        <v>8</v>
      </c>
      <c r="E22" s="21" t="s">
        <v>49</v>
      </c>
      <c r="F22" s="21" t="s">
        <v>10</v>
      </c>
      <c r="G22" s="21" t="s">
        <v>11</v>
      </c>
      <c r="H22" s="21" t="s">
        <v>69</v>
      </c>
      <c r="I22" s="21" t="s">
        <v>78</v>
      </c>
      <c r="J22" s="21" t="s">
        <v>79</v>
      </c>
      <c r="K22" s="21" t="s">
        <v>80</v>
      </c>
      <c r="L22" s="21" t="s">
        <v>81</v>
      </c>
      <c r="M22" s="21" t="s">
        <v>82</v>
      </c>
    </row>
    <row r="23" spans="1:27" ht="14.4">
      <c r="A23" s="5"/>
      <c r="B23" s="5" t="s">
        <v>83</v>
      </c>
      <c r="C23" s="37">
        <f t="shared" ref="C23:D23" si="6">(C30/C50)^(1/22)-1</f>
        <v>0.21410518010645374</v>
      </c>
      <c r="D23" s="37">
        <f t="shared" si="6"/>
        <v>0.36463267880532912</v>
      </c>
      <c r="E23" s="37">
        <f>((15*E30)/E50)^(1/22)-1</f>
        <v>0.35236793159384905</v>
      </c>
      <c r="F23" s="37">
        <f t="shared" ref="F23:G23" si="7">(F30/F50)^(1/22)-1</f>
        <v>2.3406354612427682E-2</v>
      </c>
      <c r="G23" s="37">
        <f t="shared" si="7"/>
        <v>0.18465753812963093</v>
      </c>
      <c r="H23" s="38">
        <f>MEDIAN(H30:H50)</f>
        <v>7.9774513153399382E-2</v>
      </c>
      <c r="I23" s="37">
        <f t="shared" ref="I23:J23" si="8">((15*I30)/I50)^(1/22)-1</f>
        <v>0.24849098194722563</v>
      </c>
      <c r="J23" s="37">
        <f t="shared" si="8"/>
        <v>0.27019319345474169</v>
      </c>
      <c r="K23" s="24">
        <f t="shared" ref="K23:L23" si="9">MEDIAN(K30:K50)</f>
        <v>18.5</v>
      </c>
      <c r="L23" s="24">
        <f t="shared" si="9"/>
        <v>9.454545454545455</v>
      </c>
      <c r="M23" s="24">
        <f t="shared" ref="M23:M25" si="10">AVERAGE(K23:L23)</f>
        <v>13.977272727272727</v>
      </c>
    </row>
    <row r="24" spans="1:27" ht="14.4">
      <c r="A24" s="5"/>
      <c r="B24" s="5" t="s">
        <v>84</v>
      </c>
      <c r="C24" s="37">
        <f t="shared" ref="C24:G24" si="11">(C30/C40)^(1/10)-1</f>
        <v>0.13148634256105307</v>
      </c>
      <c r="D24" s="37">
        <f t="shared" si="11"/>
        <v>9.7913388707407512E-2</v>
      </c>
      <c r="E24" s="37">
        <f t="shared" si="11"/>
        <v>8.7820669613090319E-2</v>
      </c>
      <c r="F24" s="37">
        <f t="shared" si="11"/>
        <v>7.3959877853404521E-3</v>
      </c>
      <c r="G24" s="37">
        <f t="shared" si="11"/>
        <v>0.17548871299133895</v>
      </c>
      <c r="H24" s="38">
        <f>MEDIAN(H30:H40)</f>
        <v>7.9919745861895999E-2</v>
      </c>
      <c r="I24" s="37">
        <f t="shared" ref="I24:J24" si="12">(I30/I40)^(1/10)-1</f>
        <v>8.4382920119802751E-2</v>
      </c>
      <c r="J24" s="37">
        <f t="shared" si="12"/>
        <v>0.11486474700575178</v>
      </c>
      <c r="K24" s="24">
        <f t="shared" ref="K24:L24" si="13">MEDIAN(K30:K40)</f>
        <v>28.85704765078307</v>
      </c>
      <c r="L24" s="24">
        <f t="shared" si="13"/>
        <v>15.708333333333334</v>
      </c>
      <c r="M24" s="24">
        <f t="shared" si="10"/>
        <v>22.282690492058201</v>
      </c>
      <c r="N24" s="46"/>
      <c r="O24" s="46"/>
      <c r="P24" s="46"/>
    </row>
    <row r="25" spans="1:27" ht="14.4">
      <c r="A25" s="5"/>
      <c r="B25" s="5" t="s">
        <v>85</v>
      </c>
      <c r="C25" s="37">
        <f t="shared" ref="C25:G25" si="14">(C30/C35)^(1/5)-1</f>
        <v>0.11502401157393582</v>
      </c>
      <c r="D25" s="37">
        <f t="shared" si="14"/>
        <v>0.14098503706440679</v>
      </c>
      <c r="E25" s="37">
        <f t="shared" si="14"/>
        <v>0.12763239261243209</v>
      </c>
      <c r="F25" s="37">
        <f t="shared" si="14"/>
        <v>1.4846676206001774E-2</v>
      </c>
      <c r="G25" s="37">
        <f t="shared" si="14"/>
        <v>0.15364094716835508</v>
      </c>
      <c r="H25" s="38">
        <f>MEDIAN(H30:H35)</f>
        <v>7.5438559388417634E-2</v>
      </c>
      <c r="I25" s="37">
        <f t="shared" ref="I25:J25" si="15">(I30/I35)^(1/5)-1</f>
        <v>1.5371174907317098E-3</v>
      </c>
      <c r="J25" s="37">
        <f t="shared" si="15"/>
        <v>-1.6640022197622617E-2</v>
      </c>
      <c r="K25" s="24">
        <f t="shared" ref="K25:L25" si="16">MEDIAN(K30:K35)</f>
        <v>23.98224018741579</v>
      </c>
      <c r="L25" s="24">
        <f t="shared" si="16"/>
        <v>12.063691783349761</v>
      </c>
      <c r="M25" s="24">
        <f t="shared" si="10"/>
        <v>18.022965985382776</v>
      </c>
      <c r="N25" s="47"/>
      <c r="O25" s="48"/>
      <c r="P25" s="48"/>
    </row>
    <row r="26" spans="1:27" ht="14.4">
      <c r="A26" s="5"/>
      <c r="B26" s="5" t="s">
        <v>86</v>
      </c>
      <c r="C26" s="37">
        <f t="shared" ref="C26:G26" si="17">(C30/C31)^(1/1)-1</f>
        <v>0.12706969580284944</v>
      </c>
      <c r="D26" s="37">
        <f t="shared" si="17"/>
        <v>0.27945205479452051</v>
      </c>
      <c r="E26" s="37">
        <f t="shared" si="17"/>
        <v>0.2555336940482047</v>
      </c>
      <c r="F26" s="37">
        <f t="shared" si="17"/>
        <v>7.6470588235294068E-2</v>
      </c>
      <c r="G26" s="37">
        <f t="shared" si="17"/>
        <v>0.13207547169811318</v>
      </c>
      <c r="H26" s="38">
        <f>H30</f>
        <v>7.9774513153399382E-2</v>
      </c>
      <c r="I26" s="37">
        <f t="shared" ref="I26:J26" si="18">(I30/I31)^(1/1)-1</f>
        <v>0.36976047904191622</v>
      </c>
      <c r="J26" s="37">
        <f t="shared" si="18"/>
        <v>0.408675799086758</v>
      </c>
      <c r="K26" s="24">
        <f t="shared" ref="K26:L26" si="19">K30</f>
        <v>17.92360430950049</v>
      </c>
      <c r="L26" s="24">
        <f t="shared" si="19"/>
        <v>12.08619000979432</v>
      </c>
      <c r="M26" s="5">
        <v>17</v>
      </c>
      <c r="N26" s="47"/>
      <c r="O26" s="48"/>
      <c r="P26" s="48"/>
    </row>
    <row r="27" spans="1:27" ht="14.4">
      <c r="C27" s="49">
        <f t="shared" ref="C27:D27" si="20">C30/C50</f>
        <v>71.390243902439025</v>
      </c>
      <c r="D27" s="49">
        <f t="shared" si="20"/>
        <v>934</v>
      </c>
      <c r="E27" s="49"/>
      <c r="G27" s="49">
        <f>G30/G50</f>
        <v>41.595092024539881</v>
      </c>
      <c r="I27" s="47">
        <f t="shared" ref="I27:J27" si="21">I30*15</f>
        <v>13725</v>
      </c>
      <c r="J27" s="47">
        <f t="shared" si="21"/>
        <v>9255</v>
      </c>
      <c r="N27" s="47"/>
      <c r="O27" s="48"/>
      <c r="P27" s="48"/>
    </row>
    <row r="28" spans="1:27" ht="14.4">
      <c r="A28" s="2" t="s">
        <v>87</v>
      </c>
      <c r="B28" s="2" t="s">
        <v>48</v>
      </c>
      <c r="C28" s="21" t="s">
        <v>7</v>
      </c>
      <c r="D28" s="21" t="s">
        <v>8</v>
      </c>
      <c r="E28" s="21" t="s">
        <v>49</v>
      </c>
      <c r="F28" s="21" t="s">
        <v>10</v>
      </c>
      <c r="G28" s="21" t="s">
        <v>11</v>
      </c>
      <c r="H28" s="21" t="s">
        <v>69</v>
      </c>
      <c r="I28" s="21" t="s">
        <v>78</v>
      </c>
      <c r="J28" s="21" t="s">
        <v>79</v>
      </c>
      <c r="K28" s="21" t="s">
        <v>80</v>
      </c>
      <c r="L28" s="21" t="s">
        <v>81</v>
      </c>
      <c r="N28" s="21" t="s">
        <v>88</v>
      </c>
      <c r="O28" s="21" t="s">
        <v>89</v>
      </c>
      <c r="P28" s="21" t="s">
        <v>90</v>
      </c>
      <c r="Q28" s="21" t="s">
        <v>26</v>
      </c>
      <c r="S28" s="21" t="s">
        <v>88</v>
      </c>
      <c r="T28" s="21" t="s">
        <v>91</v>
      </c>
      <c r="U28" s="21" t="s">
        <v>92</v>
      </c>
      <c r="V28" s="21" t="s">
        <v>26</v>
      </c>
      <c r="X28" s="21" t="s">
        <v>88</v>
      </c>
      <c r="Y28" s="21" t="s">
        <v>93</v>
      </c>
      <c r="Z28" s="21" t="s">
        <v>94</v>
      </c>
      <c r="AA28" s="21" t="s">
        <v>26</v>
      </c>
    </row>
    <row r="29" spans="1:27" ht="14.4">
      <c r="B29" s="22" t="s">
        <v>95</v>
      </c>
      <c r="C29" s="23">
        <f>C30+O29-P29</f>
        <v>12175</v>
      </c>
      <c r="D29" s="5">
        <f>D30+O35-P35</f>
        <v>985</v>
      </c>
      <c r="E29" s="5">
        <v>65.319999999999993</v>
      </c>
      <c r="F29" s="24">
        <v>18.3</v>
      </c>
      <c r="G29" s="5">
        <v>6780</v>
      </c>
      <c r="H29" s="38">
        <f t="shared" ref="H29:H55" si="22">D29/C29</f>
        <v>8.0903490759753588E-2</v>
      </c>
      <c r="I29" s="5">
        <v>1776</v>
      </c>
      <c r="J29" s="5">
        <v>768</v>
      </c>
      <c r="K29" s="24">
        <f t="shared" ref="K29:K55" si="23">I29/E29</f>
        <v>27.189222290263324</v>
      </c>
      <c r="L29" s="24">
        <f t="shared" ref="L29:L55" si="24">J29/E29</f>
        <v>11.75750153092468</v>
      </c>
      <c r="N29" s="5" t="s">
        <v>7</v>
      </c>
      <c r="O29" s="23">
        <v>3263</v>
      </c>
      <c r="P29" s="23">
        <v>2796</v>
      </c>
      <c r="Q29" s="37">
        <f t="shared" ref="Q29:Q36" si="25">(O29/P29)^(1/1)-1</f>
        <v>0.1670243204577968</v>
      </c>
      <c r="S29" s="5" t="s">
        <v>7</v>
      </c>
      <c r="T29" s="23">
        <v>2907</v>
      </c>
      <c r="U29" s="23">
        <v>2433</v>
      </c>
      <c r="V29" s="37">
        <f t="shared" ref="V29:V33" si="26">(T29/U29)^(1/1)-1</f>
        <v>0.19482120838471029</v>
      </c>
      <c r="X29" s="5" t="s">
        <v>7</v>
      </c>
      <c r="Y29" s="23">
        <v>11708</v>
      </c>
      <c r="Z29" s="23">
        <v>10392</v>
      </c>
      <c r="AA29" s="37">
        <f t="shared" ref="AA29:AA33" si="27">(Y29/Z29)^(1/1)-1</f>
        <v>0.12663587374903762</v>
      </c>
    </row>
    <row r="30" spans="1:27" ht="14.4">
      <c r="B30" s="22" t="s">
        <v>96</v>
      </c>
      <c r="C30" s="5">
        <v>11708</v>
      </c>
      <c r="D30" s="5">
        <v>934</v>
      </c>
      <c r="E30" s="5">
        <v>51.05</v>
      </c>
      <c r="F30" s="24">
        <v>18.3</v>
      </c>
      <c r="G30" s="5">
        <v>6780</v>
      </c>
      <c r="H30" s="38">
        <f t="shared" si="22"/>
        <v>7.9774513153399382E-2</v>
      </c>
      <c r="I30" s="5">
        <v>915</v>
      </c>
      <c r="J30" s="5">
        <v>617</v>
      </c>
      <c r="K30" s="24">
        <f t="shared" si="23"/>
        <v>17.92360430950049</v>
      </c>
      <c r="L30" s="24">
        <f t="shared" si="24"/>
        <v>12.08619000979432</v>
      </c>
      <c r="N30" s="5" t="s">
        <v>97</v>
      </c>
      <c r="O30" s="23">
        <v>2958</v>
      </c>
      <c r="P30" s="23">
        <v>2553</v>
      </c>
      <c r="Q30" s="37">
        <f t="shared" si="25"/>
        <v>0.15863689776733247</v>
      </c>
      <c r="S30" s="5" t="s">
        <v>97</v>
      </c>
      <c r="T30" s="23">
        <v>2631</v>
      </c>
      <c r="U30" s="23">
        <v>2212</v>
      </c>
      <c r="V30" s="37">
        <f t="shared" si="26"/>
        <v>0.18942133815551543</v>
      </c>
      <c r="X30" s="5" t="s">
        <v>97</v>
      </c>
      <c r="Y30" s="23">
        <v>10568</v>
      </c>
      <c r="Z30" s="23">
        <v>9440</v>
      </c>
      <c r="AA30" s="37">
        <f t="shared" si="27"/>
        <v>0.11949152542372876</v>
      </c>
    </row>
    <row r="31" spans="1:27" ht="14.4">
      <c r="A31" s="5"/>
      <c r="B31" s="22" t="s">
        <v>98</v>
      </c>
      <c r="C31" s="5">
        <v>10388</v>
      </c>
      <c r="D31" s="5">
        <v>730</v>
      </c>
      <c r="E31" s="5">
        <v>40.659999999999997</v>
      </c>
      <c r="F31" s="5">
        <v>17</v>
      </c>
      <c r="G31" s="5">
        <v>5989</v>
      </c>
      <c r="H31" s="38">
        <f t="shared" si="22"/>
        <v>7.0273392375818255E-2</v>
      </c>
      <c r="I31" s="5">
        <v>668</v>
      </c>
      <c r="J31" s="5">
        <v>438</v>
      </c>
      <c r="K31" s="24">
        <f t="shared" si="23"/>
        <v>16.428922774225285</v>
      </c>
      <c r="L31" s="24">
        <f t="shared" si="24"/>
        <v>10.772257747171668</v>
      </c>
      <c r="N31" s="5" t="s">
        <v>99</v>
      </c>
      <c r="O31" s="23">
        <f t="shared" ref="O31:P31" si="28">O29-(O43+O45+O44+O46+O49)</f>
        <v>436</v>
      </c>
      <c r="P31" s="23">
        <f t="shared" si="28"/>
        <v>366</v>
      </c>
      <c r="Q31" s="37">
        <f t="shared" si="25"/>
        <v>0.19125683060109289</v>
      </c>
      <c r="S31" s="5" t="s">
        <v>100</v>
      </c>
      <c r="T31" s="23">
        <v>11</v>
      </c>
      <c r="U31" s="23">
        <v>8</v>
      </c>
      <c r="V31" s="37">
        <f t="shared" si="26"/>
        <v>0.375</v>
      </c>
      <c r="X31" s="5" t="s">
        <v>100</v>
      </c>
      <c r="Y31" s="23">
        <v>34</v>
      </c>
      <c r="Z31" s="23">
        <v>29</v>
      </c>
      <c r="AA31" s="37">
        <f t="shared" si="27"/>
        <v>0.17241379310344818</v>
      </c>
    </row>
    <row r="32" spans="1:27" ht="14.4">
      <c r="A32" s="5"/>
      <c r="B32" s="22" t="s">
        <v>101</v>
      </c>
      <c r="C32" s="5">
        <v>8697</v>
      </c>
      <c r="D32" s="5">
        <v>513</v>
      </c>
      <c r="E32" s="5">
        <v>30.01</v>
      </c>
      <c r="F32" s="5">
        <v>17</v>
      </c>
      <c r="G32" s="5">
        <v>4535</v>
      </c>
      <c r="H32" s="38">
        <f t="shared" si="22"/>
        <v>5.898585719213522E-2</v>
      </c>
      <c r="I32" s="5">
        <v>866</v>
      </c>
      <c r="J32" s="5">
        <v>534</v>
      </c>
      <c r="K32" s="24">
        <f t="shared" si="23"/>
        <v>28.85704765078307</v>
      </c>
      <c r="L32" s="24">
        <f t="shared" si="24"/>
        <v>17.794068643785405</v>
      </c>
      <c r="N32" s="5" t="s">
        <v>100</v>
      </c>
      <c r="O32" s="23">
        <v>9.44</v>
      </c>
      <c r="P32" s="23">
        <v>7.63</v>
      </c>
      <c r="Q32" s="37">
        <f t="shared" si="25"/>
        <v>0.23722149410222793</v>
      </c>
      <c r="S32" s="5" t="s">
        <v>8</v>
      </c>
      <c r="T32" s="5">
        <v>229</v>
      </c>
      <c r="U32" s="5">
        <v>142</v>
      </c>
      <c r="V32" s="37">
        <f t="shared" si="26"/>
        <v>0.61267605633802824</v>
      </c>
      <c r="X32" s="5" t="s">
        <v>8</v>
      </c>
      <c r="Y32" s="5">
        <v>934</v>
      </c>
      <c r="Z32" s="5">
        <v>730</v>
      </c>
      <c r="AA32" s="37">
        <f t="shared" si="27"/>
        <v>0.27945205479452051</v>
      </c>
    </row>
    <row r="33" spans="1:27" ht="14.4">
      <c r="A33" s="5"/>
      <c r="B33" s="22" t="s">
        <v>102</v>
      </c>
      <c r="C33" s="5">
        <v>7150</v>
      </c>
      <c r="D33" s="5">
        <v>647</v>
      </c>
      <c r="E33" s="50">
        <v>37.869999999999997</v>
      </c>
      <c r="F33" s="5">
        <v>17</v>
      </c>
      <c r="G33" s="5">
        <v>4193</v>
      </c>
      <c r="H33" s="38">
        <f t="shared" si="22"/>
        <v>9.0489510489510483E-2</v>
      </c>
      <c r="I33" s="5">
        <v>1026</v>
      </c>
      <c r="J33" s="5">
        <v>456</v>
      </c>
      <c r="K33" s="24">
        <f t="shared" si="23"/>
        <v>27.092685503036705</v>
      </c>
      <c r="L33" s="24">
        <f t="shared" si="24"/>
        <v>12.041193556905203</v>
      </c>
      <c r="N33" s="5" t="s">
        <v>103</v>
      </c>
      <c r="O33" s="23">
        <f t="shared" ref="O33:P33" si="29">O31-O32</f>
        <v>426.56</v>
      </c>
      <c r="P33" s="23">
        <f t="shared" si="29"/>
        <v>358.37</v>
      </c>
      <c r="Q33" s="37">
        <f t="shared" si="25"/>
        <v>0.19027820409074425</v>
      </c>
      <c r="S33" s="5" t="s">
        <v>49</v>
      </c>
      <c r="T33" s="5">
        <v>12.55</v>
      </c>
      <c r="U33" s="5">
        <v>7.78</v>
      </c>
      <c r="V33" s="37">
        <f t="shared" si="26"/>
        <v>0.61311053984575836</v>
      </c>
      <c r="X33" s="5" t="s">
        <v>49</v>
      </c>
      <c r="Y33" s="5">
        <v>51.05</v>
      </c>
      <c r="Z33" s="5">
        <v>39.93</v>
      </c>
      <c r="AA33" s="37">
        <f t="shared" si="27"/>
        <v>0.27848735286751802</v>
      </c>
    </row>
    <row r="34" spans="1:27" ht="14.4">
      <c r="A34" s="5"/>
      <c r="B34" s="22" t="s">
        <v>104</v>
      </c>
      <c r="C34" s="5">
        <v>6839</v>
      </c>
      <c r="D34" s="5">
        <v>661</v>
      </c>
      <c r="E34" s="50">
        <v>39</v>
      </c>
      <c r="F34" s="5">
        <v>17</v>
      </c>
      <c r="G34" s="5">
        <v>3638</v>
      </c>
      <c r="H34" s="38">
        <f t="shared" si="22"/>
        <v>9.6651557245211295E-2</v>
      </c>
      <c r="I34" s="5">
        <v>814</v>
      </c>
      <c r="J34" s="5">
        <v>350</v>
      </c>
      <c r="K34" s="24">
        <f t="shared" si="23"/>
        <v>20.871794871794872</v>
      </c>
      <c r="L34" s="24">
        <f t="shared" si="24"/>
        <v>8.9743589743589745</v>
      </c>
      <c r="N34" s="5" t="s">
        <v>105</v>
      </c>
      <c r="O34" s="23">
        <f t="shared" ref="O34:P34" si="30">O33-O48</f>
        <v>304.56</v>
      </c>
      <c r="P34" s="23">
        <f t="shared" si="30"/>
        <v>241.37</v>
      </c>
      <c r="Q34" s="37">
        <f t="shared" si="25"/>
        <v>0.26179724075071475</v>
      </c>
      <c r="S34" s="5" t="s">
        <v>69</v>
      </c>
      <c r="T34" s="38">
        <f t="shared" ref="T34:U34" si="31">T32/T29</f>
        <v>7.8775369797041625E-2</v>
      </c>
      <c r="U34" s="38">
        <f t="shared" si="31"/>
        <v>5.8364159473900536E-2</v>
      </c>
      <c r="V34" s="38">
        <f t="shared" ref="V34:V35" si="32">T34-U34</f>
        <v>2.0411210323141089E-2</v>
      </c>
      <c r="X34" s="5" t="s">
        <v>69</v>
      </c>
      <c r="Y34" s="38">
        <f t="shared" ref="Y34:Z34" si="33">Y32/Y29</f>
        <v>7.9774513153399382E-2</v>
      </c>
      <c r="Z34" s="38">
        <f t="shared" si="33"/>
        <v>7.0246343341031567E-2</v>
      </c>
      <c r="AA34" s="38">
        <f t="shared" ref="AA34:AA35" si="34">Y34-Z34</f>
        <v>9.5281698123678149E-3</v>
      </c>
    </row>
    <row r="35" spans="1:27" ht="14.4">
      <c r="A35" s="5"/>
      <c r="B35" s="22" t="s">
        <v>106</v>
      </c>
      <c r="C35" s="5">
        <v>6793</v>
      </c>
      <c r="D35" s="5">
        <v>483</v>
      </c>
      <c r="E35" s="50">
        <v>28</v>
      </c>
      <c r="F35" s="5">
        <v>17</v>
      </c>
      <c r="G35" s="5">
        <v>3318</v>
      </c>
      <c r="H35" s="38">
        <f t="shared" si="22"/>
        <v>7.1102605623435886E-2</v>
      </c>
      <c r="I35" s="5">
        <v>908</v>
      </c>
      <c r="J35" s="5">
        <v>671</v>
      </c>
      <c r="K35" s="24">
        <f t="shared" si="23"/>
        <v>32.428571428571431</v>
      </c>
      <c r="L35" s="24">
        <f t="shared" si="24"/>
        <v>23.964285714285715</v>
      </c>
      <c r="N35" s="5" t="s">
        <v>8</v>
      </c>
      <c r="O35" s="5">
        <v>249</v>
      </c>
      <c r="P35" s="5">
        <v>198</v>
      </c>
      <c r="Q35" s="37">
        <f t="shared" si="25"/>
        <v>0.25757575757575757</v>
      </c>
      <c r="S35" s="5" t="s">
        <v>38</v>
      </c>
      <c r="T35" s="24">
        <f t="shared" ref="T35:U35" si="35">(T29-T30+T31)/T31</f>
        <v>26.09090909090909</v>
      </c>
      <c r="U35" s="24">
        <f t="shared" si="35"/>
        <v>28.625</v>
      </c>
      <c r="V35" s="28">
        <f t="shared" si="32"/>
        <v>-2.5340909090909101</v>
      </c>
      <c r="X35" s="5" t="s">
        <v>38</v>
      </c>
      <c r="Y35" s="24">
        <f t="shared" ref="Y35:Z35" si="36">(Y29-Y30+Y31)/Y31</f>
        <v>34.529411764705884</v>
      </c>
      <c r="Z35" s="24">
        <f t="shared" si="36"/>
        <v>33.827586206896555</v>
      </c>
      <c r="AA35" s="28">
        <f t="shared" si="34"/>
        <v>0.70182555780932887</v>
      </c>
    </row>
    <row r="36" spans="1:27" ht="14.4">
      <c r="A36" s="5"/>
      <c r="B36" s="22" t="s">
        <v>107</v>
      </c>
      <c r="C36" s="5">
        <v>6233</v>
      </c>
      <c r="D36" s="5">
        <v>471</v>
      </c>
      <c r="E36" s="50">
        <v>28</v>
      </c>
      <c r="F36" s="5">
        <v>17</v>
      </c>
      <c r="G36" s="5">
        <v>2920</v>
      </c>
      <c r="H36" s="38">
        <f t="shared" si="22"/>
        <v>7.5565538264078289E-2</v>
      </c>
      <c r="I36" s="5">
        <v>955</v>
      </c>
      <c r="J36" s="5">
        <v>665</v>
      </c>
      <c r="K36" s="24">
        <f t="shared" si="23"/>
        <v>34.107142857142854</v>
      </c>
      <c r="L36" s="24">
        <f t="shared" si="24"/>
        <v>23.75</v>
      </c>
      <c r="N36" s="5" t="s">
        <v>49</v>
      </c>
      <c r="O36" s="5">
        <v>13.61</v>
      </c>
      <c r="P36" s="5">
        <v>10.84</v>
      </c>
      <c r="Q36" s="37">
        <f t="shared" si="25"/>
        <v>0.25553505535055354</v>
      </c>
    </row>
    <row r="37" spans="1:27" ht="14.4">
      <c r="A37" s="5"/>
      <c r="B37" s="22" t="s">
        <v>108</v>
      </c>
      <c r="C37" s="5">
        <v>5981</v>
      </c>
      <c r="D37" s="5">
        <v>478</v>
      </c>
      <c r="E37" s="50">
        <v>28</v>
      </c>
      <c r="F37" s="5">
        <v>17</v>
      </c>
      <c r="G37" s="5">
        <v>2576</v>
      </c>
      <c r="H37" s="38">
        <f t="shared" si="22"/>
        <v>7.9919745861895999E-2</v>
      </c>
      <c r="I37" s="5">
        <v>1077</v>
      </c>
      <c r="J37" s="5">
        <v>821</v>
      </c>
      <c r="K37" s="24">
        <f t="shared" si="23"/>
        <v>38.464285714285715</v>
      </c>
      <c r="L37" s="24">
        <f t="shared" si="24"/>
        <v>29.321428571428573</v>
      </c>
      <c r="N37" s="5" t="s">
        <v>109</v>
      </c>
      <c r="O37" s="38">
        <f t="shared" ref="O37:P37" si="37">O33/O29</f>
        <v>0.13072632546736132</v>
      </c>
      <c r="P37" s="38">
        <f t="shared" si="37"/>
        <v>0.12817238912732476</v>
      </c>
      <c r="Q37" s="38">
        <f t="shared" ref="Q37:Q39" si="38">O37-P37</f>
        <v>2.5539363400365611E-3</v>
      </c>
    </row>
    <row r="38" spans="1:27" ht="14.4">
      <c r="A38" s="5"/>
      <c r="B38" s="22" t="s">
        <v>110</v>
      </c>
      <c r="C38" s="5">
        <v>4691</v>
      </c>
      <c r="D38" s="5">
        <v>489</v>
      </c>
      <c r="E38" s="50">
        <v>29</v>
      </c>
      <c r="F38" s="5">
        <v>17</v>
      </c>
      <c r="G38" s="5">
        <v>2085</v>
      </c>
      <c r="H38" s="38">
        <f t="shared" si="22"/>
        <v>0.10424216584949904</v>
      </c>
      <c r="I38" s="5">
        <v>1132</v>
      </c>
      <c r="J38" s="5">
        <v>773</v>
      </c>
      <c r="K38" s="24">
        <f t="shared" si="23"/>
        <v>39.03448275862069</v>
      </c>
      <c r="L38" s="24">
        <f t="shared" si="24"/>
        <v>26.655172413793103</v>
      </c>
      <c r="N38" s="5" t="s">
        <v>69</v>
      </c>
      <c r="O38" s="38">
        <f t="shared" ref="O38:P38" si="39">O35/O29</f>
        <v>7.6310144039227701E-2</v>
      </c>
      <c r="P38" s="38">
        <f t="shared" si="39"/>
        <v>7.0815450643776826E-2</v>
      </c>
      <c r="Q38" s="38">
        <f t="shared" si="38"/>
        <v>5.4946933954508753E-3</v>
      </c>
      <c r="T38" s="21" t="s">
        <v>111</v>
      </c>
      <c r="U38" s="21" t="s">
        <v>89</v>
      </c>
      <c r="V38" s="21" t="s">
        <v>90</v>
      </c>
      <c r="W38" s="21" t="s">
        <v>112</v>
      </c>
      <c r="X38" s="21" t="s">
        <v>26</v>
      </c>
    </row>
    <row r="39" spans="1:27" ht="14.4">
      <c r="A39" s="5"/>
      <c r="B39" s="22" t="s">
        <v>113</v>
      </c>
      <c r="C39" s="5">
        <v>4211</v>
      </c>
      <c r="D39" s="5">
        <v>411</v>
      </c>
      <c r="E39" s="50">
        <v>24</v>
      </c>
      <c r="F39" s="5">
        <v>17</v>
      </c>
      <c r="G39" s="5">
        <v>1682</v>
      </c>
      <c r="H39" s="38">
        <f t="shared" si="22"/>
        <v>9.760151982901924E-2</v>
      </c>
      <c r="I39" s="5">
        <v>946</v>
      </c>
      <c r="J39" s="5">
        <v>377</v>
      </c>
      <c r="K39" s="24">
        <f t="shared" si="23"/>
        <v>39.416666666666664</v>
      </c>
      <c r="L39" s="24">
        <f t="shared" si="24"/>
        <v>15.708333333333334</v>
      </c>
      <c r="N39" s="5" t="s">
        <v>38</v>
      </c>
      <c r="O39" s="24">
        <f t="shared" ref="O39:P39" si="40">(O29-O30+O32)/O32</f>
        <v>33.309322033898304</v>
      </c>
      <c r="P39" s="24">
        <f t="shared" si="40"/>
        <v>32.847968545216254</v>
      </c>
      <c r="Q39" s="28">
        <f t="shared" si="38"/>
        <v>0.46135348868205028</v>
      </c>
      <c r="T39" s="5" t="s">
        <v>114</v>
      </c>
      <c r="U39" s="23">
        <v>3137</v>
      </c>
      <c r="V39" s="23">
        <v>2688</v>
      </c>
      <c r="W39" s="37">
        <f t="shared" ref="W39:W40" si="41">U39/$U$42</f>
        <v>0.96138522831749929</v>
      </c>
      <c r="X39" s="37">
        <f t="shared" ref="X39:X40" si="42">(U39/V39)-1</f>
        <v>0.16703869047619047</v>
      </c>
    </row>
    <row r="40" spans="1:27" ht="14.4">
      <c r="A40" s="5"/>
      <c r="B40" s="22" t="s">
        <v>115</v>
      </c>
      <c r="C40" s="5">
        <v>3404</v>
      </c>
      <c r="D40" s="5">
        <v>367</v>
      </c>
      <c r="E40" s="50">
        <v>22</v>
      </c>
      <c r="F40" s="5">
        <v>17</v>
      </c>
      <c r="G40" s="5">
        <v>1346</v>
      </c>
      <c r="H40" s="38">
        <f t="shared" si="22"/>
        <v>0.10781433607520564</v>
      </c>
      <c r="I40" s="5">
        <v>407</v>
      </c>
      <c r="J40" s="5">
        <v>208</v>
      </c>
      <c r="K40" s="24">
        <f t="shared" si="23"/>
        <v>18.5</v>
      </c>
      <c r="L40" s="24">
        <f t="shared" si="24"/>
        <v>9.454545454545455</v>
      </c>
      <c r="T40" s="5" t="s">
        <v>116</v>
      </c>
      <c r="U40" s="23">
        <v>126</v>
      </c>
      <c r="V40" s="23">
        <v>108</v>
      </c>
      <c r="W40" s="37">
        <f t="shared" si="41"/>
        <v>3.8614771682500763E-2</v>
      </c>
      <c r="X40" s="37">
        <f t="shared" si="42"/>
        <v>0.16666666666666674</v>
      </c>
    </row>
    <row r="41" spans="1:27" ht="14.4">
      <c r="A41" s="5" t="s">
        <v>117</v>
      </c>
      <c r="B41" s="22" t="s">
        <v>118</v>
      </c>
      <c r="C41" s="5">
        <v>2944</v>
      </c>
      <c r="D41" s="5">
        <v>287</v>
      </c>
      <c r="E41" s="50">
        <v>17</v>
      </c>
      <c r="F41" s="5">
        <v>17</v>
      </c>
      <c r="G41" s="5">
        <v>1043</v>
      </c>
      <c r="H41" s="38">
        <f t="shared" si="22"/>
        <v>9.7486413043478257E-2</v>
      </c>
      <c r="I41" s="5">
        <v>328</v>
      </c>
      <c r="J41" s="5">
        <v>134</v>
      </c>
      <c r="K41" s="24">
        <f t="shared" si="23"/>
        <v>19.294117647058822</v>
      </c>
      <c r="L41" s="24">
        <f t="shared" si="24"/>
        <v>7.882352941176471</v>
      </c>
    </row>
    <row r="42" spans="1:27" ht="14.4">
      <c r="A42" s="5"/>
      <c r="B42" s="22" t="s">
        <v>119</v>
      </c>
      <c r="C42" s="5">
        <v>2367</v>
      </c>
      <c r="D42" s="5">
        <v>215</v>
      </c>
      <c r="E42" s="50">
        <v>25</v>
      </c>
      <c r="F42" s="5">
        <v>17</v>
      </c>
      <c r="G42" s="5">
        <v>806</v>
      </c>
      <c r="H42" s="38">
        <f t="shared" si="22"/>
        <v>9.0832277144064222E-2</v>
      </c>
      <c r="I42" s="5">
        <v>305</v>
      </c>
      <c r="J42" s="5">
        <v>179</v>
      </c>
      <c r="K42" s="24">
        <f t="shared" si="23"/>
        <v>12.2</v>
      </c>
      <c r="L42" s="24">
        <f t="shared" si="24"/>
        <v>7.16</v>
      </c>
      <c r="N42" s="21" t="s">
        <v>120</v>
      </c>
      <c r="O42" s="21" t="s">
        <v>89</v>
      </c>
      <c r="P42" s="21" t="s">
        <v>90</v>
      </c>
      <c r="Q42" s="21" t="s">
        <v>112</v>
      </c>
      <c r="R42" s="21" t="s">
        <v>26</v>
      </c>
      <c r="T42" s="5" t="s">
        <v>121</v>
      </c>
      <c r="U42" s="23">
        <f t="shared" ref="U42:V42" si="43">SUM(U39:U40)</f>
        <v>3263</v>
      </c>
      <c r="V42" s="23">
        <f t="shared" si="43"/>
        <v>2796</v>
      </c>
      <c r="W42" s="37">
        <f>U42/$O$51</f>
        <v>1.102946147293844</v>
      </c>
      <c r="X42" s="37">
        <f>(U42/V42)-1</f>
        <v>0.1670243204577968</v>
      </c>
    </row>
    <row r="43" spans="1:27" ht="14.4">
      <c r="A43" s="5"/>
      <c r="B43" s="22" t="s">
        <v>122</v>
      </c>
      <c r="C43" s="5">
        <v>1944</v>
      </c>
      <c r="D43" s="5">
        <v>148</v>
      </c>
      <c r="E43" s="50">
        <v>17</v>
      </c>
      <c r="F43" s="5">
        <v>17</v>
      </c>
      <c r="G43" s="5">
        <v>629</v>
      </c>
      <c r="H43" s="38">
        <f t="shared" si="22"/>
        <v>7.6131687242798354E-2</v>
      </c>
      <c r="I43" s="5">
        <v>228</v>
      </c>
      <c r="J43" s="5">
        <v>140</v>
      </c>
      <c r="K43" s="24">
        <f t="shared" si="23"/>
        <v>13.411764705882353</v>
      </c>
      <c r="L43" s="24">
        <f t="shared" si="24"/>
        <v>8.235294117647058</v>
      </c>
      <c r="N43" s="5" t="s">
        <v>123</v>
      </c>
      <c r="O43" s="23">
        <v>1693</v>
      </c>
      <c r="P43" s="23">
        <v>1499</v>
      </c>
      <c r="Q43" s="37">
        <f t="shared" ref="Q43:Q49" si="44">O43/$O$51</f>
        <v>0.57226105650275139</v>
      </c>
      <c r="R43" s="37">
        <f t="shared" ref="R43:R49" si="45">(O43/P43)-1</f>
        <v>0.12941961307538352</v>
      </c>
    </row>
    <row r="44" spans="1:27" ht="14.4">
      <c r="A44" s="5"/>
      <c r="B44" s="22" t="s">
        <v>124</v>
      </c>
      <c r="C44" s="5">
        <v>1465</v>
      </c>
      <c r="D44" s="5">
        <v>167</v>
      </c>
      <c r="E44" s="50">
        <v>20</v>
      </c>
      <c r="F44" s="5">
        <v>17</v>
      </c>
      <c r="G44" s="5">
        <v>527</v>
      </c>
      <c r="H44" s="38">
        <f t="shared" si="22"/>
        <v>0.11399317406143344</v>
      </c>
      <c r="I44" s="5">
        <v>183</v>
      </c>
      <c r="J44" s="5">
        <v>36</v>
      </c>
      <c r="K44" s="24">
        <f t="shared" si="23"/>
        <v>9.15</v>
      </c>
      <c r="L44" s="24">
        <f t="shared" si="24"/>
        <v>1.8</v>
      </c>
      <c r="N44" s="5" t="s">
        <v>125</v>
      </c>
      <c r="O44" s="23">
        <v>489</v>
      </c>
      <c r="P44" s="23">
        <v>383</v>
      </c>
      <c r="Q44" s="37">
        <f t="shared" si="44"/>
        <v>0.1652898149024486</v>
      </c>
      <c r="R44" s="37">
        <f t="shared" si="45"/>
        <v>0.2767624020887729</v>
      </c>
    </row>
    <row r="45" spans="1:27" ht="14.4">
      <c r="A45" s="5" t="s">
        <v>126</v>
      </c>
      <c r="B45" s="22" t="s">
        <v>127</v>
      </c>
      <c r="C45" s="5">
        <v>1313</v>
      </c>
      <c r="D45" s="5">
        <v>80</v>
      </c>
      <c r="E45" s="50">
        <v>9</v>
      </c>
      <c r="F45" s="5">
        <v>17</v>
      </c>
      <c r="G45" s="5">
        <v>389</v>
      </c>
      <c r="H45" s="38">
        <f t="shared" si="22"/>
        <v>6.0929169840060929E-2</v>
      </c>
      <c r="I45" s="5">
        <v>143</v>
      </c>
      <c r="J45" s="5">
        <v>31</v>
      </c>
      <c r="K45" s="24">
        <f t="shared" si="23"/>
        <v>15.888888888888889</v>
      </c>
      <c r="L45" s="24">
        <f t="shared" si="24"/>
        <v>3.4444444444444446</v>
      </c>
      <c r="N45" s="5" t="s">
        <v>128</v>
      </c>
      <c r="O45" s="23">
        <v>64</v>
      </c>
      <c r="P45" s="23">
        <v>68</v>
      </c>
      <c r="Q45" s="37">
        <f t="shared" si="44"/>
        <v>2.1633022809318423E-2</v>
      </c>
      <c r="R45" s="37">
        <f t="shared" si="45"/>
        <v>-5.8823529411764719E-2</v>
      </c>
    </row>
    <row r="46" spans="1:27" ht="14.4">
      <c r="A46" s="51" t="s">
        <v>129</v>
      </c>
      <c r="B46" s="22" t="s">
        <v>130</v>
      </c>
      <c r="C46" s="5">
        <v>1083</v>
      </c>
      <c r="D46" s="5">
        <v>94</v>
      </c>
      <c r="E46" s="50">
        <v>17</v>
      </c>
      <c r="F46" s="5">
        <v>11</v>
      </c>
      <c r="G46" s="5">
        <v>322</v>
      </c>
      <c r="H46" s="38">
        <f t="shared" si="22"/>
        <v>8.6795937211449681E-2</v>
      </c>
      <c r="I46" s="5">
        <v>275</v>
      </c>
      <c r="J46" s="5">
        <v>64.8</v>
      </c>
      <c r="K46" s="24">
        <f t="shared" si="23"/>
        <v>16.176470588235293</v>
      </c>
      <c r="L46" s="24">
        <f t="shared" si="24"/>
        <v>3.8117647058823527</v>
      </c>
      <c r="N46" s="5" t="s">
        <v>131</v>
      </c>
      <c r="O46" s="5">
        <v>202</v>
      </c>
      <c r="P46" s="5">
        <v>180</v>
      </c>
      <c r="Q46" s="37">
        <f t="shared" si="44"/>
        <v>6.827922824191128E-2</v>
      </c>
      <c r="R46" s="37">
        <f t="shared" si="45"/>
        <v>0.12222222222222223</v>
      </c>
    </row>
    <row r="47" spans="1:27" ht="14.4">
      <c r="A47" s="5"/>
      <c r="B47" s="22" t="s">
        <v>132</v>
      </c>
      <c r="C47" s="5">
        <v>596</v>
      </c>
      <c r="D47" s="5">
        <v>47</v>
      </c>
      <c r="E47" s="50">
        <v>41</v>
      </c>
      <c r="F47" s="5">
        <v>11</v>
      </c>
      <c r="G47" s="5">
        <v>232</v>
      </c>
      <c r="H47" s="38">
        <f t="shared" si="22"/>
        <v>7.8859060402684561E-2</v>
      </c>
      <c r="I47" s="5">
        <v>485</v>
      </c>
      <c r="J47" s="5">
        <v>148</v>
      </c>
      <c r="K47" s="24">
        <f t="shared" si="23"/>
        <v>11.829268292682928</v>
      </c>
      <c r="L47" s="24">
        <f t="shared" si="24"/>
        <v>3.6097560975609757</v>
      </c>
      <c r="N47" s="5" t="s">
        <v>133</v>
      </c>
      <c r="O47" s="5">
        <v>9.44</v>
      </c>
      <c r="P47" s="5">
        <v>7.63</v>
      </c>
      <c r="Q47" s="37">
        <f t="shared" si="44"/>
        <v>3.1908708643744676E-3</v>
      </c>
      <c r="R47" s="37">
        <f t="shared" si="45"/>
        <v>0.23722149410222793</v>
      </c>
    </row>
    <row r="48" spans="1:27" ht="14.4">
      <c r="A48" s="5"/>
      <c r="B48" s="22" t="s">
        <v>134</v>
      </c>
      <c r="C48" s="5">
        <v>364</v>
      </c>
      <c r="D48" s="5">
        <v>24</v>
      </c>
      <c r="E48" s="50">
        <v>21</v>
      </c>
      <c r="F48" s="5">
        <v>11</v>
      </c>
      <c r="G48" s="5">
        <v>190</v>
      </c>
      <c r="H48" s="38">
        <f t="shared" si="22"/>
        <v>6.5934065934065936E-2</v>
      </c>
      <c r="I48" s="5">
        <v>278</v>
      </c>
      <c r="J48" s="5">
        <v>92</v>
      </c>
      <c r="K48" s="24">
        <f t="shared" si="23"/>
        <v>13.238095238095237</v>
      </c>
      <c r="L48" s="24">
        <f t="shared" si="24"/>
        <v>4.3809523809523814</v>
      </c>
      <c r="N48" s="5" t="s">
        <v>135</v>
      </c>
      <c r="O48" s="24">
        <v>122</v>
      </c>
      <c r="P48" s="24">
        <v>117</v>
      </c>
      <c r="Q48" s="37">
        <f t="shared" si="44"/>
        <v>4.1237949730263249E-2</v>
      </c>
      <c r="R48" s="37">
        <f t="shared" si="45"/>
        <v>4.2735042735042805E-2</v>
      </c>
    </row>
    <row r="49" spans="1:18" ht="14.4">
      <c r="A49" s="5"/>
      <c r="B49" s="22" t="s">
        <v>136</v>
      </c>
      <c r="C49" s="5">
        <v>220</v>
      </c>
      <c r="D49" s="5">
        <v>9</v>
      </c>
      <c r="E49" s="50">
        <v>8</v>
      </c>
      <c r="F49" s="5">
        <v>11</v>
      </c>
      <c r="G49" s="5">
        <v>169</v>
      </c>
      <c r="H49" s="38">
        <f t="shared" si="22"/>
        <v>4.0909090909090909E-2</v>
      </c>
      <c r="I49" s="5">
        <v>124</v>
      </c>
      <c r="J49" s="5">
        <v>46</v>
      </c>
      <c r="K49" s="24">
        <f t="shared" si="23"/>
        <v>15.5</v>
      </c>
      <c r="L49" s="24">
        <f t="shared" si="24"/>
        <v>5.75</v>
      </c>
      <c r="N49" s="5" t="s">
        <v>137</v>
      </c>
      <c r="O49" s="24">
        <v>379</v>
      </c>
      <c r="P49" s="24">
        <v>300</v>
      </c>
      <c r="Q49" s="37">
        <f t="shared" si="44"/>
        <v>0.12810805694893254</v>
      </c>
      <c r="R49" s="37">
        <f t="shared" si="45"/>
        <v>0.26333333333333342</v>
      </c>
    </row>
    <row r="50" spans="1:18" ht="14.4">
      <c r="A50" s="5"/>
      <c r="B50" s="22" t="s">
        <v>138</v>
      </c>
      <c r="C50" s="5">
        <v>164</v>
      </c>
      <c r="D50" s="5">
        <v>1</v>
      </c>
      <c r="E50" s="50">
        <v>1</v>
      </c>
      <c r="F50" s="5">
        <v>11</v>
      </c>
      <c r="G50" s="5">
        <v>163</v>
      </c>
      <c r="H50" s="38">
        <f t="shared" si="22"/>
        <v>6.0975609756097563E-3</v>
      </c>
      <c r="I50" s="5">
        <v>104</v>
      </c>
      <c r="J50" s="5">
        <v>48</v>
      </c>
      <c r="K50" s="24">
        <f t="shared" si="23"/>
        <v>104</v>
      </c>
      <c r="L50" s="24">
        <f t="shared" si="24"/>
        <v>48</v>
      </c>
    </row>
    <row r="51" spans="1:18" ht="14.4">
      <c r="A51" s="5"/>
      <c r="B51" s="22" t="s">
        <v>139</v>
      </c>
      <c r="C51" s="5">
        <v>161</v>
      </c>
      <c r="D51" s="5">
        <v>7</v>
      </c>
      <c r="E51" s="50">
        <v>7</v>
      </c>
      <c r="F51" s="5">
        <v>11</v>
      </c>
      <c r="G51" s="5">
        <v>164</v>
      </c>
      <c r="H51" s="38">
        <f t="shared" si="22"/>
        <v>4.3478260869565216E-2</v>
      </c>
      <c r="I51" s="5">
        <v>102</v>
      </c>
      <c r="J51" s="5">
        <v>48</v>
      </c>
      <c r="K51" s="24">
        <f t="shared" si="23"/>
        <v>14.571428571428571</v>
      </c>
      <c r="L51" s="24">
        <f t="shared" si="24"/>
        <v>6.8571428571428568</v>
      </c>
      <c r="N51" s="5" t="s">
        <v>121</v>
      </c>
      <c r="O51" s="23">
        <f t="shared" ref="O51:P51" si="46">SUM(O43:O49)</f>
        <v>2958.44</v>
      </c>
      <c r="P51" s="23">
        <f t="shared" si="46"/>
        <v>2554.63</v>
      </c>
      <c r="Q51" s="37">
        <f>O51/$O$51</f>
        <v>1</v>
      </c>
      <c r="R51" s="37">
        <f>(O51/P51)-1</f>
        <v>0.15806985747446789</v>
      </c>
    </row>
    <row r="52" spans="1:18" ht="14.4">
      <c r="A52" s="5"/>
      <c r="B52" s="22" t="s">
        <v>140</v>
      </c>
      <c r="C52" s="5">
        <v>152</v>
      </c>
      <c r="D52" s="5">
        <v>18</v>
      </c>
      <c r="E52" s="50">
        <v>16</v>
      </c>
      <c r="F52" s="5">
        <v>11</v>
      </c>
      <c r="G52" s="5">
        <v>158</v>
      </c>
      <c r="H52" s="38">
        <f t="shared" si="22"/>
        <v>0.11842105263157894</v>
      </c>
      <c r="I52" s="5">
        <v>122</v>
      </c>
      <c r="J52" s="5">
        <v>55</v>
      </c>
      <c r="K52" s="24">
        <f t="shared" si="23"/>
        <v>7.625</v>
      </c>
      <c r="L52" s="24">
        <f t="shared" si="24"/>
        <v>3.4375</v>
      </c>
    </row>
    <row r="53" spans="1:18" ht="14.4">
      <c r="A53" s="5"/>
      <c r="B53" s="22" t="s">
        <v>141</v>
      </c>
      <c r="C53" s="5">
        <v>126</v>
      </c>
      <c r="D53" s="5">
        <v>21</v>
      </c>
      <c r="E53" s="50">
        <v>20</v>
      </c>
      <c r="F53" s="5">
        <v>11</v>
      </c>
      <c r="G53" s="5">
        <v>156</v>
      </c>
      <c r="H53" s="38">
        <f t="shared" si="22"/>
        <v>0.16666666666666666</v>
      </c>
      <c r="I53" s="5">
        <v>320</v>
      </c>
      <c r="J53" s="5">
        <v>63</v>
      </c>
      <c r="K53" s="24">
        <f t="shared" si="23"/>
        <v>16</v>
      </c>
      <c r="L53" s="24">
        <f t="shared" si="24"/>
        <v>3.15</v>
      </c>
    </row>
    <row r="54" spans="1:18" ht="14.4">
      <c r="A54" s="5"/>
      <c r="B54" s="22" t="s">
        <v>142</v>
      </c>
      <c r="C54" s="5">
        <v>132</v>
      </c>
      <c r="D54" s="5">
        <v>20</v>
      </c>
      <c r="E54" s="50">
        <v>19</v>
      </c>
      <c r="F54" s="5">
        <v>10</v>
      </c>
      <c r="G54" s="5">
        <v>129</v>
      </c>
      <c r="H54" s="38">
        <f t="shared" si="22"/>
        <v>0.15151515151515152</v>
      </c>
      <c r="I54" s="5">
        <v>344</v>
      </c>
      <c r="J54" s="5">
        <v>104</v>
      </c>
      <c r="K54" s="24">
        <f t="shared" si="23"/>
        <v>18.105263157894736</v>
      </c>
      <c r="L54" s="24">
        <f t="shared" si="24"/>
        <v>5.4736842105263159</v>
      </c>
    </row>
    <row r="55" spans="1:18" ht="14.4">
      <c r="A55" s="5"/>
      <c r="B55" s="22" t="s">
        <v>143</v>
      </c>
      <c r="C55" s="5">
        <v>186</v>
      </c>
      <c r="D55" s="5">
        <v>44</v>
      </c>
      <c r="E55" s="50">
        <v>43</v>
      </c>
      <c r="F55" s="5">
        <v>10</v>
      </c>
      <c r="G55" s="5">
        <v>113</v>
      </c>
      <c r="H55" s="38">
        <f t="shared" si="22"/>
        <v>0.23655913978494625</v>
      </c>
      <c r="I55" s="5">
        <v>324</v>
      </c>
      <c r="J55" s="5">
        <v>87</v>
      </c>
      <c r="K55" s="24">
        <f t="shared" si="23"/>
        <v>7.5348837209302326</v>
      </c>
      <c r="L55" s="24">
        <f t="shared" si="24"/>
        <v>2.0232558139534884</v>
      </c>
    </row>
    <row r="95" spans="11:11" ht="14.4">
      <c r="K95" s="1"/>
    </row>
    <row r="101" spans="2:13" ht="14.4">
      <c r="B101" s="52" t="s">
        <v>144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</row>
    <row r="102" spans="2:13" ht="14.4"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7"/>
    </row>
  </sheetData>
  <mergeCells count="2">
    <mergeCell ref="R18:R20"/>
    <mergeCell ref="B101:M102"/>
  </mergeCells>
  <conditionalFormatting sqref="C29:C55 D29">
    <cfRule type="colorScale" priority="1">
      <colorScale>
        <cfvo type="min"/>
        <cfvo type="max"/>
        <color rgb="FFFFFFFF"/>
        <color rgb="FF57BB8A"/>
      </colorScale>
    </cfRule>
  </conditionalFormatting>
  <conditionalFormatting sqref="C19:E20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3:G26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9:D55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9:E55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9:F55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9:G55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3:H26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9:H55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3:J26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9:J55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8:L19 M18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0:L20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9:L55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23:M26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Q29:Q39 V29:V35 AA29:AA35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39:Q51 W39:W40 W42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39:R51 X39:X40 X42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29:V35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101" r:id="rId1" xr:uid="{78C44BC8-CD3D-4BD8-81CF-1956BF3E69D7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8B8-A0FA-46BD-83E9-C3A449F2CABB}">
  <sheetPr>
    <outlinePr summaryBelow="0" summaryRight="0"/>
  </sheetPr>
  <dimension ref="A1:AI1198"/>
  <sheetViews>
    <sheetView workbookViewId="0"/>
  </sheetViews>
  <sheetFormatPr defaultColWidth="14" defaultRowHeight="15" customHeight="1"/>
  <cols>
    <col min="1" max="1" width="8.5546875" customWidth="1"/>
    <col min="2" max="6" width="14" customWidth="1"/>
    <col min="15" max="15" width="13.21875" customWidth="1"/>
  </cols>
  <sheetData>
    <row r="1" spans="1:35" ht="15.75" customHeight="1">
      <c r="A1" s="58"/>
      <c r="B1" s="58"/>
      <c r="C1" s="59"/>
      <c r="D1" s="59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60"/>
      <c r="Q1" s="60"/>
      <c r="R1" s="60"/>
      <c r="S1" s="60"/>
      <c r="T1" s="60"/>
      <c r="U1" s="62"/>
      <c r="V1" s="62"/>
      <c r="W1" s="62"/>
      <c r="X1" s="62"/>
      <c r="Y1" s="63"/>
      <c r="Z1" s="62"/>
      <c r="AA1" s="62"/>
      <c r="AB1" s="64"/>
      <c r="AC1" s="62"/>
      <c r="AD1" s="62"/>
      <c r="AE1" s="62"/>
      <c r="AF1" s="63"/>
      <c r="AG1" s="64"/>
      <c r="AH1" s="63"/>
      <c r="AI1" s="62"/>
    </row>
    <row r="2" spans="1:35" ht="15.75" customHeight="1">
      <c r="A2" s="58"/>
      <c r="B2" s="65" t="s">
        <v>145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61"/>
      <c r="P2" s="60"/>
      <c r="Q2" s="60"/>
      <c r="R2" s="60"/>
      <c r="S2" s="60"/>
      <c r="T2" s="60"/>
      <c r="U2" s="62"/>
      <c r="V2" s="62"/>
      <c r="W2" s="62"/>
      <c r="X2" s="62"/>
      <c r="Y2" s="63"/>
      <c r="Z2" s="62"/>
      <c r="AA2" s="62"/>
      <c r="AB2" s="64"/>
      <c r="AC2" s="62"/>
      <c r="AD2" s="62"/>
      <c r="AE2" s="62"/>
      <c r="AF2" s="63"/>
      <c r="AG2" s="64"/>
      <c r="AH2" s="63"/>
      <c r="AI2" s="62"/>
    </row>
    <row r="3" spans="1:35" ht="15.75" customHeight="1">
      <c r="A3" s="58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61"/>
      <c r="P3" s="60"/>
      <c r="Q3" s="60"/>
      <c r="R3" s="60"/>
      <c r="S3" s="60"/>
      <c r="T3" s="60"/>
      <c r="U3" s="62"/>
      <c r="V3" s="62"/>
      <c r="W3" s="62"/>
      <c r="X3" s="62"/>
      <c r="Y3" s="63"/>
      <c r="Z3" s="62"/>
      <c r="AA3" s="62"/>
      <c r="AB3" s="64"/>
      <c r="AC3" s="62"/>
      <c r="AD3" s="62"/>
      <c r="AE3" s="62"/>
      <c r="AF3" s="63"/>
      <c r="AG3" s="64"/>
      <c r="AH3" s="63"/>
      <c r="AI3" s="62"/>
    </row>
    <row r="4" spans="1:35" ht="15.75" customHeight="1">
      <c r="A4" s="58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61"/>
      <c r="P4" s="60"/>
      <c r="Q4" s="60"/>
      <c r="R4" s="60"/>
      <c r="S4" s="60"/>
      <c r="T4" s="60"/>
      <c r="U4" s="62"/>
      <c r="V4" s="62"/>
      <c r="W4" s="62"/>
      <c r="X4" s="62"/>
      <c r="Y4" s="63"/>
      <c r="Z4" s="62"/>
      <c r="AA4" s="62"/>
      <c r="AB4" s="64"/>
      <c r="AC4" s="62"/>
      <c r="AD4" s="62"/>
      <c r="AE4" s="62"/>
      <c r="AF4" s="63"/>
      <c r="AG4" s="64"/>
      <c r="AH4" s="63"/>
      <c r="AI4" s="62"/>
    </row>
    <row r="5" spans="1:35" ht="15.75" customHeight="1">
      <c r="A5" s="58"/>
      <c r="B5" s="58"/>
      <c r="C5" s="59"/>
      <c r="D5" s="59"/>
      <c r="E5" s="60"/>
      <c r="F5" s="60"/>
      <c r="G5" s="60"/>
      <c r="H5" s="60"/>
      <c r="I5" s="60"/>
      <c r="J5" s="60"/>
      <c r="K5" s="60"/>
      <c r="L5" s="60"/>
      <c r="M5" s="47"/>
      <c r="N5" s="60"/>
      <c r="O5" s="61"/>
      <c r="P5" s="60"/>
      <c r="Q5" s="60"/>
      <c r="R5" s="60"/>
      <c r="S5" s="60"/>
      <c r="T5" s="60"/>
      <c r="U5" s="62"/>
      <c r="V5" s="62"/>
      <c r="W5" s="62"/>
      <c r="X5" s="62"/>
      <c r="Y5" s="63"/>
      <c r="Z5" s="62"/>
      <c r="AA5" s="62"/>
      <c r="AB5" s="64"/>
      <c r="AC5" s="62"/>
      <c r="AD5" s="62"/>
      <c r="AE5" s="62"/>
      <c r="AF5" s="63"/>
      <c r="AG5" s="64"/>
      <c r="AH5" s="63"/>
      <c r="AI5" s="62"/>
    </row>
    <row r="6" spans="1:35" ht="15.75" customHeight="1">
      <c r="A6" s="58"/>
      <c r="B6" s="66" t="s">
        <v>146</v>
      </c>
      <c r="C6" s="66" t="s">
        <v>147</v>
      </c>
      <c r="D6" s="66" t="s">
        <v>148</v>
      </c>
      <c r="E6" s="66" t="s">
        <v>149</v>
      </c>
      <c r="F6" s="66" t="s">
        <v>150</v>
      </c>
      <c r="G6" s="66" t="s">
        <v>151</v>
      </c>
      <c r="H6" s="66" t="s">
        <v>152</v>
      </c>
      <c r="I6" s="60"/>
      <c r="J6" s="67" t="s">
        <v>153</v>
      </c>
      <c r="K6" s="41"/>
      <c r="L6" s="68" t="s">
        <v>154</v>
      </c>
      <c r="M6" s="47"/>
      <c r="N6" s="60"/>
      <c r="O6" s="61"/>
      <c r="P6" s="60"/>
      <c r="Q6" s="60"/>
      <c r="R6" s="60"/>
      <c r="S6" s="60"/>
      <c r="T6" s="60"/>
      <c r="U6" s="62"/>
      <c r="V6" s="62"/>
      <c r="W6" s="62"/>
      <c r="X6" s="62"/>
      <c r="Y6" s="63"/>
      <c r="Z6" s="62"/>
      <c r="AA6" s="62"/>
      <c r="AB6" s="64"/>
      <c r="AC6" s="62"/>
      <c r="AD6" s="62"/>
      <c r="AE6" s="62"/>
      <c r="AF6" s="63"/>
      <c r="AG6" s="64"/>
      <c r="AH6" s="63"/>
      <c r="AI6" s="62"/>
    </row>
    <row r="7" spans="1:35" ht="15.75" customHeight="1">
      <c r="A7" s="58"/>
      <c r="B7" s="58"/>
      <c r="C7" s="59" t="s">
        <v>155</v>
      </c>
      <c r="D7" s="59">
        <v>9.6</v>
      </c>
      <c r="E7" s="59">
        <v>11.1</v>
      </c>
      <c r="F7" s="69">
        <f t="shared" ref="F7:F10" si="0">(E7/D7)^(1/5)-1</f>
        <v>2.9462068239258565E-2</v>
      </c>
      <c r="G7" s="70">
        <v>2.3E-2</v>
      </c>
      <c r="H7" s="70">
        <v>0.2</v>
      </c>
      <c r="I7" s="60"/>
      <c r="J7" s="71" t="s">
        <v>156</v>
      </c>
      <c r="K7" s="41"/>
      <c r="L7" s="70">
        <v>0.25</v>
      </c>
      <c r="M7" s="47"/>
      <c r="N7" s="60"/>
      <c r="O7" s="61"/>
      <c r="P7" s="60"/>
      <c r="Q7" s="60"/>
      <c r="R7" s="60"/>
      <c r="S7" s="60"/>
      <c r="T7" s="60"/>
      <c r="U7" s="62"/>
      <c r="V7" s="62"/>
      <c r="W7" s="62"/>
      <c r="X7" s="62"/>
      <c r="Y7" s="63"/>
      <c r="Z7" s="62"/>
      <c r="AA7" s="62"/>
      <c r="AB7" s="64"/>
      <c r="AC7" s="62"/>
      <c r="AD7" s="62"/>
      <c r="AE7" s="62"/>
      <c r="AF7" s="63"/>
      <c r="AG7" s="64"/>
      <c r="AH7" s="63"/>
      <c r="AI7" s="62"/>
    </row>
    <row r="8" spans="1:35" ht="15.75" customHeight="1">
      <c r="A8" s="58"/>
      <c r="B8" s="58"/>
      <c r="C8" s="59" t="s">
        <v>157</v>
      </c>
      <c r="D8" s="59">
        <v>38.9</v>
      </c>
      <c r="E8" s="59">
        <v>55.8</v>
      </c>
      <c r="F8" s="69">
        <f t="shared" si="0"/>
        <v>7.4822921422088351E-2</v>
      </c>
      <c r="G8" s="72">
        <v>1.2999999999999999E-2</v>
      </c>
      <c r="H8" s="70">
        <v>0.1</v>
      </c>
      <c r="I8" s="60"/>
      <c r="J8" s="71" t="s">
        <v>158</v>
      </c>
      <c r="K8" s="41"/>
      <c r="L8" s="70">
        <v>0.15</v>
      </c>
      <c r="M8" s="47"/>
      <c r="N8" s="60"/>
      <c r="O8" s="61"/>
      <c r="P8" s="60"/>
      <c r="Q8" s="60"/>
      <c r="R8" s="60"/>
      <c r="S8" s="60"/>
      <c r="T8" s="60"/>
      <c r="U8" s="62"/>
      <c r="V8" s="62"/>
      <c r="W8" s="62"/>
      <c r="X8" s="62"/>
      <c r="Y8" s="63"/>
      <c r="Z8" s="62"/>
      <c r="AA8" s="62"/>
      <c r="AB8" s="64"/>
      <c r="AC8" s="62"/>
      <c r="AD8" s="62"/>
      <c r="AE8" s="62"/>
      <c r="AF8" s="63"/>
      <c r="AG8" s="64"/>
      <c r="AH8" s="63"/>
      <c r="AI8" s="62"/>
    </row>
    <row r="9" spans="1:35" ht="15.75" customHeight="1">
      <c r="A9" s="58"/>
      <c r="B9" s="58"/>
      <c r="C9" s="59" t="s">
        <v>159</v>
      </c>
      <c r="D9" s="59">
        <v>162.5</v>
      </c>
      <c r="E9" s="59">
        <v>262.8</v>
      </c>
      <c r="F9" s="69">
        <f t="shared" si="0"/>
        <v>0.10091654651253568</v>
      </c>
      <c r="G9" s="70">
        <v>0.05</v>
      </c>
      <c r="H9" s="70">
        <v>0.25</v>
      </c>
      <c r="I9" s="60"/>
      <c r="J9" s="71" t="s">
        <v>160</v>
      </c>
      <c r="K9" s="41"/>
      <c r="L9" s="70">
        <v>0.14000000000000001</v>
      </c>
      <c r="M9" s="47"/>
      <c r="N9" s="60"/>
      <c r="O9" s="61"/>
      <c r="P9" s="60"/>
      <c r="Q9" s="60"/>
      <c r="R9" s="60"/>
      <c r="S9" s="60"/>
      <c r="T9" s="60"/>
      <c r="U9" s="62"/>
      <c r="V9" s="62"/>
      <c r="W9" s="62"/>
      <c r="X9" s="62"/>
      <c r="Y9" s="63"/>
      <c r="Z9" s="62"/>
      <c r="AA9" s="62"/>
      <c r="AB9" s="64"/>
      <c r="AC9" s="62"/>
      <c r="AD9" s="62"/>
      <c r="AE9" s="62"/>
      <c r="AF9" s="63"/>
      <c r="AG9" s="64"/>
      <c r="AH9" s="63"/>
      <c r="AI9" s="62"/>
    </row>
    <row r="10" spans="1:35" ht="15.75" customHeight="1" thickBot="1">
      <c r="A10" s="58"/>
      <c r="B10" s="58"/>
      <c r="C10" s="73" t="s">
        <v>161</v>
      </c>
      <c r="D10" s="73">
        <v>4.9000000000000004</v>
      </c>
      <c r="E10" s="73">
        <v>9.4</v>
      </c>
      <c r="F10" s="74">
        <f t="shared" si="0"/>
        <v>0.1391642697303983</v>
      </c>
      <c r="G10" s="75">
        <v>0.11</v>
      </c>
      <c r="H10" s="75">
        <v>0.3</v>
      </c>
      <c r="I10" s="60"/>
      <c r="J10" s="71" t="s">
        <v>162</v>
      </c>
      <c r="K10" s="41"/>
      <c r="L10" s="70">
        <v>0.14000000000000001</v>
      </c>
      <c r="M10" s="47"/>
      <c r="N10" s="60"/>
      <c r="O10" s="61"/>
      <c r="P10" s="60"/>
      <c r="Q10" s="60"/>
      <c r="R10" s="60"/>
      <c r="S10" s="60"/>
      <c r="T10" s="60"/>
      <c r="U10" s="62"/>
      <c r="V10" s="62"/>
      <c r="W10" s="62"/>
      <c r="X10" s="62"/>
      <c r="Y10" s="63"/>
      <c r="Z10" s="62"/>
      <c r="AA10" s="62"/>
      <c r="AB10" s="64"/>
      <c r="AC10" s="62"/>
      <c r="AD10" s="62"/>
      <c r="AE10" s="62"/>
      <c r="AF10" s="63"/>
      <c r="AG10" s="64"/>
      <c r="AH10" s="63"/>
      <c r="AI10" s="62"/>
    </row>
    <row r="11" spans="1:35" ht="15.75" customHeight="1" thickTop="1" thickBot="1">
      <c r="A11" s="58"/>
      <c r="B11" s="58"/>
      <c r="C11" s="59"/>
      <c r="D11" s="59"/>
      <c r="E11" s="59"/>
      <c r="F11" s="60"/>
      <c r="G11" s="60"/>
      <c r="H11" s="60"/>
      <c r="I11" s="60"/>
      <c r="J11" s="71" t="s">
        <v>163</v>
      </c>
      <c r="K11" s="41"/>
      <c r="L11" s="70">
        <v>0.12</v>
      </c>
      <c r="M11" s="47"/>
      <c r="N11" s="60"/>
      <c r="O11" s="61"/>
      <c r="P11" s="60"/>
      <c r="Q11" s="60"/>
      <c r="R11" s="60"/>
      <c r="S11" s="60"/>
      <c r="T11" s="60"/>
      <c r="U11" s="62"/>
      <c r="V11" s="62"/>
      <c r="W11" s="62"/>
      <c r="X11" s="62"/>
      <c r="Y11" s="63"/>
      <c r="Z11" s="62"/>
      <c r="AA11" s="62"/>
      <c r="AB11" s="64"/>
      <c r="AC11" s="62"/>
      <c r="AD11" s="62"/>
      <c r="AE11" s="62"/>
      <c r="AF11" s="63"/>
      <c r="AG11" s="64"/>
      <c r="AH11" s="63"/>
      <c r="AI11" s="62"/>
    </row>
    <row r="12" spans="1:35" ht="15.75" customHeight="1" thickTop="1">
      <c r="A12" s="58"/>
      <c r="B12" s="58"/>
      <c r="C12" s="76" t="s">
        <v>164</v>
      </c>
      <c r="D12" s="77">
        <f t="shared" ref="D12:E12" si="1">SUM(D7:D10)</f>
        <v>215.9</v>
      </c>
      <c r="E12" s="77">
        <f t="shared" si="1"/>
        <v>339.09999999999997</v>
      </c>
      <c r="F12" s="78">
        <v>0.1391642697303983</v>
      </c>
      <c r="G12" s="60"/>
      <c r="H12" s="60"/>
      <c r="I12" s="60"/>
      <c r="J12" s="71" t="s">
        <v>165</v>
      </c>
      <c r="K12" s="41"/>
      <c r="L12" s="70">
        <v>0.11</v>
      </c>
      <c r="M12" s="47"/>
      <c r="N12" s="60"/>
      <c r="O12" s="61"/>
      <c r="P12" s="60"/>
      <c r="Q12" s="60"/>
      <c r="R12" s="60"/>
      <c r="S12" s="60"/>
      <c r="T12" s="60"/>
      <c r="U12" s="62"/>
      <c r="V12" s="62"/>
      <c r="W12" s="62"/>
      <c r="X12" s="62"/>
      <c r="Y12" s="63"/>
      <c r="Z12" s="62"/>
      <c r="AA12" s="62"/>
      <c r="AB12" s="64"/>
      <c r="AC12" s="62"/>
      <c r="AD12" s="62"/>
      <c r="AE12" s="62"/>
      <c r="AF12" s="63"/>
      <c r="AG12" s="64"/>
      <c r="AH12" s="63"/>
      <c r="AI12" s="62"/>
    </row>
    <row r="13" spans="1:35" ht="15.75" customHeight="1" thickBot="1">
      <c r="A13" s="58"/>
      <c r="B13" s="58"/>
      <c r="C13" s="59"/>
      <c r="D13" s="59"/>
      <c r="E13" s="60"/>
      <c r="F13" s="60"/>
      <c r="G13" s="60"/>
      <c r="H13" s="60"/>
      <c r="I13" s="60"/>
      <c r="J13" s="79" t="s">
        <v>166</v>
      </c>
      <c r="K13" s="80"/>
      <c r="L13" s="75">
        <v>0.09</v>
      </c>
      <c r="M13" s="47"/>
      <c r="N13" s="60"/>
      <c r="O13" s="61"/>
      <c r="P13" s="60"/>
      <c r="Q13" s="60"/>
      <c r="R13" s="60"/>
      <c r="S13" s="60"/>
      <c r="T13" s="60"/>
      <c r="U13" s="62"/>
      <c r="V13" s="62"/>
      <c r="W13" s="62"/>
      <c r="X13" s="62"/>
      <c r="Y13" s="63"/>
      <c r="Z13" s="62"/>
      <c r="AA13" s="62"/>
      <c r="AB13" s="64"/>
      <c r="AC13" s="62"/>
      <c r="AD13" s="62"/>
      <c r="AE13" s="62"/>
      <c r="AF13" s="63"/>
      <c r="AG13" s="64"/>
      <c r="AH13" s="63"/>
      <c r="AI13" s="62"/>
    </row>
    <row r="14" spans="1:35" ht="15.75" customHeight="1" thickTop="1">
      <c r="A14" s="58"/>
      <c r="B14" s="58"/>
      <c r="C14" s="59"/>
      <c r="D14" s="59"/>
      <c r="E14" s="60"/>
      <c r="F14" s="60"/>
      <c r="G14" s="60"/>
      <c r="H14" s="60"/>
      <c r="I14" s="60"/>
      <c r="J14" s="60"/>
      <c r="K14" s="60"/>
      <c r="L14" s="60"/>
      <c r="M14" s="47"/>
      <c r="N14" s="60"/>
      <c r="O14" s="61"/>
      <c r="P14" s="60"/>
      <c r="Q14" s="60"/>
      <c r="R14" s="60"/>
      <c r="S14" s="60"/>
      <c r="T14" s="60"/>
      <c r="U14" s="62"/>
      <c r="V14" s="62"/>
      <c r="W14" s="62"/>
      <c r="X14" s="62"/>
      <c r="Y14" s="63"/>
      <c r="Z14" s="62"/>
      <c r="AA14" s="62"/>
      <c r="AB14" s="64"/>
      <c r="AC14" s="62"/>
      <c r="AD14" s="62"/>
      <c r="AE14" s="62"/>
      <c r="AF14" s="63"/>
      <c r="AG14" s="64"/>
      <c r="AH14" s="63"/>
      <c r="AI14" s="62"/>
    </row>
    <row r="15" spans="1:35" ht="15.75" customHeight="1">
      <c r="A15" s="58"/>
      <c r="B15" s="66" t="s">
        <v>146</v>
      </c>
      <c r="C15" s="59"/>
      <c r="D15" s="59"/>
      <c r="E15" s="60"/>
      <c r="F15" s="60"/>
      <c r="G15" s="60"/>
      <c r="H15" s="60"/>
      <c r="I15" s="60"/>
      <c r="J15" s="60"/>
      <c r="K15" s="60"/>
      <c r="L15" s="60"/>
      <c r="M15" s="47"/>
      <c r="N15" s="60"/>
      <c r="O15" s="61"/>
      <c r="P15" s="60"/>
      <c r="Q15" s="60"/>
      <c r="R15" s="60"/>
      <c r="S15" s="60"/>
      <c r="T15" s="60"/>
      <c r="U15" s="62"/>
      <c r="V15" s="62"/>
      <c r="W15" s="62"/>
      <c r="X15" s="62"/>
      <c r="Y15" s="63"/>
      <c r="Z15" s="62"/>
      <c r="AA15" s="62"/>
      <c r="AB15" s="64"/>
      <c r="AC15" s="62"/>
      <c r="AD15" s="62"/>
      <c r="AE15" s="62"/>
      <c r="AF15" s="63"/>
      <c r="AG15" s="64"/>
      <c r="AH15" s="63"/>
      <c r="AI15" s="62"/>
    </row>
    <row r="16" spans="1:35" ht="15.75" customHeight="1">
      <c r="A16" s="68" t="s">
        <v>167</v>
      </c>
      <c r="B16" s="68" t="s">
        <v>168</v>
      </c>
      <c r="C16" s="81" t="s">
        <v>169</v>
      </c>
      <c r="D16" s="59"/>
      <c r="E16" s="68" t="s">
        <v>167</v>
      </c>
      <c r="F16" s="68" t="s">
        <v>168</v>
      </c>
      <c r="G16" s="81" t="s">
        <v>170</v>
      </c>
      <c r="H16" s="60"/>
      <c r="I16" s="68" t="s">
        <v>167</v>
      </c>
      <c r="J16" s="68" t="s">
        <v>168</v>
      </c>
      <c r="K16" s="81" t="s">
        <v>171</v>
      </c>
      <c r="L16" s="60"/>
      <c r="M16" s="60"/>
      <c r="N16" s="60"/>
      <c r="O16" s="61"/>
      <c r="P16" s="60"/>
      <c r="Q16" s="60"/>
      <c r="R16" s="60"/>
      <c r="S16" s="60"/>
      <c r="T16" s="60"/>
      <c r="U16" s="62"/>
      <c r="V16" s="62"/>
      <c r="W16" s="62"/>
      <c r="X16" s="62"/>
      <c r="Y16" s="63"/>
      <c r="Z16" s="62"/>
      <c r="AA16" s="62"/>
      <c r="AB16" s="64"/>
      <c r="AC16" s="62"/>
      <c r="AD16" s="62"/>
      <c r="AE16" s="62"/>
      <c r="AF16" s="63"/>
      <c r="AG16" s="64"/>
      <c r="AH16" s="63"/>
      <c r="AI16" s="62"/>
    </row>
    <row r="17" spans="1:35" ht="15.75" customHeight="1">
      <c r="A17" s="60">
        <v>1</v>
      </c>
      <c r="B17" s="58" t="s">
        <v>172</v>
      </c>
      <c r="C17" s="59">
        <v>130272</v>
      </c>
      <c r="D17" s="59"/>
      <c r="E17" s="60">
        <v>1</v>
      </c>
      <c r="F17" s="82" t="s">
        <v>173</v>
      </c>
      <c r="G17" s="83">
        <v>77870</v>
      </c>
      <c r="H17" s="60"/>
      <c r="I17" s="60">
        <v>1</v>
      </c>
      <c r="J17" s="58" t="s">
        <v>172</v>
      </c>
      <c r="K17" s="83">
        <v>3364</v>
      </c>
      <c r="L17" s="60"/>
      <c r="M17" s="60"/>
      <c r="N17" s="60"/>
      <c r="O17" s="61"/>
      <c r="P17" s="60"/>
      <c r="Q17" s="60"/>
      <c r="R17" s="60"/>
      <c r="S17" s="60"/>
      <c r="T17" s="60"/>
      <c r="U17" s="62"/>
      <c r="V17" s="62"/>
      <c r="W17" s="62"/>
      <c r="X17" s="62"/>
      <c r="Y17" s="63"/>
      <c r="Z17" s="62"/>
      <c r="AA17" s="62"/>
      <c r="AB17" s="64"/>
      <c r="AC17" s="62"/>
      <c r="AD17" s="62"/>
      <c r="AE17" s="62"/>
      <c r="AF17" s="63"/>
      <c r="AG17" s="64"/>
      <c r="AH17" s="63"/>
      <c r="AI17" s="62"/>
    </row>
    <row r="18" spans="1:35" ht="15.75" customHeight="1">
      <c r="A18" s="60">
        <v>2</v>
      </c>
      <c r="B18" s="82" t="s">
        <v>174</v>
      </c>
      <c r="C18" s="84">
        <v>83926.923755600001</v>
      </c>
      <c r="D18" s="59"/>
      <c r="E18" s="60">
        <v>2</v>
      </c>
      <c r="F18" s="58" t="s">
        <v>172</v>
      </c>
      <c r="G18" s="59">
        <v>55000</v>
      </c>
      <c r="H18" s="60"/>
      <c r="I18" s="60">
        <v>2</v>
      </c>
      <c r="J18" s="82" t="s">
        <v>173</v>
      </c>
      <c r="K18" s="83">
        <v>1669</v>
      </c>
      <c r="L18" s="60"/>
      <c r="M18" s="60"/>
      <c r="N18" s="60"/>
      <c r="O18" s="61"/>
      <c r="P18" s="60"/>
      <c r="Q18" s="60"/>
      <c r="R18" s="60"/>
      <c r="S18" s="60"/>
      <c r="T18" s="60"/>
      <c r="U18" s="62"/>
      <c r="V18" s="62"/>
      <c r="W18" s="62"/>
      <c r="X18" s="62"/>
      <c r="Y18" s="63"/>
      <c r="Z18" s="62"/>
      <c r="AA18" s="62"/>
      <c r="AB18" s="64"/>
      <c r="AC18" s="62"/>
      <c r="AD18" s="62"/>
      <c r="AE18" s="62"/>
      <c r="AF18" s="63"/>
      <c r="AG18" s="64"/>
      <c r="AH18" s="63"/>
      <c r="AI18" s="62"/>
    </row>
    <row r="19" spans="1:35" ht="15.75" customHeight="1">
      <c r="A19" s="60">
        <v>3</v>
      </c>
      <c r="B19" s="82" t="s">
        <v>173</v>
      </c>
      <c r="C19" s="84">
        <v>80165.908349999998</v>
      </c>
      <c r="D19" s="59"/>
      <c r="E19" s="60">
        <v>3</v>
      </c>
      <c r="F19" s="82" t="s">
        <v>175</v>
      </c>
      <c r="G19" s="83">
        <v>33564</v>
      </c>
      <c r="H19" s="60"/>
      <c r="I19" s="60">
        <v>3</v>
      </c>
      <c r="J19" s="82" t="s">
        <v>174</v>
      </c>
      <c r="K19" s="83">
        <v>1425</v>
      </c>
      <c r="L19" s="60"/>
      <c r="M19" s="60"/>
      <c r="N19" s="60"/>
      <c r="O19" s="61"/>
      <c r="P19" s="60"/>
      <c r="Q19" s="60"/>
      <c r="R19" s="60"/>
      <c r="S19" s="60"/>
      <c r="T19" s="60"/>
      <c r="U19" s="62"/>
      <c r="V19" s="62"/>
      <c r="W19" s="62"/>
      <c r="X19" s="62"/>
      <c r="Y19" s="63"/>
      <c r="Z19" s="62"/>
      <c r="AA19" s="62"/>
      <c r="AB19" s="64"/>
      <c r="AC19" s="62"/>
      <c r="AD19" s="62"/>
      <c r="AE19" s="62"/>
      <c r="AF19" s="63"/>
      <c r="AG19" s="64"/>
      <c r="AH19" s="63"/>
      <c r="AI19" s="62"/>
    </row>
    <row r="20" spans="1:35" ht="15.75" customHeight="1">
      <c r="A20" s="60">
        <v>4</v>
      </c>
      <c r="B20" s="82" t="s">
        <v>176</v>
      </c>
      <c r="C20" s="84">
        <v>68404.364469099994</v>
      </c>
      <c r="D20" s="59"/>
      <c r="E20" s="60">
        <v>4</v>
      </c>
      <c r="F20" s="82" t="s">
        <v>177</v>
      </c>
      <c r="G20" s="83">
        <v>15078</v>
      </c>
      <c r="H20" s="60"/>
      <c r="I20" s="60">
        <v>4</v>
      </c>
      <c r="J20" s="82" t="s">
        <v>175</v>
      </c>
      <c r="K20" s="83">
        <v>1333</v>
      </c>
      <c r="L20" s="60"/>
      <c r="M20" s="60"/>
      <c r="N20" s="60"/>
      <c r="O20" s="61"/>
      <c r="P20" s="60"/>
      <c r="Q20" s="60"/>
      <c r="R20" s="60"/>
      <c r="S20" s="60"/>
      <c r="T20" s="60"/>
      <c r="U20" s="62"/>
      <c r="V20" s="62"/>
      <c r="W20" s="62"/>
      <c r="X20" s="62"/>
      <c r="Y20" s="63"/>
      <c r="Z20" s="62"/>
      <c r="AA20" s="62"/>
      <c r="AB20" s="64"/>
      <c r="AC20" s="62"/>
      <c r="AD20" s="62"/>
      <c r="AE20" s="62"/>
      <c r="AF20" s="63"/>
      <c r="AG20" s="64"/>
      <c r="AH20" s="63"/>
      <c r="AI20" s="62"/>
    </row>
    <row r="21" spans="1:35" ht="15.75" customHeight="1">
      <c r="A21" s="60">
        <v>5</v>
      </c>
      <c r="B21" s="82" t="s">
        <v>178</v>
      </c>
      <c r="C21" s="84">
        <v>45268.647868699998</v>
      </c>
      <c r="D21" s="59"/>
      <c r="E21" s="60">
        <v>5</v>
      </c>
      <c r="F21" s="82" t="s">
        <v>174</v>
      </c>
      <c r="G21" s="83">
        <v>14929</v>
      </c>
      <c r="H21" s="60"/>
      <c r="I21" s="60">
        <v>5</v>
      </c>
      <c r="J21" s="82" t="s">
        <v>176</v>
      </c>
      <c r="K21" s="83">
        <v>1325</v>
      </c>
      <c r="L21" s="60"/>
      <c r="M21" s="60"/>
      <c r="N21" s="60"/>
      <c r="O21" s="61"/>
      <c r="P21" s="60"/>
      <c r="Q21" s="60"/>
      <c r="R21" s="60"/>
      <c r="S21" s="60"/>
      <c r="T21" s="60"/>
      <c r="U21" s="62"/>
      <c r="V21" s="62"/>
      <c r="W21" s="62"/>
      <c r="X21" s="62"/>
      <c r="Y21" s="63"/>
      <c r="Z21" s="62"/>
      <c r="AA21" s="62"/>
      <c r="AB21" s="64"/>
      <c r="AC21" s="62"/>
      <c r="AD21" s="62"/>
      <c r="AE21" s="62"/>
      <c r="AF21" s="63"/>
      <c r="AG21" s="64"/>
      <c r="AH21" s="63"/>
      <c r="AI21" s="62"/>
    </row>
    <row r="22" spans="1:35" ht="15.75" customHeight="1">
      <c r="A22" s="60">
        <v>6</v>
      </c>
      <c r="B22" s="82" t="s">
        <v>179</v>
      </c>
      <c r="C22" s="84">
        <v>38708.500074600001</v>
      </c>
      <c r="D22" s="59"/>
      <c r="E22" s="60">
        <v>6</v>
      </c>
      <c r="F22" s="82" t="s">
        <v>176</v>
      </c>
      <c r="G22" s="83">
        <v>14431</v>
      </c>
      <c r="H22" s="60"/>
      <c r="I22" s="60">
        <v>6</v>
      </c>
      <c r="J22" s="82" t="s">
        <v>178</v>
      </c>
      <c r="K22" s="83">
        <v>879</v>
      </c>
      <c r="L22" s="60"/>
      <c r="M22" s="60"/>
      <c r="N22" s="60"/>
      <c r="O22" s="61"/>
      <c r="P22" s="60"/>
      <c r="Q22" s="60"/>
      <c r="R22" s="60"/>
      <c r="S22" s="60"/>
      <c r="T22" s="60"/>
      <c r="U22" s="62"/>
      <c r="V22" s="62"/>
      <c r="W22" s="62"/>
      <c r="X22" s="62"/>
      <c r="Y22" s="63"/>
      <c r="Z22" s="62"/>
      <c r="AA22" s="62"/>
      <c r="AB22" s="64"/>
      <c r="AC22" s="62"/>
      <c r="AD22" s="62"/>
      <c r="AE22" s="62"/>
      <c r="AF22" s="63"/>
      <c r="AG22" s="64"/>
      <c r="AH22" s="63"/>
      <c r="AI22" s="62"/>
    </row>
    <row r="23" spans="1:35" ht="15.75" customHeight="1">
      <c r="A23" s="60">
        <v>7</v>
      </c>
      <c r="B23" s="82" t="s">
        <v>180</v>
      </c>
      <c r="C23" s="84">
        <v>37571.65</v>
      </c>
      <c r="D23" s="59"/>
      <c r="E23" s="60">
        <v>7</v>
      </c>
      <c r="F23" s="82" t="s">
        <v>180</v>
      </c>
      <c r="G23" s="83">
        <v>11236</v>
      </c>
      <c r="H23" s="60"/>
      <c r="I23" s="60">
        <v>7</v>
      </c>
      <c r="J23" s="82" t="s">
        <v>177</v>
      </c>
      <c r="K23" s="83">
        <v>822</v>
      </c>
      <c r="L23" s="60"/>
      <c r="M23" s="60"/>
      <c r="N23" s="60"/>
      <c r="O23" s="61"/>
      <c r="P23" s="60"/>
      <c r="Q23" s="60"/>
      <c r="R23" s="60"/>
      <c r="S23" s="60"/>
      <c r="T23" s="60"/>
      <c r="U23" s="62"/>
      <c r="V23" s="62"/>
      <c r="W23" s="62"/>
      <c r="X23" s="62"/>
      <c r="Y23" s="63"/>
      <c r="Z23" s="62"/>
      <c r="AA23" s="62"/>
      <c r="AB23" s="64"/>
      <c r="AC23" s="62"/>
      <c r="AD23" s="62"/>
      <c r="AE23" s="62"/>
      <c r="AF23" s="63"/>
      <c r="AG23" s="64"/>
      <c r="AH23" s="63"/>
      <c r="AI23" s="62"/>
    </row>
    <row r="24" spans="1:35" ht="15.75" customHeight="1">
      <c r="A24" s="60">
        <v>8</v>
      </c>
      <c r="B24" s="82" t="s">
        <v>181</v>
      </c>
      <c r="C24" s="84">
        <v>31398.8847566</v>
      </c>
      <c r="D24" s="59"/>
      <c r="E24" s="60">
        <v>8</v>
      </c>
      <c r="F24" s="82" t="s">
        <v>24</v>
      </c>
      <c r="G24" s="83">
        <v>10388</v>
      </c>
      <c r="H24" s="60"/>
      <c r="I24" s="60">
        <v>8</v>
      </c>
      <c r="J24" s="82" t="s">
        <v>180</v>
      </c>
      <c r="K24" s="83">
        <v>700</v>
      </c>
      <c r="L24" s="60"/>
      <c r="M24" s="60"/>
      <c r="N24" s="60"/>
      <c r="O24" s="61"/>
      <c r="P24" s="60"/>
      <c r="Q24" s="60"/>
      <c r="R24" s="60"/>
      <c r="S24" s="60"/>
      <c r="T24" s="60"/>
      <c r="U24" s="62"/>
      <c r="V24" s="62"/>
      <c r="W24" s="62"/>
      <c r="X24" s="62"/>
      <c r="Y24" s="63"/>
      <c r="Z24" s="62"/>
      <c r="AA24" s="62"/>
      <c r="AB24" s="64"/>
      <c r="AC24" s="62"/>
      <c r="AD24" s="62"/>
      <c r="AE24" s="62"/>
      <c r="AF24" s="63"/>
      <c r="AG24" s="64"/>
      <c r="AH24" s="63"/>
      <c r="AI24" s="62"/>
    </row>
    <row r="25" spans="1:35" ht="15.75" customHeight="1">
      <c r="A25" s="60">
        <v>9</v>
      </c>
      <c r="B25" s="82" t="s">
        <v>182</v>
      </c>
      <c r="C25" s="84">
        <v>27599.536723099998</v>
      </c>
      <c r="D25" s="59"/>
      <c r="E25" s="60">
        <v>9</v>
      </c>
      <c r="F25" s="82" t="s">
        <v>183</v>
      </c>
      <c r="G25" s="83">
        <v>8804</v>
      </c>
      <c r="H25" s="60"/>
      <c r="I25" s="60">
        <v>9</v>
      </c>
      <c r="J25" s="82" t="s">
        <v>24</v>
      </c>
      <c r="K25" s="83">
        <v>694</v>
      </c>
      <c r="L25" s="60"/>
      <c r="M25" s="60"/>
      <c r="N25" s="60"/>
      <c r="O25" s="61"/>
      <c r="P25" s="60"/>
      <c r="Q25" s="60"/>
      <c r="R25" s="60"/>
      <c r="S25" s="60"/>
      <c r="T25" s="60"/>
      <c r="U25" s="62"/>
      <c r="V25" s="62"/>
      <c r="W25" s="62"/>
      <c r="X25" s="62"/>
      <c r="Y25" s="63"/>
      <c r="Z25" s="62"/>
      <c r="AA25" s="62"/>
      <c r="AB25" s="64"/>
      <c r="AC25" s="62"/>
      <c r="AD25" s="62"/>
      <c r="AE25" s="62"/>
      <c r="AF25" s="63"/>
      <c r="AG25" s="64"/>
      <c r="AH25" s="63"/>
      <c r="AI25" s="62"/>
    </row>
    <row r="26" spans="1:35" ht="15.75" customHeight="1">
      <c r="A26" s="60">
        <v>10</v>
      </c>
      <c r="B26" s="82" t="s">
        <v>177</v>
      </c>
      <c r="C26" s="84">
        <v>27025.747857999999</v>
      </c>
      <c r="D26" s="59"/>
      <c r="E26" s="60">
        <v>10</v>
      </c>
      <c r="F26" s="82" t="s">
        <v>184</v>
      </c>
      <c r="G26" s="83">
        <v>8753</v>
      </c>
      <c r="H26" s="60"/>
      <c r="I26" s="60">
        <v>10</v>
      </c>
      <c r="J26" s="82" t="s">
        <v>185</v>
      </c>
      <c r="K26" s="83">
        <v>500</v>
      </c>
      <c r="L26" s="60"/>
      <c r="M26" s="60"/>
      <c r="N26" s="60"/>
      <c r="O26" s="61"/>
      <c r="P26" s="60"/>
      <c r="Q26" s="60"/>
      <c r="R26" s="60"/>
      <c r="S26" s="60"/>
      <c r="T26" s="60"/>
      <c r="U26" s="62"/>
      <c r="V26" s="62"/>
      <c r="W26" s="62"/>
      <c r="X26" s="62"/>
      <c r="Y26" s="63"/>
      <c r="Z26" s="62"/>
      <c r="AA26" s="62"/>
      <c r="AB26" s="64"/>
      <c r="AC26" s="62"/>
      <c r="AD26" s="62"/>
      <c r="AE26" s="62"/>
      <c r="AF26" s="63"/>
      <c r="AG26" s="64"/>
      <c r="AH26" s="63"/>
      <c r="AI26" s="62"/>
    </row>
    <row r="27" spans="1:35" ht="15.75" customHeight="1">
      <c r="A27" s="58"/>
      <c r="B27" s="82" t="s">
        <v>186</v>
      </c>
      <c r="C27" s="84">
        <v>25881.925825300001</v>
      </c>
      <c r="D27" s="59"/>
      <c r="E27" s="60"/>
      <c r="F27" s="82" t="s">
        <v>181</v>
      </c>
      <c r="G27" s="83">
        <v>7057</v>
      </c>
      <c r="H27" s="60"/>
      <c r="I27" s="60"/>
      <c r="J27" s="82" t="s">
        <v>181</v>
      </c>
      <c r="K27" s="83">
        <v>487</v>
      </c>
      <c r="L27" s="60"/>
      <c r="M27" s="60"/>
      <c r="N27" s="60"/>
      <c r="O27" s="61"/>
      <c r="P27" s="60"/>
      <c r="Q27" s="60"/>
      <c r="R27" s="60"/>
      <c r="S27" s="60"/>
      <c r="T27" s="60"/>
      <c r="U27" s="62"/>
      <c r="V27" s="62"/>
      <c r="W27" s="62"/>
      <c r="X27" s="62"/>
      <c r="Y27" s="63"/>
      <c r="Z27" s="62"/>
      <c r="AA27" s="62"/>
      <c r="AB27" s="64"/>
      <c r="AC27" s="62"/>
      <c r="AD27" s="62"/>
      <c r="AE27" s="62"/>
      <c r="AF27" s="63"/>
      <c r="AG27" s="64"/>
      <c r="AH27" s="63"/>
      <c r="AI27" s="62"/>
    </row>
    <row r="28" spans="1:35" ht="15.75" customHeight="1">
      <c r="A28" s="58"/>
      <c r="B28" s="82" t="s">
        <v>183</v>
      </c>
      <c r="C28" s="84">
        <v>25630.240773099998</v>
      </c>
      <c r="D28" s="59"/>
      <c r="E28" s="60"/>
      <c r="F28" s="82" t="s">
        <v>178</v>
      </c>
      <c r="G28" s="83">
        <v>6867</v>
      </c>
      <c r="H28" s="60"/>
      <c r="I28" s="60"/>
      <c r="J28" s="82" t="s">
        <v>183</v>
      </c>
      <c r="K28" s="83">
        <v>479</v>
      </c>
      <c r="L28" s="60"/>
      <c r="M28" s="60"/>
      <c r="N28" s="60"/>
      <c r="O28" s="61"/>
      <c r="P28" s="60"/>
      <c r="Q28" s="60"/>
      <c r="R28" s="60"/>
      <c r="S28" s="60"/>
      <c r="T28" s="60"/>
      <c r="U28" s="62"/>
      <c r="V28" s="62"/>
      <c r="W28" s="62"/>
      <c r="X28" s="62"/>
      <c r="Y28" s="63"/>
      <c r="Z28" s="62"/>
      <c r="AA28" s="62"/>
      <c r="AB28" s="64"/>
      <c r="AC28" s="62"/>
      <c r="AD28" s="62"/>
      <c r="AE28" s="62"/>
      <c r="AF28" s="63"/>
      <c r="AG28" s="64"/>
      <c r="AH28" s="63"/>
      <c r="AI28" s="62"/>
    </row>
    <row r="29" spans="1:35" ht="15.75" customHeight="1">
      <c r="A29" s="58"/>
      <c r="B29" s="82" t="s">
        <v>185</v>
      </c>
      <c r="C29" s="84">
        <v>22759.006490899999</v>
      </c>
      <c r="D29" s="59"/>
      <c r="E29" s="60"/>
      <c r="F29" s="82" t="s">
        <v>187</v>
      </c>
      <c r="G29" s="83">
        <v>6863</v>
      </c>
      <c r="H29" s="60"/>
      <c r="I29" s="60"/>
      <c r="J29" s="82" t="s">
        <v>179</v>
      </c>
      <c r="K29" s="83">
        <v>395</v>
      </c>
      <c r="L29" s="60"/>
      <c r="M29" s="60"/>
      <c r="N29" s="60"/>
      <c r="O29" s="61"/>
      <c r="P29" s="60"/>
      <c r="Q29" s="60"/>
      <c r="R29" s="60"/>
      <c r="S29" s="60"/>
      <c r="T29" s="60"/>
      <c r="U29" s="62"/>
      <c r="V29" s="62"/>
      <c r="W29" s="62"/>
      <c r="X29" s="62"/>
      <c r="Y29" s="63"/>
      <c r="Z29" s="62"/>
      <c r="AA29" s="62"/>
      <c r="AB29" s="64"/>
      <c r="AC29" s="62"/>
      <c r="AD29" s="62"/>
      <c r="AE29" s="62"/>
      <c r="AF29" s="63"/>
      <c r="AG29" s="64"/>
      <c r="AH29" s="63"/>
      <c r="AI29" s="62"/>
    </row>
    <row r="30" spans="1:35" ht="15.75" customHeight="1">
      <c r="A30" s="58"/>
      <c r="B30" s="82" t="s">
        <v>175</v>
      </c>
      <c r="C30" s="84">
        <v>21597.87</v>
      </c>
      <c r="D30" s="59"/>
      <c r="E30" s="60"/>
      <c r="F30" s="82" t="s">
        <v>185</v>
      </c>
      <c r="G30" s="83">
        <v>5662</v>
      </c>
      <c r="H30" s="60"/>
      <c r="I30" s="60"/>
      <c r="J30" s="82" t="s">
        <v>188</v>
      </c>
      <c r="K30" s="83">
        <v>365</v>
      </c>
      <c r="L30" s="60"/>
      <c r="M30" s="60"/>
      <c r="N30" s="60"/>
      <c r="O30" s="61"/>
      <c r="P30" s="60"/>
      <c r="Q30" s="60"/>
      <c r="R30" s="60"/>
      <c r="S30" s="60"/>
      <c r="T30" s="60"/>
      <c r="U30" s="62"/>
      <c r="V30" s="62"/>
      <c r="W30" s="62"/>
      <c r="X30" s="62"/>
      <c r="Y30" s="63"/>
      <c r="Z30" s="62"/>
      <c r="AA30" s="62"/>
      <c r="AB30" s="64"/>
      <c r="AC30" s="62"/>
      <c r="AD30" s="62"/>
      <c r="AE30" s="62"/>
      <c r="AF30" s="63"/>
      <c r="AG30" s="64"/>
      <c r="AH30" s="63"/>
      <c r="AI30" s="62"/>
    </row>
    <row r="31" spans="1:35" ht="15.75" customHeight="1">
      <c r="A31" s="58"/>
      <c r="B31" s="82" t="s">
        <v>184</v>
      </c>
      <c r="C31" s="84">
        <v>17243.9128834</v>
      </c>
      <c r="D31" s="59"/>
      <c r="E31" s="60"/>
      <c r="F31" s="82" t="s">
        <v>189</v>
      </c>
      <c r="G31" s="83">
        <v>4300</v>
      </c>
      <c r="H31" s="60"/>
      <c r="I31" s="60"/>
      <c r="J31" s="82" t="s">
        <v>182</v>
      </c>
      <c r="K31" s="83">
        <v>318</v>
      </c>
      <c r="L31" s="60"/>
      <c r="M31" s="60"/>
      <c r="N31" s="60"/>
      <c r="O31" s="61"/>
      <c r="P31" s="60"/>
      <c r="Q31" s="60"/>
      <c r="R31" s="60"/>
      <c r="S31" s="60"/>
      <c r="T31" s="60"/>
      <c r="U31" s="62"/>
      <c r="V31" s="62"/>
      <c r="W31" s="62"/>
      <c r="X31" s="62"/>
      <c r="Y31" s="63"/>
      <c r="Z31" s="62"/>
      <c r="AA31" s="62"/>
      <c r="AB31" s="64"/>
      <c r="AC31" s="62"/>
      <c r="AD31" s="62"/>
      <c r="AE31" s="62"/>
      <c r="AF31" s="63"/>
      <c r="AG31" s="64"/>
      <c r="AH31" s="63"/>
      <c r="AI31" s="62"/>
    </row>
    <row r="32" spans="1:35" ht="15.75" customHeight="1">
      <c r="A32" s="58"/>
      <c r="B32" s="82" t="s">
        <v>24</v>
      </c>
      <c r="C32" s="84">
        <v>15404.33</v>
      </c>
      <c r="D32" s="59"/>
      <c r="E32" s="60"/>
      <c r="F32" s="82" t="s">
        <v>188</v>
      </c>
      <c r="G32" s="83">
        <v>4018</v>
      </c>
      <c r="H32" s="60"/>
      <c r="I32" s="60"/>
      <c r="J32" s="82" t="s">
        <v>189</v>
      </c>
      <c r="K32" s="83">
        <v>284</v>
      </c>
      <c r="L32" s="60"/>
      <c r="M32" s="60"/>
      <c r="N32" s="60"/>
      <c r="O32" s="61"/>
      <c r="P32" s="60"/>
      <c r="Q32" s="60"/>
      <c r="R32" s="60"/>
      <c r="S32" s="60"/>
      <c r="T32" s="60"/>
      <c r="U32" s="62"/>
      <c r="V32" s="62"/>
      <c r="W32" s="62"/>
      <c r="X32" s="62"/>
      <c r="Y32" s="63"/>
      <c r="Z32" s="62"/>
      <c r="AA32" s="62"/>
      <c r="AB32" s="64"/>
      <c r="AC32" s="62"/>
      <c r="AD32" s="62"/>
      <c r="AE32" s="62"/>
      <c r="AF32" s="63"/>
      <c r="AG32" s="64"/>
      <c r="AH32" s="63"/>
      <c r="AI32" s="62"/>
    </row>
    <row r="33" spans="1:35" ht="15.75" customHeight="1">
      <c r="A33" s="58"/>
      <c r="B33" s="82" t="s">
        <v>190</v>
      </c>
      <c r="C33" s="84">
        <v>13999.7280861</v>
      </c>
      <c r="D33" s="59"/>
      <c r="E33" s="60"/>
      <c r="F33" s="82" t="s">
        <v>186</v>
      </c>
      <c r="G33" s="83">
        <v>3857</v>
      </c>
      <c r="H33" s="60"/>
      <c r="I33" s="60"/>
      <c r="J33" s="82" t="s">
        <v>191</v>
      </c>
      <c r="K33" s="83">
        <v>251</v>
      </c>
      <c r="L33" s="60"/>
      <c r="M33" s="60"/>
      <c r="N33" s="60"/>
      <c r="O33" s="61"/>
      <c r="P33" s="60"/>
      <c r="Q33" s="60"/>
      <c r="R33" s="60"/>
      <c r="S33" s="60"/>
      <c r="T33" s="60"/>
      <c r="U33" s="62"/>
      <c r="V33" s="62"/>
      <c r="W33" s="62"/>
      <c r="X33" s="62"/>
      <c r="Y33" s="63"/>
      <c r="Z33" s="62"/>
      <c r="AA33" s="62"/>
      <c r="AB33" s="64"/>
      <c r="AC33" s="62"/>
      <c r="AD33" s="62"/>
      <c r="AE33" s="62"/>
      <c r="AF33" s="63"/>
      <c r="AG33" s="64"/>
      <c r="AH33" s="63"/>
      <c r="AI33" s="62"/>
    </row>
    <row r="34" spans="1:35" ht="15.75" customHeight="1">
      <c r="A34" s="58"/>
      <c r="B34" s="82" t="s">
        <v>188</v>
      </c>
      <c r="C34" s="84">
        <v>13052.712477200001</v>
      </c>
      <c r="D34" s="59"/>
      <c r="E34" s="60"/>
      <c r="F34" s="82" t="s">
        <v>182</v>
      </c>
      <c r="G34" s="83">
        <v>3445</v>
      </c>
      <c r="H34" s="60"/>
      <c r="I34" s="60"/>
      <c r="J34" s="82" t="s">
        <v>186</v>
      </c>
      <c r="K34" s="83">
        <v>125</v>
      </c>
      <c r="L34" s="60"/>
      <c r="M34" s="60"/>
      <c r="N34" s="60"/>
      <c r="O34" s="61"/>
      <c r="P34" s="60"/>
      <c r="Q34" s="60"/>
      <c r="R34" s="60"/>
      <c r="S34" s="60"/>
      <c r="T34" s="60"/>
      <c r="U34" s="62"/>
      <c r="V34" s="62"/>
      <c r="W34" s="62"/>
      <c r="X34" s="62"/>
      <c r="Y34" s="63"/>
      <c r="Z34" s="62"/>
      <c r="AA34" s="62"/>
      <c r="AB34" s="64"/>
      <c r="AC34" s="62"/>
      <c r="AD34" s="62"/>
      <c r="AE34" s="62"/>
      <c r="AF34" s="63"/>
      <c r="AG34" s="64"/>
      <c r="AH34" s="63"/>
      <c r="AI34" s="62"/>
    </row>
    <row r="35" spans="1:35" ht="15.75" customHeight="1">
      <c r="A35" s="58"/>
      <c r="B35" s="82" t="s">
        <v>189</v>
      </c>
      <c r="C35" s="84">
        <v>9942.9024449999997</v>
      </c>
      <c r="D35" s="59"/>
      <c r="E35" s="60"/>
      <c r="F35" s="82" t="s">
        <v>191</v>
      </c>
      <c r="G35" s="83">
        <v>3182</v>
      </c>
      <c r="H35" s="60"/>
      <c r="I35" s="60"/>
      <c r="J35" s="82" t="s">
        <v>190</v>
      </c>
      <c r="K35" s="83">
        <v>97</v>
      </c>
      <c r="L35" s="60"/>
      <c r="M35" s="60"/>
      <c r="N35" s="60"/>
      <c r="O35" s="61"/>
      <c r="P35" s="60"/>
      <c r="Q35" s="60"/>
      <c r="R35" s="60"/>
      <c r="S35" s="60"/>
      <c r="T35" s="60"/>
      <c r="U35" s="62"/>
      <c r="V35" s="62"/>
      <c r="W35" s="62"/>
      <c r="X35" s="62"/>
      <c r="Y35" s="63"/>
      <c r="Z35" s="62"/>
      <c r="AA35" s="62"/>
      <c r="AB35" s="64"/>
      <c r="AC35" s="62"/>
      <c r="AD35" s="62"/>
      <c r="AE35" s="62"/>
      <c r="AF35" s="63"/>
      <c r="AG35" s="64"/>
      <c r="AH35" s="63"/>
      <c r="AI35" s="62"/>
    </row>
    <row r="36" spans="1:35" ht="15.75" customHeight="1" thickBot="1">
      <c r="A36" s="58"/>
      <c r="B36" s="82" t="s">
        <v>191</v>
      </c>
      <c r="C36" s="84">
        <v>8958.0867216000006</v>
      </c>
      <c r="D36" s="59"/>
      <c r="E36" s="60"/>
      <c r="F36" s="85" t="s">
        <v>179</v>
      </c>
      <c r="G36" s="86">
        <v>2675</v>
      </c>
      <c r="H36" s="60"/>
      <c r="I36" s="60"/>
      <c r="J36" s="85" t="s">
        <v>184</v>
      </c>
      <c r="K36" s="86">
        <v>-136</v>
      </c>
      <c r="L36" s="60"/>
      <c r="M36" s="60"/>
      <c r="N36" s="60"/>
      <c r="O36" s="61"/>
      <c r="P36" s="60"/>
      <c r="Q36" s="60"/>
      <c r="R36" s="60"/>
      <c r="S36" s="60"/>
      <c r="T36" s="60"/>
      <c r="U36" s="62"/>
      <c r="V36" s="62"/>
      <c r="W36" s="62"/>
      <c r="X36" s="62"/>
      <c r="Y36" s="63"/>
      <c r="Z36" s="62"/>
      <c r="AA36" s="62"/>
      <c r="AB36" s="64"/>
      <c r="AC36" s="62"/>
      <c r="AD36" s="62"/>
      <c r="AE36" s="62"/>
      <c r="AF36" s="63"/>
      <c r="AG36" s="64"/>
      <c r="AH36" s="63"/>
      <c r="AI36" s="62"/>
    </row>
    <row r="37" spans="1:35" ht="15.75" customHeight="1" thickTop="1" thickBot="1">
      <c r="A37" s="58"/>
      <c r="B37" s="85" t="s">
        <v>187</v>
      </c>
      <c r="C37" s="87">
        <v>7611.8186345000004</v>
      </c>
      <c r="D37" s="59"/>
      <c r="E37" s="60"/>
      <c r="F37" s="85" t="s">
        <v>190</v>
      </c>
      <c r="G37" s="86">
        <v>1368</v>
      </c>
      <c r="H37" s="60"/>
      <c r="I37" s="60"/>
      <c r="J37" s="82" t="s">
        <v>187</v>
      </c>
      <c r="K37" s="86">
        <v>-817</v>
      </c>
      <c r="L37" s="60"/>
      <c r="M37" s="60"/>
      <c r="N37" s="60"/>
      <c r="O37" s="61"/>
      <c r="P37" s="60"/>
      <c r="Q37" s="60"/>
      <c r="R37" s="60"/>
      <c r="S37" s="60"/>
      <c r="T37" s="60"/>
      <c r="U37" s="62"/>
      <c r="V37" s="62"/>
      <c r="W37" s="62"/>
      <c r="X37" s="62"/>
      <c r="Y37" s="63"/>
      <c r="Z37" s="62"/>
      <c r="AA37" s="62"/>
      <c r="AB37" s="64"/>
      <c r="AC37" s="62"/>
      <c r="AD37" s="62"/>
      <c r="AE37" s="62"/>
      <c r="AF37" s="63"/>
      <c r="AG37" s="64"/>
      <c r="AH37" s="63"/>
      <c r="AI37" s="62"/>
    </row>
    <row r="38" spans="1:35" ht="15.75" customHeight="1" thickTop="1" thickBot="1">
      <c r="A38" s="58"/>
      <c r="B38" s="58"/>
      <c r="C38" s="59"/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/>
      <c r="P38" s="60"/>
      <c r="Q38" s="60"/>
      <c r="R38" s="60"/>
      <c r="S38" s="60"/>
      <c r="T38" s="60"/>
      <c r="U38" s="62"/>
      <c r="V38" s="62"/>
      <c r="W38" s="62"/>
      <c r="X38" s="62"/>
      <c r="Y38" s="63"/>
      <c r="Z38" s="62"/>
      <c r="AA38" s="62"/>
      <c r="AB38" s="64"/>
      <c r="AC38" s="62"/>
      <c r="AD38" s="62"/>
      <c r="AE38" s="62"/>
      <c r="AF38" s="63"/>
      <c r="AG38" s="64"/>
      <c r="AH38" s="63"/>
      <c r="AI38" s="62"/>
    </row>
    <row r="39" spans="1:35" ht="15.75" customHeight="1" thickTop="1">
      <c r="A39" s="58"/>
      <c r="B39" s="76" t="s">
        <v>192</v>
      </c>
      <c r="C39" s="88">
        <f>SUM(C16:C37)</f>
        <v>752424.69819279981</v>
      </c>
      <c r="D39" s="59"/>
      <c r="E39" s="60"/>
      <c r="F39" s="76" t="s">
        <v>192</v>
      </c>
      <c r="G39" s="88">
        <f>SUM(G16:G37)</f>
        <v>299347</v>
      </c>
      <c r="H39" s="60"/>
      <c r="I39" s="60"/>
      <c r="J39" s="76" t="s">
        <v>192</v>
      </c>
      <c r="K39" s="88">
        <f>SUM(K16:K37)</f>
        <v>14559</v>
      </c>
      <c r="L39" s="60"/>
      <c r="M39" s="60"/>
      <c r="N39" s="60"/>
      <c r="O39" s="61"/>
      <c r="P39" s="60"/>
      <c r="Q39" s="60"/>
      <c r="R39" s="60"/>
      <c r="S39" s="60"/>
      <c r="T39" s="60"/>
      <c r="U39" s="62"/>
      <c r="V39" s="62"/>
      <c r="W39" s="62"/>
      <c r="X39" s="62"/>
      <c r="Y39" s="63"/>
      <c r="Z39" s="62"/>
      <c r="AA39" s="62"/>
      <c r="AB39" s="64"/>
      <c r="AC39" s="62"/>
      <c r="AD39" s="62"/>
      <c r="AE39" s="62"/>
      <c r="AF39" s="63"/>
      <c r="AG39" s="64"/>
      <c r="AH39" s="63"/>
      <c r="AI39" s="62"/>
    </row>
    <row r="40" spans="1:35" ht="15.75" customHeight="1">
      <c r="A40" s="58"/>
      <c r="B40" s="58"/>
      <c r="C40" s="59"/>
      <c r="D40" s="59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/>
      <c r="P40" s="60"/>
      <c r="Q40" s="60"/>
      <c r="R40" s="60"/>
      <c r="S40" s="60"/>
      <c r="T40" s="60"/>
      <c r="U40" s="62"/>
      <c r="V40" s="62"/>
      <c r="W40" s="62"/>
      <c r="X40" s="62"/>
      <c r="Y40" s="63"/>
      <c r="Z40" s="62"/>
      <c r="AA40" s="62"/>
      <c r="AB40" s="64"/>
      <c r="AC40" s="62"/>
      <c r="AD40" s="62"/>
      <c r="AE40" s="62"/>
      <c r="AF40" s="63"/>
      <c r="AG40" s="64"/>
      <c r="AH40" s="63"/>
      <c r="AI40" s="62"/>
    </row>
    <row r="41" spans="1:35" ht="15.75" customHeight="1">
      <c r="A41" s="58"/>
      <c r="B41" s="58"/>
      <c r="C41" s="59"/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/>
      <c r="P41" s="60"/>
      <c r="Q41" s="60"/>
      <c r="R41" s="60"/>
      <c r="S41" s="60"/>
      <c r="T41" s="60"/>
      <c r="U41" s="62"/>
      <c r="V41" s="62"/>
      <c r="W41" s="62"/>
      <c r="X41" s="62"/>
      <c r="Y41" s="63"/>
      <c r="Z41" s="62"/>
      <c r="AA41" s="62"/>
      <c r="AB41" s="64"/>
      <c r="AC41" s="62"/>
      <c r="AD41" s="62"/>
      <c r="AE41" s="62"/>
      <c r="AF41" s="63"/>
      <c r="AG41" s="64"/>
      <c r="AH41" s="63"/>
      <c r="AI41" s="62"/>
    </row>
    <row r="42" spans="1:35" ht="15.75" customHeight="1">
      <c r="A42" s="58"/>
      <c r="B42" s="58"/>
      <c r="C42" s="59"/>
      <c r="D42" s="59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/>
      <c r="P42" s="60"/>
      <c r="Q42" s="60"/>
      <c r="R42" s="60"/>
      <c r="S42" s="60"/>
      <c r="T42" s="60"/>
      <c r="U42" s="62"/>
      <c r="V42" s="62"/>
      <c r="W42" s="62"/>
      <c r="X42" s="62"/>
      <c r="Y42" s="63"/>
      <c r="Z42" s="62"/>
      <c r="AA42" s="62"/>
      <c r="AB42" s="64"/>
      <c r="AC42" s="62"/>
      <c r="AD42" s="62"/>
      <c r="AE42" s="62"/>
      <c r="AF42" s="63"/>
      <c r="AG42" s="64"/>
      <c r="AH42" s="63"/>
      <c r="AI42" s="62"/>
    </row>
    <row r="43" spans="1:35" ht="15.75" customHeight="1">
      <c r="A43" s="58"/>
      <c r="B43" s="58"/>
      <c r="C43" s="59"/>
      <c r="D43" s="59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/>
      <c r="P43" s="60"/>
      <c r="Q43" s="60"/>
      <c r="R43" s="60"/>
      <c r="S43" s="60"/>
      <c r="T43" s="60"/>
      <c r="U43" s="62"/>
      <c r="V43" s="62"/>
      <c r="W43" s="62"/>
      <c r="X43" s="62"/>
      <c r="Y43" s="63"/>
      <c r="Z43" s="62"/>
      <c r="AA43" s="62"/>
      <c r="AB43" s="64"/>
      <c r="AC43" s="62"/>
      <c r="AD43" s="62"/>
      <c r="AE43" s="62"/>
      <c r="AF43" s="63"/>
      <c r="AG43" s="64"/>
      <c r="AH43" s="63"/>
      <c r="AI43" s="62"/>
    </row>
    <row r="44" spans="1:35" ht="15.75" customHeight="1">
      <c r="A44" s="58"/>
      <c r="B44" s="58"/>
      <c r="C44" s="59"/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/>
      <c r="P44" s="60"/>
      <c r="Q44" s="60"/>
      <c r="R44" s="60"/>
      <c r="S44" s="60"/>
      <c r="T44" s="60"/>
      <c r="U44" s="62"/>
      <c r="V44" s="62"/>
      <c r="W44" s="62"/>
      <c r="X44" s="62"/>
      <c r="Y44" s="63"/>
      <c r="Z44" s="62"/>
      <c r="AA44" s="62"/>
      <c r="AB44" s="64"/>
      <c r="AC44" s="62"/>
      <c r="AD44" s="62"/>
      <c r="AE44" s="62"/>
      <c r="AF44" s="63"/>
      <c r="AG44" s="64"/>
      <c r="AH44" s="63"/>
      <c r="AI44" s="62"/>
    </row>
    <row r="45" spans="1:35" ht="15.75" customHeight="1">
      <c r="A45" s="58"/>
      <c r="B45" s="58"/>
      <c r="C45" s="59"/>
      <c r="D45" s="5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/>
      <c r="P45" s="60"/>
      <c r="Q45" s="60"/>
      <c r="R45" s="60"/>
      <c r="S45" s="60"/>
      <c r="T45" s="60"/>
      <c r="U45" s="62"/>
      <c r="V45" s="62"/>
      <c r="W45" s="62"/>
      <c r="X45" s="62"/>
      <c r="Y45" s="63"/>
      <c r="Z45" s="62"/>
      <c r="AA45" s="62"/>
      <c r="AB45" s="64"/>
      <c r="AC45" s="62"/>
      <c r="AD45" s="62"/>
      <c r="AE45" s="62"/>
      <c r="AF45" s="63"/>
      <c r="AG45" s="64"/>
      <c r="AH45" s="63"/>
      <c r="AI45" s="62"/>
    </row>
    <row r="46" spans="1:35" ht="15.75" customHeight="1">
      <c r="A46" s="58"/>
      <c r="B46" s="58"/>
      <c r="C46" s="59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/>
      <c r="P46" s="60"/>
      <c r="Q46" s="60"/>
      <c r="R46" s="60"/>
      <c r="S46" s="60"/>
      <c r="T46" s="60"/>
      <c r="U46" s="62"/>
      <c r="V46" s="62"/>
      <c r="W46" s="62"/>
      <c r="X46" s="62"/>
      <c r="Y46" s="63"/>
      <c r="Z46" s="62"/>
      <c r="AA46" s="62"/>
      <c r="AB46" s="64"/>
      <c r="AC46" s="62"/>
      <c r="AD46" s="62"/>
      <c r="AE46" s="62"/>
      <c r="AF46" s="63"/>
      <c r="AG46" s="64"/>
      <c r="AH46" s="63"/>
      <c r="AI46" s="62"/>
    </row>
    <row r="47" spans="1:35" ht="15.75" customHeight="1">
      <c r="A47" s="58"/>
      <c r="B47" s="58"/>
      <c r="C47" s="59"/>
      <c r="D47" s="5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/>
      <c r="P47" s="60"/>
      <c r="Q47" s="60"/>
      <c r="R47" s="60"/>
      <c r="S47" s="60"/>
      <c r="T47" s="60"/>
      <c r="U47" s="62"/>
      <c r="V47" s="62"/>
      <c r="W47" s="62"/>
      <c r="X47" s="62"/>
      <c r="Y47" s="63"/>
      <c r="Z47" s="62"/>
      <c r="AA47" s="62"/>
      <c r="AB47" s="64"/>
      <c r="AC47" s="62"/>
      <c r="AD47" s="62"/>
      <c r="AE47" s="62"/>
      <c r="AF47" s="63"/>
      <c r="AG47" s="64"/>
      <c r="AH47" s="63"/>
      <c r="AI47" s="62"/>
    </row>
    <row r="48" spans="1:35" ht="15.75" customHeight="1">
      <c r="A48" s="58"/>
      <c r="B48" s="58"/>
      <c r="C48" s="59"/>
      <c r="D48" s="5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/>
      <c r="P48" s="60"/>
      <c r="Q48" s="60"/>
      <c r="R48" s="60"/>
      <c r="S48" s="60"/>
      <c r="T48" s="60"/>
      <c r="U48" s="62"/>
      <c r="V48" s="62"/>
      <c r="W48" s="62"/>
      <c r="X48" s="62"/>
      <c r="Y48" s="63"/>
      <c r="Z48" s="62"/>
      <c r="AA48" s="62"/>
      <c r="AB48" s="64"/>
      <c r="AC48" s="62"/>
      <c r="AD48" s="62"/>
      <c r="AE48" s="62"/>
      <c r="AF48" s="63"/>
      <c r="AG48" s="64"/>
      <c r="AH48" s="63"/>
      <c r="AI48" s="62"/>
    </row>
    <row r="49" spans="1:35" ht="15.75" customHeight="1">
      <c r="A49" s="58"/>
      <c r="B49" s="58"/>
      <c r="C49" s="59"/>
      <c r="D49" s="5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/>
      <c r="P49" s="60"/>
      <c r="Q49" s="60"/>
      <c r="R49" s="60"/>
      <c r="S49" s="60"/>
      <c r="T49" s="60"/>
      <c r="U49" s="62"/>
      <c r="V49" s="62"/>
      <c r="W49" s="62"/>
      <c r="X49" s="62"/>
      <c r="Y49" s="63"/>
      <c r="Z49" s="62"/>
      <c r="AA49" s="62"/>
      <c r="AB49" s="64"/>
      <c r="AC49" s="62"/>
      <c r="AD49" s="62"/>
      <c r="AE49" s="62"/>
      <c r="AF49" s="63"/>
      <c r="AG49" s="64"/>
      <c r="AH49" s="63"/>
      <c r="AI49" s="62"/>
    </row>
    <row r="50" spans="1:35" ht="15.75" customHeight="1">
      <c r="A50" s="58"/>
      <c r="B50" s="58"/>
      <c r="C50" s="59"/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/>
      <c r="P50" s="60"/>
      <c r="Q50" s="60"/>
      <c r="R50" s="60"/>
      <c r="S50" s="60"/>
      <c r="T50" s="60"/>
      <c r="U50" s="62"/>
      <c r="V50" s="62"/>
      <c r="W50" s="62"/>
      <c r="X50" s="62"/>
      <c r="Y50" s="63"/>
      <c r="Z50" s="62"/>
      <c r="AA50" s="62"/>
      <c r="AB50" s="64"/>
      <c r="AC50" s="62"/>
      <c r="AD50" s="62"/>
      <c r="AE50" s="62"/>
      <c r="AF50" s="63"/>
      <c r="AG50" s="64"/>
      <c r="AH50" s="63"/>
      <c r="AI50" s="62"/>
    </row>
    <row r="51" spans="1:35" ht="15.75" customHeight="1">
      <c r="A51" s="58"/>
      <c r="B51" s="58"/>
      <c r="C51" s="59"/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/>
      <c r="P51" s="60"/>
      <c r="Q51" s="60"/>
      <c r="R51" s="60"/>
      <c r="S51" s="60"/>
      <c r="T51" s="60"/>
      <c r="U51" s="62"/>
      <c r="V51" s="62"/>
      <c r="W51" s="62"/>
      <c r="X51" s="62"/>
      <c r="Y51" s="63"/>
      <c r="Z51" s="62"/>
      <c r="AA51" s="62"/>
      <c r="AB51" s="64"/>
      <c r="AC51" s="62"/>
      <c r="AD51" s="62"/>
      <c r="AE51" s="62"/>
      <c r="AF51" s="63"/>
      <c r="AG51" s="64"/>
      <c r="AH51" s="63"/>
      <c r="AI51" s="62"/>
    </row>
    <row r="52" spans="1:35" ht="15.75" customHeight="1">
      <c r="A52" s="58"/>
      <c r="B52" s="58"/>
      <c r="C52" s="59"/>
      <c r="D52" s="5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/>
      <c r="P52" s="60"/>
      <c r="Q52" s="60"/>
      <c r="R52" s="60"/>
      <c r="S52" s="60"/>
      <c r="T52" s="60"/>
      <c r="U52" s="62"/>
      <c r="V52" s="62"/>
      <c r="W52" s="62"/>
      <c r="X52" s="62"/>
      <c r="Y52" s="63"/>
      <c r="Z52" s="62"/>
      <c r="AA52" s="62"/>
      <c r="AB52" s="64"/>
      <c r="AC52" s="62"/>
      <c r="AD52" s="62"/>
      <c r="AE52" s="62"/>
      <c r="AF52" s="63"/>
      <c r="AG52" s="64"/>
      <c r="AH52" s="63"/>
      <c r="AI52" s="62"/>
    </row>
    <row r="53" spans="1:35" ht="15.75" customHeight="1">
      <c r="A53" s="58"/>
      <c r="B53" s="58"/>
      <c r="C53" s="59"/>
      <c r="D53" s="59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/>
      <c r="P53" s="60"/>
      <c r="Q53" s="60"/>
      <c r="R53" s="60"/>
      <c r="S53" s="60"/>
      <c r="T53" s="60"/>
      <c r="U53" s="62"/>
      <c r="V53" s="62"/>
      <c r="W53" s="62"/>
      <c r="X53" s="62"/>
      <c r="Y53" s="63"/>
      <c r="Z53" s="62"/>
      <c r="AA53" s="62"/>
      <c r="AB53" s="64"/>
      <c r="AC53" s="62"/>
      <c r="AD53" s="62"/>
      <c r="AE53" s="62"/>
      <c r="AF53" s="63"/>
      <c r="AG53" s="64"/>
      <c r="AH53" s="63"/>
      <c r="AI53" s="62"/>
    </row>
    <row r="54" spans="1:35" ht="15.75" customHeight="1">
      <c r="A54" s="58"/>
      <c r="B54" s="58"/>
      <c r="C54" s="59"/>
      <c r="D54" s="59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/>
      <c r="P54" s="60"/>
      <c r="Q54" s="60"/>
      <c r="R54" s="60"/>
      <c r="S54" s="60"/>
      <c r="T54" s="60"/>
      <c r="U54" s="62"/>
      <c r="V54" s="62"/>
      <c r="W54" s="62"/>
      <c r="X54" s="62"/>
      <c r="Y54" s="63"/>
      <c r="Z54" s="62"/>
      <c r="AA54" s="62"/>
      <c r="AB54" s="64"/>
      <c r="AC54" s="62"/>
      <c r="AD54" s="62"/>
      <c r="AE54" s="62"/>
      <c r="AF54" s="63"/>
      <c r="AG54" s="64"/>
      <c r="AH54" s="63"/>
      <c r="AI54" s="62"/>
    </row>
    <row r="55" spans="1:35" ht="15.75" customHeight="1">
      <c r="A55" s="58"/>
      <c r="B55" s="66" t="s">
        <v>27</v>
      </c>
      <c r="C55" s="59"/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/>
      <c r="P55" s="60"/>
      <c r="Q55" s="60"/>
      <c r="R55" s="60"/>
      <c r="S55" s="60"/>
      <c r="T55" s="60"/>
      <c r="U55" s="62"/>
      <c r="V55" s="62"/>
      <c r="W55" s="62"/>
      <c r="X55" s="62"/>
      <c r="Y55" s="63"/>
      <c r="Z55" s="62"/>
      <c r="AA55" s="62"/>
      <c r="AB55" s="64"/>
      <c r="AC55" s="62"/>
      <c r="AD55" s="62"/>
      <c r="AE55" s="62"/>
      <c r="AF55" s="63"/>
      <c r="AG55" s="64"/>
      <c r="AH55" s="63"/>
      <c r="AI55" s="62"/>
    </row>
    <row r="56" spans="1:35" ht="15.75" customHeight="1">
      <c r="A56" s="58"/>
      <c r="B56" s="68" t="s">
        <v>193</v>
      </c>
      <c r="C56" s="68" t="s">
        <v>194</v>
      </c>
      <c r="D56" s="59"/>
      <c r="E56" s="60"/>
      <c r="F56" s="60"/>
      <c r="G56" s="60"/>
      <c r="H56" s="60"/>
      <c r="I56" s="60"/>
      <c r="J56" s="68" t="s">
        <v>193</v>
      </c>
      <c r="K56" s="68" t="s">
        <v>195</v>
      </c>
      <c r="L56" s="60"/>
      <c r="M56" s="60"/>
      <c r="N56" s="60"/>
      <c r="O56" s="61"/>
      <c r="P56" s="60"/>
      <c r="Q56" s="60"/>
      <c r="R56" s="60"/>
      <c r="S56" s="60"/>
      <c r="T56" s="60"/>
      <c r="U56" s="62"/>
      <c r="V56" s="62"/>
      <c r="W56" s="62"/>
      <c r="X56" s="62"/>
      <c r="Y56" s="63"/>
      <c r="Z56" s="62"/>
      <c r="AA56" s="62"/>
      <c r="AB56" s="64"/>
      <c r="AC56" s="62"/>
      <c r="AD56" s="62"/>
      <c r="AE56" s="62"/>
      <c r="AF56" s="63"/>
      <c r="AG56" s="64"/>
      <c r="AH56" s="63"/>
      <c r="AI56" s="62"/>
    </row>
    <row r="57" spans="1:35" ht="15.75" customHeight="1">
      <c r="A57" s="58"/>
      <c r="B57" s="82" t="s">
        <v>179</v>
      </c>
      <c r="C57" s="89">
        <v>0.33834212537965591</v>
      </c>
      <c r="D57" s="59"/>
      <c r="E57" s="60"/>
      <c r="F57" s="60"/>
      <c r="G57" s="60"/>
      <c r="H57" s="60"/>
      <c r="I57" s="60"/>
      <c r="J57" s="82" t="s">
        <v>190</v>
      </c>
      <c r="K57" s="89">
        <v>0.48099415204678353</v>
      </c>
      <c r="L57" s="60"/>
      <c r="M57" s="60"/>
      <c r="N57" s="60"/>
      <c r="O57" s="61"/>
      <c r="P57" s="60"/>
      <c r="Q57" s="60"/>
      <c r="R57" s="60"/>
      <c r="S57" s="60"/>
      <c r="T57" s="60"/>
      <c r="U57" s="62"/>
      <c r="V57" s="62"/>
      <c r="W57" s="62"/>
      <c r="X57" s="62"/>
      <c r="Y57" s="63"/>
      <c r="Z57" s="62"/>
      <c r="AA57" s="62"/>
      <c r="AB57" s="64"/>
      <c r="AC57" s="62"/>
      <c r="AD57" s="62"/>
      <c r="AE57" s="62"/>
      <c r="AF57" s="63"/>
      <c r="AG57" s="64"/>
      <c r="AH57" s="63"/>
      <c r="AI57" s="62"/>
    </row>
    <row r="58" spans="1:35" ht="15.75" customHeight="1">
      <c r="A58" s="58"/>
      <c r="B58" s="82" t="s">
        <v>176</v>
      </c>
      <c r="C58" s="89">
        <v>0.24420004584416444</v>
      </c>
      <c r="D58" s="59"/>
      <c r="E58" s="60"/>
      <c r="F58" s="60"/>
      <c r="G58" s="60"/>
      <c r="H58" s="60"/>
      <c r="I58" s="60"/>
      <c r="J58" s="82" t="s">
        <v>191</v>
      </c>
      <c r="K58" s="89">
        <v>0.35983658076681335</v>
      </c>
      <c r="L58" s="60"/>
      <c r="M58" s="60"/>
      <c r="N58" s="60"/>
      <c r="O58" s="61"/>
      <c r="P58" s="60"/>
      <c r="Q58" s="60"/>
      <c r="R58" s="60"/>
      <c r="S58" s="60"/>
      <c r="T58" s="60"/>
      <c r="U58" s="62"/>
      <c r="V58" s="62"/>
      <c r="W58" s="62"/>
      <c r="X58" s="62"/>
      <c r="Y58" s="63"/>
      <c r="Z58" s="62"/>
      <c r="AA58" s="62"/>
      <c r="AB58" s="64"/>
      <c r="AC58" s="62"/>
      <c r="AD58" s="62"/>
      <c r="AE58" s="62"/>
      <c r="AF58" s="63"/>
      <c r="AG58" s="64"/>
      <c r="AH58" s="63"/>
      <c r="AI58" s="62"/>
    </row>
    <row r="59" spans="1:35" ht="15.75" customHeight="1">
      <c r="A59" s="58"/>
      <c r="B59" s="82" t="s">
        <v>180</v>
      </c>
      <c r="C59" s="89">
        <v>0.19827984591913639</v>
      </c>
      <c r="D59" s="59"/>
      <c r="E59" s="60"/>
      <c r="F59" s="60"/>
      <c r="G59" s="60"/>
      <c r="H59" s="60"/>
      <c r="I59" s="60"/>
      <c r="J59" s="82" t="s">
        <v>173</v>
      </c>
      <c r="K59" s="89">
        <v>0.20855271606523695</v>
      </c>
      <c r="L59" s="60"/>
      <c r="M59" s="60"/>
      <c r="N59" s="60"/>
      <c r="O59" s="61"/>
      <c r="P59" s="60"/>
      <c r="Q59" s="60"/>
      <c r="R59" s="60"/>
      <c r="S59" s="60"/>
      <c r="T59" s="60"/>
      <c r="U59" s="62"/>
      <c r="V59" s="62"/>
      <c r="W59" s="62"/>
      <c r="X59" s="62"/>
      <c r="Y59" s="63"/>
      <c r="Z59" s="62"/>
      <c r="AA59" s="62"/>
      <c r="AB59" s="64"/>
      <c r="AC59" s="62"/>
      <c r="AD59" s="62"/>
      <c r="AE59" s="62"/>
      <c r="AF59" s="63"/>
      <c r="AG59" s="64"/>
      <c r="AH59" s="63"/>
      <c r="AI59" s="62"/>
    </row>
    <row r="60" spans="1:35" ht="15.75" customHeight="1">
      <c r="A60" s="58"/>
      <c r="B60" s="82" t="s">
        <v>186</v>
      </c>
      <c r="C60" s="89">
        <v>0.17985031074799696</v>
      </c>
      <c r="D60" s="59"/>
      <c r="E60" s="60"/>
      <c r="F60" s="60"/>
      <c r="G60" s="60"/>
      <c r="H60" s="60"/>
      <c r="I60" s="60"/>
      <c r="J60" s="82" t="s">
        <v>186</v>
      </c>
      <c r="K60" s="89">
        <v>0.17526575058335503</v>
      </c>
      <c r="L60" s="60"/>
      <c r="M60" s="60"/>
      <c r="N60" s="60"/>
      <c r="O60" s="61"/>
      <c r="P60" s="60"/>
      <c r="Q60" s="60"/>
      <c r="R60" s="60"/>
      <c r="S60" s="60"/>
      <c r="T60" s="60"/>
      <c r="U60" s="62"/>
      <c r="V60" s="62"/>
      <c r="W60" s="62"/>
      <c r="X60" s="62"/>
      <c r="Y60" s="63"/>
      <c r="Z60" s="62"/>
      <c r="AA60" s="62"/>
      <c r="AB60" s="64"/>
      <c r="AC60" s="62"/>
      <c r="AD60" s="62"/>
      <c r="AE60" s="62"/>
      <c r="AF60" s="63"/>
      <c r="AG60" s="64"/>
      <c r="AH60" s="63"/>
      <c r="AI60" s="62"/>
    </row>
    <row r="61" spans="1:35" ht="15.75" customHeight="1">
      <c r="A61" s="58"/>
      <c r="B61" s="82" t="s">
        <v>191</v>
      </c>
      <c r="C61" s="89">
        <v>0.16061222878508286</v>
      </c>
      <c r="D61" s="59"/>
      <c r="E61" s="60"/>
      <c r="F61" s="60"/>
      <c r="G61" s="60"/>
      <c r="H61" s="60"/>
      <c r="I61" s="60"/>
      <c r="J61" s="82" t="s">
        <v>180</v>
      </c>
      <c r="K61" s="89">
        <v>0.16820932716269144</v>
      </c>
      <c r="L61" s="60"/>
      <c r="M61" s="60"/>
      <c r="N61" s="60"/>
      <c r="O61" s="61"/>
      <c r="P61" s="60"/>
      <c r="Q61" s="60"/>
      <c r="R61" s="60"/>
      <c r="S61" s="60"/>
      <c r="T61" s="60"/>
      <c r="U61" s="62"/>
      <c r="V61" s="62"/>
      <c r="W61" s="62"/>
      <c r="X61" s="62"/>
      <c r="Y61" s="63"/>
      <c r="Z61" s="62"/>
      <c r="AA61" s="62"/>
      <c r="AB61" s="64"/>
      <c r="AC61" s="62"/>
      <c r="AD61" s="62"/>
      <c r="AE61" s="62"/>
      <c r="AF61" s="63"/>
      <c r="AG61" s="64"/>
      <c r="AH61" s="63"/>
      <c r="AI61" s="62"/>
    </row>
    <row r="62" spans="1:35" ht="15.75" customHeight="1">
      <c r="A62" s="58"/>
      <c r="B62" s="82" t="s">
        <v>175</v>
      </c>
      <c r="C62" s="89">
        <v>0.13887966370438187</v>
      </c>
      <c r="D62" s="59"/>
      <c r="E62" s="60"/>
      <c r="F62" s="60"/>
      <c r="G62" s="60"/>
      <c r="H62" s="60"/>
      <c r="I62" s="60"/>
      <c r="J62" s="82" t="s">
        <v>175</v>
      </c>
      <c r="K62" s="89">
        <v>0.14402335836014779</v>
      </c>
      <c r="L62" s="60"/>
      <c r="M62" s="60"/>
      <c r="N62" s="60"/>
      <c r="O62" s="61"/>
      <c r="P62" s="60"/>
      <c r="Q62" s="60"/>
      <c r="R62" s="60"/>
      <c r="S62" s="60"/>
      <c r="T62" s="60"/>
      <c r="U62" s="62"/>
      <c r="V62" s="62"/>
      <c r="W62" s="62"/>
      <c r="X62" s="62"/>
      <c r="Y62" s="63"/>
      <c r="Z62" s="62"/>
      <c r="AA62" s="62"/>
      <c r="AB62" s="64"/>
      <c r="AC62" s="62"/>
      <c r="AD62" s="62"/>
      <c r="AE62" s="62"/>
      <c r="AF62" s="63"/>
      <c r="AG62" s="64"/>
      <c r="AH62" s="63"/>
      <c r="AI62" s="62"/>
    </row>
    <row r="63" spans="1:35" ht="15.75" customHeight="1">
      <c r="A63" s="58"/>
      <c r="B63" s="82" t="s">
        <v>24</v>
      </c>
      <c r="C63" s="89">
        <v>0.10759477738118961</v>
      </c>
      <c r="D63" s="59"/>
      <c r="E63" s="60"/>
      <c r="F63" s="60"/>
      <c r="G63" s="60"/>
      <c r="H63" s="60"/>
      <c r="I63" s="60"/>
      <c r="J63" s="82" t="s">
        <v>179</v>
      </c>
      <c r="K63" s="89">
        <v>0.13757009345794402</v>
      </c>
      <c r="L63" s="60"/>
      <c r="M63" s="60"/>
      <c r="N63" s="60"/>
      <c r="O63" s="61"/>
      <c r="P63" s="60"/>
      <c r="Q63" s="60"/>
      <c r="R63" s="60"/>
      <c r="S63" s="60"/>
      <c r="T63" s="60"/>
      <c r="U63" s="62"/>
      <c r="V63" s="62"/>
      <c r="W63" s="62"/>
      <c r="X63" s="62"/>
      <c r="Y63" s="63"/>
      <c r="Z63" s="62"/>
      <c r="AA63" s="62"/>
      <c r="AB63" s="64"/>
      <c r="AC63" s="62"/>
      <c r="AD63" s="62"/>
      <c r="AE63" s="62"/>
      <c r="AF63" s="63"/>
      <c r="AG63" s="64"/>
      <c r="AH63" s="63"/>
      <c r="AI63" s="62"/>
    </row>
    <row r="64" spans="1:35" ht="15.75" customHeight="1">
      <c r="A64" s="58"/>
      <c r="B64" s="82" t="s">
        <v>189</v>
      </c>
      <c r="C64" s="89">
        <v>0.1029036327504369</v>
      </c>
      <c r="D64" s="59"/>
      <c r="E64" s="60"/>
      <c r="F64" s="60"/>
      <c r="G64" s="60"/>
      <c r="H64" s="60"/>
      <c r="I64" s="60"/>
      <c r="J64" s="82" t="s">
        <v>181</v>
      </c>
      <c r="K64" s="89">
        <v>0.1258325067309054</v>
      </c>
      <c r="L64" s="60"/>
      <c r="M64" s="60"/>
      <c r="N64" s="60"/>
      <c r="O64" s="61"/>
      <c r="P64" s="60"/>
      <c r="Q64" s="60"/>
      <c r="R64" s="60"/>
      <c r="S64" s="60"/>
      <c r="T64" s="60"/>
      <c r="U64" s="62"/>
      <c r="V64" s="62"/>
      <c r="W64" s="62"/>
      <c r="X64" s="62"/>
      <c r="Y64" s="63"/>
      <c r="Z64" s="62"/>
      <c r="AA64" s="62"/>
      <c r="AB64" s="64"/>
      <c r="AC64" s="62"/>
      <c r="AD64" s="62"/>
      <c r="AE64" s="62"/>
      <c r="AF64" s="63"/>
      <c r="AG64" s="64"/>
      <c r="AH64" s="63"/>
      <c r="AI64" s="62"/>
    </row>
    <row r="65" spans="1:35" ht="15.75" customHeight="1">
      <c r="A65" s="58"/>
      <c r="B65" s="82" t="s">
        <v>181</v>
      </c>
      <c r="C65" s="89">
        <v>9.4990309403052864E-2</v>
      </c>
      <c r="D65" s="59"/>
      <c r="E65" s="60"/>
      <c r="F65" s="60"/>
      <c r="G65" s="60"/>
      <c r="H65" s="60"/>
      <c r="I65" s="60"/>
      <c r="J65" s="82" t="s">
        <v>176</v>
      </c>
      <c r="K65" s="89">
        <v>0.12105883168179621</v>
      </c>
      <c r="L65" s="60"/>
      <c r="M65" s="60"/>
      <c r="N65" s="60"/>
      <c r="O65" s="61"/>
      <c r="P65" s="60"/>
      <c r="Q65" s="60"/>
      <c r="R65" s="60"/>
      <c r="S65" s="60"/>
      <c r="T65" s="60"/>
      <c r="U65" s="62"/>
      <c r="V65" s="62"/>
      <c r="W65" s="62"/>
      <c r="X65" s="62"/>
      <c r="Y65" s="63"/>
      <c r="Z65" s="62"/>
      <c r="AA65" s="62"/>
      <c r="AB65" s="64"/>
      <c r="AC65" s="62"/>
      <c r="AD65" s="62"/>
      <c r="AE65" s="62"/>
      <c r="AF65" s="63"/>
      <c r="AG65" s="64"/>
      <c r="AH65" s="63"/>
      <c r="AI65" s="62"/>
    </row>
    <row r="66" spans="1:35" ht="15.75" customHeight="1">
      <c r="A66" s="58"/>
      <c r="B66" s="82" t="s">
        <v>178</v>
      </c>
      <c r="C66" s="89">
        <v>8.5278988699844405E-2</v>
      </c>
      <c r="D66" s="59"/>
      <c r="E66" s="60"/>
      <c r="F66" s="60"/>
      <c r="G66" s="60"/>
      <c r="H66" s="60"/>
      <c r="I66" s="60"/>
      <c r="J66" s="82" t="s">
        <v>183</v>
      </c>
      <c r="K66" s="89">
        <v>0.11199454793275776</v>
      </c>
      <c r="L66" s="60"/>
      <c r="M66" s="60"/>
      <c r="N66" s="60"/>
      <c r="O66" s="61"/>
      <c r="P66" s="60"/>
      <c r="Q66" s="60"/>
      <c r="R66" s="60"/>
      <c r="S66" s="60"/>
      <c r="T66" s="60"/>
      <c r="U66" s="62"/>
      <c r="V66" s="62"/>
      <c r="W66" s="62"/>
      <c r="X66" s="62"/>
      <c r="Y66" s="63"/>
      <c r="Z66" s="62"/>
      <c r="AA66" s="62"/>
      <c r="AB66" s="64"/>
      <c r="AC66" s="62"/>
      <c r="AD66" s="62"/>
      <c r="AE66" s="62"/>
      <c r="AF66" s="63"/>
      <c r="AG66" s="64"/>
      <c r="AH66" s="63"/>
      <c r="AI66" s="62"/>
    </row>
    <row r="67" spans="1:35" ht="15.75" customHeight="1">
      <c r="A67" s="58"/>
      <c r="B67" s="82" t="s">
        <v>188</v>
      </c>
      <c r="C67" s="89">
        <v>8.444478287496171E-2</v>
      </c>
      <c r="D67" s="59"/>
      <c r="E67" s="60"/>
      <c r="F67" s="60"/>
      <c r="G67" s="60"/>
      <c r="H67" s="60"/>
      <c r="I67" s="60"/>
      <c r="J67" s="82" t="s">
        <v>174</v>
      </c>
      <c r="K67" s="89">
        <v>0.10904950097126398</v>
      </c>
      <c r="L67" s="60"/>
      <c r="M67" s="60"/>
      <c r="N67" s="60"/>
      <c r="O67" s="61"/>
      <c r="P67" s="60"/>
      <c r="Q67" s="60"/>
      <c r="R67" s="60"/>
      <c r="S67" s="60"/>
      <c r="T67" s="60"/>
      <c r="U67" s="62"/>
      <c r="V67" s="62"/>
      <c r="W67" s="62"/>
      <c r="X67" s="62"/>
      <c r="Y67" s="63"/>
      <c r="Z67" s="62"/>
      <c r="AA67" s="62"/>
      <c r="AB67" s="64"/>
      <c r="AC67" s="62"/>
      <c r="AD67" s="62"/>
      <c r="AE67" s="62"/>
      <c r="AF67" s="63"/>
      <c r="AG67" s="64"/>
      <c r="AH67" s="63"/>
      <c r="AI67" s="62"/>
    </row>
    <row r="68" spans="1:35" ht="15.75" customHeight="1">
      <c r="A68" s="58"/>
      <c r="B68" s="82" t="s">
        <v>185</v>
      </c>
      <c r="C68" s="89">
        <v>7.8129836184553714E-2</v>
      </c>
      <c r="D68" s="59"/>
      <c r="E68" s="60"/>
      <c r="F68" s="60"/>
      <c r="G68" s="60"/>
      <c r="H68" s="60"/>
      <c r="I68" s="60"/>
      <c r="J68" s="82" t="s">
        <v>182</v>
      </c>
      <c r="K68" s="89">
        <v>0.10449927431059503</v>
      </c>
      <c r="L68" s="60"/>
      <c r="M68" s="60"/>
      <c r="N68" s="60"/>
      <c r="O68" s="61"/>
      <c r="P68" s="60"/>
      <c r="Q68" s="60"/>
      <c r="R68" s="60"/>
      <c r="S68" s="60"/>
      <c r="T68" s="60"/>
      <c r="U68" s="62"/>
      <c r="V68" s="62"/>
      <c r="W68" s="62"/>
      <c r="X68" s="62"/>
      <c r="Y68" s="63"/>
      <c r="Z68" s="62"/>
      <c r="AA68" s="62"/>
      <c r="AB68" s="64"/>
      <c r="AC68" s="62"/>
      <c r="AD68" s="62"/>
      <c r="AE68" s="62"/>
      <c r="AF68" s="63"/>
      <c r="AG68" s="64"/>
      <c r="AH68" s="63"/>
      <c r="AI68" s="62"/>
    </row>
    <row r="69" spans="1:35" ht="15.75" customHeight="1">
      <c r="A69" s="58"/>
      <c r="B69" s="82" t="s">
        <v>173</v>
      </c>
      <c r="C69" s="89">
        <v>6.6183770863060376E-2</v>
      </c>
      <c r="D69" s="59"/>
      <c r="E69" s="60"/>
      <c r="F69" s="60"/>
      <c r="G69" s="60"/>
      <c r="H69" s="60"/>
      <c r="I69" s="60"/>
      <c r="J69" s="82" t="s">
        <v>177</v>
      </c>
      <c r="K69" s="89">
        <v>7.9320864836185168E-2</v>
      </c>
      <c r="L69" s="60"/>
      <c r="M69" s="60"/>
      <c r="N69" s="60"/>
      <c r="O69" s="61"/>
      <c r="P69" s="60"/>
      <c r="Q69" s="60"/>
      <c r="R69" s="60"/>
      <c r="S69" s="60"/>
      <c r="T69" s="60"/>
      <c r="U69" s="62"/>
      <c r="V69" s="62"/>
      <c r="W69" s="62"/>
      <c r="X69" s="62"/>
      <c r="Y69" s="63"/>
      <c r="Z69" s="62"/>
      <c r="AA69" s="62"/>
      <c r="AB69" s="64"/>
      <c r="AC69" s="62"/>
      <c r="AD69" s="62"/>
      <c r="AE69" s="62"/>
      <c r="AF69" s="63"/>
      <c r="AG69" s="64"/>
      <c r="AH69" s="63"/>
      <c r="AI69" s="62"/>
    </row>
    <row r="70" spans="1:35" ht="15.75" customHeight="1">
      <c r="A70" s="58"/>
      <c r="B70" s="82" t="s">
        <v>183</v>
      </c>
      <c r="C70" s="89">
        <v>5.7214095749748006E-2</v>
      </c>
      <c r="D70" s="59"/>
      <c r="E70" s="60"/>
      <c r="F70" s="60"/>
      <c r="G70" s="60"/>
      <c r="H70" s="60"/>
      <c r="I70" s="60"/>
      <c r="J70" s="82" t="s">
        <v>188</v>
      </c>
      <c r="K70" s="89">
        <v>7.6157292185166758E-2</v>
      </c>
      <c r="L70" s="60"/>
      <c r="M70" s="60"/>
      <c r="N70" s="60"/>
      <c r="O70" s="61"/>
      <c r="P70" s="60"/>
      <c r="Q70" s="60"/>
      <c r="R70" s="60"/>
      <c r="S70" s="60"/>
      <c r="T70" s="60"/>
      <c r="U70" s="62"/>
      <c r="V70" s="62"/>
      <c r="W70" s="62"/>
      <c r="X70" s="62"/>
      <c r="Y70" s="63"/>
      <c r="Z70" s="62"/>
      <c r="AA70" s="62"/>
      <c r="AB70" s="64"/>
      <c r="AC70" s="62"/>
      <c r="AD70" s="62"/>
      <c r="AE70" s="62"/>
      <c r="AF70" s="63"/>
      <c r="AG70" s="64"/>
      <c r="AH70" s="63"/>
      <c r="AI70" s="62"/>
    </row>
    <row r="71" spans="1:35" ht="15.75" customHeight="1">
      <c r="A71" s="58"/>
      <c r="B71" s="82" t="s">
        <v>182</v>
      </c>
      <c r="C71" s="89">
        <v>5.716561609565729E-2</v>
      </c>
      <c r="D71" s="59"/>
      <c r="E71" s="60"/>
      <c r="F71" s="60"/>
      <c r="G71" s="60"/>
      <c r="H71" s="60"/>
      <c r="I71" s="60"/>
      <c r="J71" s="82" t="s">
        <v>184</v>
      </c>
      <c r="K71" s="89">
        <v>6.0207928710156455E-2</v>
      </c>
      <c r="L71" s="60"/>
      <c r="M71" s="60"/>
      <c r="N71" s="60"/>
      <c r="O71" s="61"/>
      <c r="P71" s="60"/>
      <c r="Q71" s="60"/>
      <c r="R71" s="60"/>
      <c r="S71" s="60"/>
      <c r="T71" s="60"/>
      <c r="U71" s="62"/>
      <c r="V71" s="62"/>
      <c r="W71" s="62"/>
      <c r="X71" s="62"/>
      <c r="Y71" s="63"/>
      <c r="Z71" s="62"/>
      <c r="AA71" s="62"/>
      <c r="AB71" s="64"/>
      <c r="AC71" s="62"/>
      <c r="AD71" s="62"/>
      <c r="AE71" s="62"/>
      <c r="AF71" s="63"/>
      <c r="AG71" s="64"/>
      <c r="AH71" s="63"/>
      <c r="AI71" s="62"/>
    </row>
    <row r="72" spans="1:35" ht="15.75" customHeight="1">
      <c r="A72" s="58"/>
      <c r="B72" s="82" t="s">
        <v>174</v>
      </c>
      <c r="C72" s="89">
        <v>4.6890758411812783E-2</v>
      </c>
      <c r="D72" s="59"/>
      <c r="E72" s="60"/>
      <c r="F72" s="60"/>
      <c r="G72" s="60"/>
      <c r="H72" s="60"/>
      <c r="I72" s="60"/>
      <c r="J72" s="82" t="s">
        <v>187</v>
      </c>
      <c r="K72" s="89">
        <v>5.8866384962844132E-2</v>
      </c>
      <c r="L72" s="60"/>
      <c r="M72" s="60"/>
      <c r="N72" s="60"/>
      <c r="O72" s="61"/>
      <c r="P72" s="60"/>
      <c r="Q72" s="60"/>
      <c r="R72" s="60"/>
      <c r="S72" s="60"/>
      <c r="T72" s="60"/>
      <c r="U72" s="62"/>
      <c r="V72" s="62"/>
      <c r="W72" s="62"/>
      <c r="X72" s="62"/>
      <c r="Y72" s="63"/>
      <c r="Z72" s="62"/>
      <c r="AA72" s="62"/>
      <c r="AB72" s="64"/>
      <c r="AC72" s="62"/>
      <c r="AD72" s="62"/>
      <c r="AE72" s="62"/>
      <c r="AF72" s="63"/>
      <c r="AG72" s="64"/>
      <c r="AH72" s="63"/>
      <c r="AI72" s="62"/>
    </row>
    <row r="73" spans="1:35" ht="15.75" customHeight="1">
      <c r="A73" s="58"/>
      <c r="B73" s="82" t="s">
        <v>177</v>
      </c>
      <c r="C73" s="89">
        <v>2.8807019679515822E-2</v>
      </c>
      <c r="D73" s="59"/>
      <c r="E73" s="60"/>
      <c r="F73" s="60"/>
      <c r="G73" s="60"/>
      <c r="H73" s="60"/>
      <c r="I73" s="60"/>
      <c r="J73" s="82" t="s">
        <v>178</v>
      </c>
      <c r="K73" s="89">
        <v>5.227901558176784E-2</v>
      </c>
      <c r="L73" s="60"/>
      <c r="M73" s="60"/>
      <c r="N73" s="60"/>
      <c r="O73" s="61"/>
      <c r="P73" s="60"/>
      <c r="Q73" s="60"/>
      <c r="R73" s="60"/>
      <c r="S73" s="60"/>
      <c r="T73" s="60"/>
      <c r="U73" s="62"/>
      <c r="V73" s="62"/>
      <c r="W73" s="62"/>
      <c r="X73" s="62"/>
      <c r="Y73" s="63"/>
      <c r="Z73" s="62"/>
      <c r="AA73" s="62"/>
      <c r="AB73" s="64"/>
      <c r="AC73" s="62"/>
      <c r="AD73" s="62"/>
      <c r="AE73" s="62"/>
      <c r="AF73" s="63"/>
      <c r="AG73" s="64"/>
      <c r="AH73" s="63"/>
      <c r="AI73" s="62"/>
    </row>
    <row r="74" spans="1:35" ht="15.75" customHeight="1">
      <c r="A74" s="58"/>
      <c r="B74" s="82" t="s">
        <v>184</v>
      </c>
      <c r="C74" s="89">
        <v>1.6381329746904871E-2</v>
      </c>
      <c r="D74" s="59"/>
      <c r="E74" s="60"/>
      <c r="F74" s="60"/>
      <c r="G74" s="60"/>
      <c r="H74" s="60"/>
      <c r="I74" s="60"/>
      <c r="J74" s="82" t="s">
        <v>189</v>
      </c>
      <c r="K74" s="89">
        <v>4.9069767441860535E-2</v>
      </c>
      <c r="L74" s="60"/>
      <c r="M74" s="60"/>
      <c r="N74" s="60"/>
      <c r="O74" s="61"/>
      <c r="P74" s="60"/>
      <c r="Q74" s="60"/>
      <c r="R74" s="60"/>
      <c r="S74" s="60"/>
      <c r="T74" s="60"/>
      <c r="U74" s="62"/>
      <c r="V74" s="62"/>
      <c r="W74" s="62"/>
      <c r="X74" s="62"/>
      <c r="Y74" s="63"/>
      <c r="Z74" s="62"/>
      <c r="AA74" s="62"/>
      <c r="AB74" s="64"/>
      <c r="AC74" s="62"/>
      <c r="AD74" s="62"/>
      <c r="AE74" s="62"/>
      <c r="AF74" s="63"/>
      <c r="AG74" s="64"/>
      <c r="AH74" s="63"/>
      <c r="AI74" s="62"/>
    </row>
    <row r="75" spans="1:35" ht="15.75" customHeight="1">
      <c r="A75" s="58"/>
      <c r="B75" s="82" t="s">
        <v>190</v>
      </c>
      <c r="C75" s="89">
        <v>-3.4912236790558437E-2</v>
      </c>
      <c r="D75" s="59"/>
      <c r="E75" s="60"/>
      <c r="F75" s="60"/>
      <c r="G75" s="60"/>
      <c r="H75" s="60"/>
      <c r="I75" s="60"/>
      <c r="J75" s="82" t="s">
        <v>24</v>
      </c>
      <c r="K75" s="89">
        <v>4.8421255294570642E-2</v>
      </c>
      <c r="L75" s="60"/>
      <c r="M75" s="60"/>
      <c r="N75" s="60"/>
      <c r="O75" s="61"/>
      <c r="P75" s="60"/>
      <c r="Q75" s="60"/>
      <c r="R75" s="60"/>
      <c r="S75" s="60"/>
      <c r="T75" s="60"/>
      <c r="U75" s="62"/>
      <c r="V75" s="62"/>
      <c r="W75" s="62"/>
      <c r="X75" s="62"/>
      <c r="Y75" s="63"/>
      <c r="Z75" s="62"/>
      <c r="AA75" s="62"/>
      <c r="AB75" s="64"/>
      <c r="AC75" s="62"/>
      <c r="AD75" s="62"/>
      <c r="AE75" s="62"/>
      <c r="AF75" s="63"/>
      <c r="AG75" s="64"/>
      <c r="AH75" s="63"/>
      <c r="AI75" s="62"/>
    </row>
    <row r="76" spans="1:35" ht="15.75" customHeight="1" thickBot="1">
      <c r="A76" s="58"/>
      <c r="B76" s="85" t="s">
        <v>187</v>
      </c>
      <c r="C76" s="90">
        <v>-7.9380718571995579E-2</v>
      </c>
      <c r="D76" s="59"/>
      <c r="E76" s="60"/>
      <c r="F76" s="60"/>
      <c r="G76" s="60"/>
      <c r="H76" s="60"/>
      <c r="I76" s="60"/>
      <c r="J76" s="85" t="s">
        <v>185</v>
      </c>
      <c r="K76" s="90">
        <v>-2.4726245143058545E-3</v>
      </c>
      <c r="L76" s="60"/>
      <c r="M76" s="60"/>
      <c r="N76" s="60"/>
      <c r="O76" s="61"/>
      <c r="P76" s="60"/>
      <c r="Q76" s="60"/>
      <c r="R76" s="60"/>
      <c r="S76" s="60"/>
      <c r="T76" s="60"/>
      <c r="U76" s="62"/>
      <c r="V76" s="62"/>
      <c r="W76" s="62"/>
      <c r="X76" s="62"/>
      <c r="Y76" s="63"/>
      <c r="Z76" s="62"/>
      <c r="AA76" s="62"/>
      <c r="AB76" s="64"/>
      <c r="AC76" s="62"/>
      <c r="AD76" s="62"/>
      <c r="AE76" s="62"/>
      <c r="AF76" s="63"/>
      <c r="AG76" s="64"/>
      <c r="AH76" s="63"/>
      <c r="AI76" s="62"/>
    </row>
    <row r="77" spans="1:35" ht="15.75" customHeight="1" thickTop="1" thickBot="1">
      <c r="A77" s="58"/>
      <c r="B77" s="58"/>
      <c r="C77" s="59"/>
      <c r="D77" s="59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/>
      <c r="P77" s="60"/>
      <c r="Q77" s="60"/>
      <c r="R77" s="60"/>
      <c r="S77" s="60"/>
      <c r="T77" s="60"/>
      <c r="U77" s="62"/>
      <c r="V77" s="62"/>
      <c r="W77" s="62"/>
      <c r="X77" s="62"/>
      <c r="Y77" s="63"/>
      <c r="Z77" s="62"/>
      <c r="AA77" s="62"/>
      <c r="AB77" s="64"/>
      <c r="AC77" s="62"/>
      <c r="AD77" s="62"/>
      <c r="AE77" s="62"/>
      <c r="AF77" s="63"/>
      <c r="AG77" s="64"/>
      <c r="AH77" s="63"/>
      <c r="AI77" s="62"/>
    </row>
    <row r="78" spans="1:35" ht="15.75" customHeight="1" thickTop="1">
      <c r="A78" s="58"/>
      <c r="B78" s="76" t="s">
        <v>146</v>
      </c>
      <c r="C78" s="91">
        <v>8.2000000000000003E-2</v>
      </c>
      <c r="D78" s="59"/>
      <c r="E78" s="60"/>
      <c r="F78" s="60"/>
      <c r="G78" s="60"/>
      <c r="H78" s="60"/>
      <c r="I78" s="60"/>
      <c r="J78" s="76" t="s">
        <v>146</v>
      </c>
      <c r="K78" s="78">
        <f>MEDIAN(K57:K76)</f>
        <v>0.11052202445201087</v>
      </c>
      <c r="L78" s="60"/>
      <c r="M78" s="60"/>
      <c r="N78" s="60"/>
      <c r="O78" s="61"/>
      <c r="P78" s="60"/>
      <c r="Q78" s="60"/>
      <c r="R78" s="60"/>
      <c r="S78" s="60"/>
      <c r="T78" s="60"/>
      <c r="U78" s="62"/>
      <c r="V78" s="62"/>
      <c r="W78" s="62"/>
      <c r="X78" s="62"/>
      <c r="Y78" s="63"/>
      <c r="Z78" s="62"/>
      <c r="AA78" s="62"/>
      <c r="AB78" s="64"/>
      <c r="AC78" s="62"/>
      <c r="AD78" s="62"/>
      <c r="AE78" s="62"/>
      <c r="AF78" s="63"/>
      <c r="AG78" s="64"/>
      <c r="AH78" s="63"/>
      <c r="AI78" s="62"/>
    </row>
    <row r="79" spans="1:35" ht="15.75" customHeight="1">
      <c r="A79" s="58"/>
      <c r="B79" s="58"/>
      <c r="C79" s="59"/>
      <c r="D79" s="59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/>
      <c r="P79" s="60"/>
      <c r="Q79" s="60"/>
      <c r="R79" s="60"/>
      <c r="S79" s="60"/>
      <c r="T79" s="60"/>
      <c r="U79" s="62"/>
      <c r="V79" s="62"/>
      <c r="W79" s="62"/>
      <c r="X79" s="62"/>
      <c r="Y79" s="63"/>
      <c r="Z79" s="62"/>
      <c r="AA79" s="62"/>
      <c r="AB79" s="64"/>
      <c r="AC79" s="62"/>
      <c r="AD79" s="62"/>
      <c r="AE79" s="62"/>
      <c r="AF79" s="63"/>
      <c r="AG79" s="64"/>
      <c r="AH79" s="63"/>
      <c r="AI79" s="62"/>
    </row>
    <row r="80" spans="1:35" ht="15.75" customHeight="1">
      <c r="A80" s="58"/>
      <c r="B80" s="66" t="s">
        <v>28</v>
      </c>
      <c r="C80" s="59"/>
      <c r="D80" s="59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/>
      <c r="P80" s="60"/>
      <c r="Q80" s="60"/>
      <c r="R80" s="60"/>
      <c r="S80" s="60"/>
      <c r="T80" s="60"/>
      <c r="U80" s="62"/>
      <c r="V80" s="62"/>
      <c r="W80" s="62"/>
      <c r="X80" s="62"/>
      <c r="Y80" s="63"/>
      <c r="Z80" s="62"/>
      <c r="AA80" s="62"/>
      <c r="AB80" s="64"/>
      <c r="AC80" s="62"/>
      <c r="AD80" s="62"/>
      <c r="AE80" s="62"/>
      <c r="AF80" s="63"/>
      <c r="AG80" s="64"/>
      <c r="AH80" s="63"/>
      <c r="AI80" s="62"/>
    </row>
    <row r="81" spans="1:35" ht="15.75" customHeight="1">
      <c r="A81" s="58"/>
      <c r="B81" s="68" t="s">
        <v>196</v>
      </c>
      <c r="C81" s="68" t="s">
        <v>77</v>
      </c>
      <c r="D81" s="59"/>
      <c r="E81" s="60"/>
      <c r="F81" s="68" t="s">
        <v>196</v>
      </c>
      <c r="G81" s="68" t="s">
        <v>197</v>
      </c>
      <c r="H81" s="60"/>
      <c r="I81" s="60"/>
      <c r="J81" s="68" t="s">
        <v>196</v>
      </c>
      <c r="K81" s="68" t="s">
        <v>198</v>
      </c>
      <c r="L81" s="60"/>
      <c r="M81" s="60"/>
      <c r="N81" s="60"/>
      <c r="O81" s="61"/>
      <c r="P81" s="60"/>
      <c r="Q81" s="60"/>
      <c r="R81" s="60"/>
      <c r="S81" s="60"/>
      <c r="T81" s="60"/>
      <c r="U81" s="62"/>
      <c r="V81" s="62"/>
      <c r="W81" s="62"/>
      <c r="X81" s="62"/>
      <c r="Y81" s="63"/>
      <c r="Z81" s="62"/>
      <c r="AA81" s="62"/>
      <c r="AB81" s="64"/>
      <c r="AC81" s="62"/>
      <c r="AD81" s="62"/>
      <c r="AE81" s="62"/>
      <c r="AF81" s="63"/>
      <c r="AG81" s="64"/>
      <c r="AH81" s="63"/>
      <c r="AI81" s="62"/>
    </row>
    <row r="82" spans="1:35" ht="15.75" customHeight="1">
      <c r="A82" s="58"/>
      <c r="B82" s="92" t="s">
        <v>179</v>
      </c>
      <c r="C82" s="93">
        <v>0.14766355140186915</v>
      </c>
      <c r="D82" s="59"/>
      <c r="E82" s="60"/>
      <c r="F82" s="82" t="s">
        <v>182</v>
      </c>
      <c r="G82" s="94">
        <v>4.376363636363636</v>
      </c>
      <c r="H82" s="60"/>
      <c r="I82" s="60"/>
      <c r="J82" s="82" t="s">
        <v>175</v>
      </c>
      <c r="K82" s="94">
        <v>15.931503992372781</v>
      </c>
      <c r="L82" s="60"/>
      <c r="M82" s="60"/>
      <c r="N82" s="60"/>
      <c r="O82" s="61"/>
      <c r="P82" s="60"/>
      <c r="Q82" s="60"/>
      <c r="R82" s="60"/>
      <c r="S82" s="60"/>
      <c r="T82" s="60"/>
      <c r="U82" s="62"/>
      <c r="V82" s="62"/>
      <c r="W82" s="62"/>
      <c r="X82" s="62"/>
      <c r="Y82" s="63"/>
      <c r="Z82" s="62"/>
      <c r="AA82" s="62"/>
      <c r="AB82" s="64"/>
      <c r="AC82" s="62"/>
      <c r="AD82" s="62"/>
      <c r="AE82" s="62"/>
      <c r="AF82" s="63"/>
      <c r="AG82" s="64"/>
      <c r="AH82" s="63"/>
      <c r="AI82" s="62"/>
    </row>
    <row r="83" spans="1:35" ht="15.75" customHeight="1">
      <c r="A83" s="58"/>
      <c r="B83" s="92" t="s">
        <v>178</v>
      </c>
      <c r="C83" s="93">
        <v>0.12800349497597205</v>
      </c>
      <c r="D83" s="59"/>
      <c r="E83" s="60"/>
      <c r="F83" s="82" t="s">
        <v>178</v>
      </c>
      <c r="G83" s="94">
        <v>2.9224199288256227</v>
      </c>
      <c r="H83" s="60"/>
      <c r="I83" s="60"/>
      <c r="J83" s="82" t="s">
        <v>184</v>
      </c>
      <c r="K83" s="94">
        <v>27.647092425454129</v>
      </c>
      <c r="L83" s="60"/>
      <c r="M83" s="60"/>
      <c r="N83" s="60"/>
      <c r="O83" s="61"/>
      <c r="P83" s="60"/>
      <c r="Q83" s="60"/>
      <c r="R83" s="60"/>
      <c r="S83" s="60"/>
      <c r="T83" s="60"/>
      <c r="U83" s="62"/>
      <c r="V83" s="62"/>
      <c r="W83" s="62"/>
      <c r="X83" s="62"/>
      <c r="Y83" s="63"/>
      <c r="Z83" s="62"/>
      <c r="AA83" s="62"/>
      <c r="AB83" s="64"/>
      <c r="AC83" s="62"/>
      <c r="AD83" s="62"/>
      <c r="AE83" s="62"/>
      <c r="AF83" s="63"/>
      <c r="AG83" s="64"/>
      <c r="AH83" s="63"/>
      <c r="AI83" s="62"/>
    </row>
    <row r="84" spans="1:35" ht="15.75" customHeight="1">
      <c r="A84" s="58"/>
      <c r="B84" s="92" t="s">
        <v>174</v>
      </c>
      <c r="C84" s="93">
        <v>9.5451805211333646E-2</v>
      </c>
      <c r="D84" s="59"/>
      <c r="E84" s="60"/>
      <c r="F84" s="82" t="s">
        <v>24</v>
      </c>
      <c r="G84" s="94">
        <v>2.1801399230204073</v>
      </c>
      <c r="H84" s="60"/>
      <c r="I84" s="60"/>
      <c r="J84" s="82" t="s">
        <v>187</v>
      </c>
      <c r="K84" s="94">
        <v>28.985137694885619</v>
      </c>
      <c r="L84" s="60"/>
      <c r="M84" s="60"/>
      <c r="N84" s="60"/>
      <c r="O84" s="61"/>
      <c r="P84" s="60"/>
      <c r="Q84" s="60"/>
      <c r="R84" s="60"/>
      <c r="S84" s="60"/>
      <c r="T84" s="60"/>
      <c r="U84" s="62"/>
      <c r="V84" s="62"/>
      <c r="W84" s="62"/>
      <c r="X84" s="62"/>
      <c r="Y84" s="63"/>
      <c r="Z84" s="62"/>
      <c r="AA84" s="62"/>
      <c r="AB84" s="64"/>
      <c r="AC84" s="62"/>
      <c r="AD84" s="62"/>
      <c r="AE84" s="62"/>
      <c r="AF84" s="63"/>
      <c r="AG84" s="64"/>
      <c r="AH84" s="63"/>
      <c r="AI84" s="62"/>
    </row>
    <row r="85" spans="1:35" ht="15.75" customHeight="1">
      <c r="A85" s="58"/>
      <c r="B85" s="92" t="s">
        <v>182</v>
      </c>
      <c r="C85" s="93">
        <v>9.2307692307692313E-2</v>
      </c>
      <c r="D85" s="59"/>
      <c r="E85" s="60"/>
      <c r="F85" s="82" t="s">
        <v>174</v>
      </c>
      <c r="G85" s="94">
        <v>2.0142610198789974</v>
      </c>
      <c r="H85" s="60"/>
      <c r="I85" s="60"/>
      <c r="J85" s="82" t="s">
        <v>177</v>
      </c>
      <c r="K85" s="94">
        <v>32.945861520095505</v>
      </c>
      <c r="L85" s="60"/>
      <c r="M85" s="60"/>
      <c r="N85" s="60"/>
      <c r="O85" s="61"/>
      <c r="P85" s="60"/>
      <c r="Q85" s="60"/>
      <c r="R85" s="60"/>
      <c r="S85" s="60"/>
      <c r="T85" s="60"/>
      <c r="U85" s="62"/>
      <c r="V85" s="62"/>
      <c r="W85" s="62"/>
      <c r="X85" s="62"/>
      <c r="Y85" s="63"/>
      <c r="Z85" s="62"/>
      <c r="AA85" s="62"/>
      <c r="AB85" s="64"/>
      <c r="AC85" s="62"/>
      <c r="AD85" s="62"/>
      <c r="AE85" s="62"/>
      <c r="AF85" s="63"/>
      <c r="AG85" s="64"/>
      <c r="AH85" s="63"/>
      <c r="AI85" s="62"/>
    </row>
    <row r="86" spans="1:35" ht="15.75" customHeight="1">
      <c r="A86" s="58"/>
      <c r="B86" s="92" t="s">
        <v>176</v>
      </c>
      <c r="C86" s="93">
        <v>9.1816228951562606E-2</v>
      </c>
      <c r="D86" s="59"/>
      <c r="E86" s="60"/>
      <c r="F86" s="82" t="s">
        <v>179</v>
      </c>
      <c r="G86" s="94">
        <v>1.8957746478873239</v>
      </c>
      <c r="H86" s="60"/>
      <c r="I86" s="60"/>
      <c r="J86" s="82" t="s">
        <v>188</v>
      </c>
      <c r="K86" s="94">
        <v>38.153310104529616</v>
      </c>
      <c r="L86" s="60"/>
      <c r="M86" s="60"/>
      <c r="N86" s="60"/>
      <c r="O86" s="61"/>
      <c r="P86" s="60"/>
      <c r="Q86" s="60"/>
      <c r="R86" s="60"/>
      <c r="S86" s="60"/>
      <c r="T86" s="60"/>
      <c r="U86" s="62"/>
      <c r="V86" s="62"/>
      <c r="W86" s="62"/>
      <c r="X86" s="62"/>
      <c r="Y86" s="63"/>
      <c r="Z86" s="62"/>
      <c r="AA86" s="62"/>
      <c r="AB86" s="64"/>
      <c r="AC86" s="62"/>
      <c r="AD86" s="62"/>
      <c r="AE86" s="62"/>
      <c r="AF86" s="63"/>
      <c r="AG86" s="64"/>
      <c r="AH86" s="63"/>
      <c r="AI86" s="62"/>
    </row>
    <row r="87" spans="1:35" ht="15.75" customHeight="1">
      <c r="A87" s="58"/>
      <c r="B87" s="92" t="s">
        <v>188</v>
      </c>
      <c r="C87" s="93">
        <v>9.0841214534594331E-2</v>
      </c>
      <c r="D87" s="59"/>
      <c r="E87" s="60"/>
      <c r="F87" s="82" t="s">
        <v>185</v>
      </c>
      <c r="G87" s="94">
        <v>1.884485666104553</v>
      </c>
      <c r="H87" s="60"/>
      <c r="I87" s="60"/>
      <c r="J87" s="82" t="s">
        <v>24</v>
      </c>
      <c r="K87" s="94">
        <v>39.570595879861379</v>
      </c>
      <c r="L87" s="60"/>
      <c r="M87" s="60"/>
      <c r="N87" s="60"/>
      <c r="O87" s="61"/>
      <c r="P87" s="60"/>
      <c r="Q87" s="60"/>
      <c r="R87" s="60"/>
      <c r="S87" s="60"/>
      <c r="T87" s="60"/>
      <c r="U87" s="62"/>
      <c r="V87" s="62"/>
      <c r="W87" s="62"/>
      <c r="X87" s="62"/>
      <c r="Y87" s="63"/>
      <c r="Z87" s="62"/>
      <c r="AA87" s="62"/>
      <c r="AB87" s="64"/>
      <c r="AC87" s="62"/>
      <c r="AD87" s="62"/>
      <c r="AE87" s="62"/>
      <c r="AF87" s="63"/>
      <c r="AG87" s="64"/>
      <c r="AH87" s="63"/>
      <c r="AI87" s="62"/>
    </row>
    <row r="88" spans="1:35" ht="15.75" customHeight="1">
      <c r="A88" s="58"/>
      <c r="B88" s="92" t="s">
        <v>185</v>
      </c>
      <c r="C88" s="93">
        <v>8.8308018368067814E-2</v>
      </c>
      <c r="D88" s="59"/>
      <c r="E88" s="60"/>
      <c r="F88" s="82" t="s">
        <v>177</v>
      </c>
      <c r="G88" s="94">
        <v>1.6633927913319082</v>
      </c>
      <c r="H88" s="60"/>
      <c r="I88" s="60"/>
      <c r="J88" s="82" t="s">
        <v>181</v>
      </c>
      <c r="K88" s="94">
        <v>47.126739407680311</v>
      </c>
      <c r="L88" s="60"/>
      <c r="M88" s="60"/>
      <c r="N88" s="60"/>
      <c r="O88" s="61"/>
      <c r="P88" s="60"/>
      <c r="Q88" s="60"/>
      <c r="R88" s="60"/>
      <c r="S88" s="60"/>
      <c r="T88" s="60"/>
      <c r="U88" s="62"/>
      <c r="V88" s="62"/>
      <c r="W88" s="62"/>
      <c r="X88" s="62"/>
      <c r="Y88" s="63"/>
      <c r="Z88" s="62"/>
      <c r="AA88" s="62"/>
      <c r="AB88" s="64"/>
      <c r="AC88" s="62"/>
      <c r="AD88" s="62"/>
      <c r="AE88" s="62"/>
      <c r="AF88" s="63"/>
      <c r="AG88" s="64"/>
      <c r="AH88" s="63"/>
      <c r="AI88" s="62"/>
    </row>
    <row r="89" spans="1:35" ht="15.75" customHeight="1">
      <c r="A89" s="58"/>
      <c r="B89" s="92" t="s">
        <v>191</v>
      </c>
      <c r="C89" s="93">
        <v>7.8881206788183528E-2</v>
      </c>
      <c r="D89" s="59"/>
      <c r="E89" s="60"/>
      <c r="F89" s="82" t="s">
        <v>181</v>
      </c>
      <c r="G89" s="94">
        <v>1.659739856338575</v>
      </c>
      <c r="H89" s="60"/>
      <c r="I89" s="60"/>
      <c r="J89" s="82" t="s">
        <v>186</v>
      </c>
      <c r="K89" s="94">
        <v>47.213417163598656</v>
      </c>
      <c r="L89" s="60"/>
      <c r="M89" s="60"/>
      <c r="N89" s="60"/>
      <c r="O89" s="61"/>
      <c r="P89" s="60"/>
      <c r="Q89" s="60"/>
      <c r="R89" s="60"/>
      <c r="S89" s="60"/>
      <c r="T89" s="60"/>
      <c r="U89" s="62"/>
      <c r="V89" s="62"/>
      <c r="W89" s="62"/>
      <c r="X89" s="62"/>
      <c r="Y89" s="63"/>
      <c r="Z89" s="62"/>
      <c r="AA89" s="62"/>
      <c r="AB89" s="64"/>
      <c r="AC89" s="62"/>
      <c r="AD89" s="62"/>
      <c r="AE89" s="62"/>
      <c r="AF89" s="63"/>
      <c r="AG89" s="64"/>
      <c r="AH89" s="63"/>
      <c r="AI89" s="62"/>
    </row>
    <row r="90" spans="1:35" ht="15.75" customHeight="1">
      <c r="A90" s="58"/>
      <c r="B90" s="92" t="s">
        <v>190</v>
      </c>
      <c r="C90" s="93">
        <v>7.0906432748538015E-2</v>
      </c>
      <c r="D90" s="59"/>
      <c r="E90" s="60"/>
      <c r="F90" s="82" t="s">
        <v>176</v>
      </c>
      <c r="G90" s="94">
        <v>1.6596411068941377</v>
      </c>
      <c r="H90" s="60"/>
      <c r="I90" s="60"/>
      <c r="J90" s="82" t="s">
        <v>174</v>
      </c>
      <c r="K90" s="94">
        <v>48.70252528635541</v>
      </c>
      <c r="L90" s="60"/>
      <c r="M90" s="60"/>
      <c r="N90" s="60"/>
      <c r="O90" s="61"/>
      <c r="P90" s="60"/>
      <c r="Q90" s="60"/>
      <c r="R90" s="60"/>
      <c r="S90" s="60"/>
      <c r="T90" s="60"/>
      <c r="U90" s="62"/>
      <c r="V90" s="62"/>
      <c r="W90" s="62"/>
      <c r="X90" s="62"/>
      <c r="Y90" s="63"/>
      <c r="Z90" s="62"/>
      <c r="AA90" s="62"/>
      <c r="AB90" s="64"/>
      <c r="AC90" s="62"/>
      <c r="AD90" s="62"/>
      <c r="AE90" s="62"/>
      <c r="AF90" s="63"/>
      <c r="AG90" s="64"/>
      <c r="AH90" s="63"/>
      <c r="AI90" s="62"/>
    </row>
    <row r="91" spans="1:35" ht="15.75" customHeight="1">
      <c r="A91" s="58"/>
      <c r="B91" s="92" t="s">
        <v>181</v>
      </c>
      <c r="C91" s="93">
        <v>6.900949411931416E-2</v>
      </c>
      <c r="D91" s="59"/>
      <c r="E91" s="60"/>
      <c r="F91" s="82" t="s">
        <v>183</v>
      </c>
      <c r="G91" s="94">
        <v>1.6585585585585585</v>
      </c>
      <c r="H91" s="60"/>
      <c r="I91" s="60"/>
      <c r="J91" s="82" t="s">
        <v>183</v>
      </c>
      <c r="K91" s="94">
        <v>53.813039527487511</v>
      </c>
      <c r="L91" s="60"/>
      <c r="M91" s="60"/>
      <c r="N91" s="60"/>
      <c r="O91" s="61"/>
      <c r="P91" s="60"/>
      <c r="Q91" s="60"/>
      <c r="R91" s="60"/>
      <c r="S91" s="60"/>
      <c r="T91" s="60"/>
      <c r="U91" s="62"/>
      <c r="V91" s="62"/>
      <c r="W91" s="62"/>
      <c r="X91" s="62"/>
      <c r="Y91" s="63"/>
      <c r="Z91" s="62"/>
      <c r="AA91" s="62"/>
      <c r="AB91" s="64"/>
      <c r="AC91" s="62"/>
      <c r="AD91" s="62"/>
      <c r="AE91" s="62"/>
      <c r="AF91" s="63"/>
      <c r="AG91" s="64"/>
      <c r="AH91" s="63"/>
      <c r="AI91" s="62"/>
    </row>
    <row r="92" spans="1:35" ht="15.75" customHeight="1">
      <c r="A92" s="58"/>
      <c r="B92" s="92" t="s">
        <v>24</v>
      </c>
      <c r="C92" s="93">
        <v>6.680785521755872E-2</v>
      </c>
      <c r="D92" s="59"/>
      <c r="E92" s="60"/>
      <c r="F92" s="82" t="s">
        <v>189</v>
      </c>
      <c r="G92" s="94">
        <v>1.2445935868754661</v>
      </c>
      <c r="H92" s="60"/>
      <c r="I92" s="60"/>
      <c r="J92" s="82" t="s">
        <v>178</v>
      </c>
      <c r="K92" s="94">
        <v>56.129314110965481</v>
      </c>
      <c r="L92" s="60"/>
      <c r="M92" s="60"/>
      <c r="N92" s="60"/>
      <c r="O92" s="61"/>
      <c r="P92" s="60"/>
      <c r="Q92" s="60"/>
      <c r="R92" s="60"/>
      <c r="S92" s="60"/>
      <c r="T92" s="60"/>
      <c r="U92" s="62"/>
      <c r="V92" s="62"/>
      <c r="W92" s="62"/>
      <c r="X92" s="62"/>
      <c r="Y92" s="63"/>
      <c r="Z92" s="62"/>
      <c r="AA92" s="62"/>
      <c r="AB92" s="64"/>
      <c r="AC92" s="62"/>
      <c r="AD92" s="62"/>
      <c r="AE92" s="62"/>
      <c r="AF92" s="63"/>
      <c r="AG92" s="64"/>
      <c r="AH92" s="63"/>
      <c r="AI92" s="62"/>
    </row>
    <row r="93" spans="1:35" ht="15.75" customHeight="1">
      <c r="A93" s="58"/>
      <c r="B93" s="92" t="s">
        <v>189</v>
      </c>
      <c r="C93" s="93">
        <v>6.6046511627906979E-2</v>
      </c>
      <c r="D93" s="59"/>
      <c r="E93" s="60"/>
      <c r="F93" s="82" t="s">
        <v>180</v>
      </c>
      <c r="G93" s="94">
        <v>1.215556093282115</v>
      </c>
      <c r="H93" s="60"/>
      <c r="I93" s="60"/>
      <c r="J93" s="82" t="s">
        <v>176</v>
      </c>
      <c r="K93" s="94">
        <v>60.606288545492347</v>
      </c>
      <c r="L93" s="60"/>
      <c r="M93" s="60"/>
      <c r="N93" s="60"/>
      <c r="O93" s="61"/>
      <c r="P93" s="60"/>
      <c r="Q93" s="60"/>
      <c r="R93" s="60"/>
      <c r="S93" s="60"/>
      <c r="T93" s="60"/>
      <c r="U93" s="62"/>
      <c r="V93" s="62"/>
      <c r="W93" s="62"/>
      <c r="X93" s="62"/>
      <c r="Y93" s="63"/>
      <c r="Z93" s="62"/>
      <c r="AA93" s="62"/>
      <c r="AB93" s="64"/>
      <c r="AC93" s="62"/>
      <c r="AD93" s="62"/>
      <c r="AE93" s="62"/>
      <c r="AF93" s="63"/>
      <c r="AG93" s="64"/>
      <c r="AH93" s="63"/>
      <c r="AI93" s="62"/>
    </row>
    <row r="94" spans="1:35" ht="15.75" customHeight="1">
      <c r="A94" s="58"/>
      <c r="B94" s="92" t="s">
        <v>180</v>
      </c>
      <c r="C94" s="93">
        <v>6.2299750800996798E-2</v>
      </c>
      <c r="D94" s="59"/>
      <c r="E94" s="60"/>
      <c r="F94" s="82" t="s">
        <v>191</v>
      </c>
      <c r="G94" s="94">
        <v>1.1930937279774489</v>
      </c>
      <c r="H94" s="60"/>
      <c r="I94" s="60"/>
      <c r="J94" s="82" t="s">
        <v>180</v>
      </c>
      <c r="K94" s="94">
        <v>61.938252046991813</v>
      </c>
      <c r="L94" s="60"/>
      <c r="M94" s="60"/>
      <c r="N94" s="60"/>
      <c r="O94" s="61"/>
      <c r="P94" s="60"/>
      <c r="Q94" s="60"/>
      <c r="R94" s="60"/>
      <c r="S94" s="60"/>
      <c r="T94" s="60"/>
      <c r="U94" s="62"/>
      <c r="V94" s="62"/>
      <c r="W94" s="62"/>
      <c r="X94" s="62"/>
      <c r="Y94" s="63"/>
      <c r="Z94" s="62"/>
      <c r="AA94" s="62"/>
      <c r="AB94" s="64"/>
      <c r="AC94" s="62"/>
      <c r="AD94" s="62"/>
      <c r="AE94" s="62"/>
      <c r="AF94" s="63"/>
      <c r="AG94" s="64"/>
      <c r="AH94" s="63"/>
      <c r="AI94" s="62"/>
    </row>
    <row r="95" spans="1:35" ht="15.75" customHeight="1">
      <c r="A95" s="58"/>
      <c r="B95" s="92" t="s">
        <v>177</v>
      </c>
      <c r="C95" s="93">
        <v>5.451651412654198E-2</v>
      </c>
      <c r="D95" s="59"/>
      <c r="E95" s="60"/>
      <c r="F95" s="82" t="s">
        <v>188</v>
      </c>
      <c r="G95" s="94">
        <v>1.0963855421686748</v>
      </c>
      <c r="H95" s="60"/>
      <c r="I95" s="60"/>
      <c r="J95" s="82" t="s">
        <v>189</v>
      </c>
      <c r="K95" s="94">
        <v>68.416279069767441</v>
      </c>
      <c r="L95" s="60"/>
      <c r="M95" s="60"/>
      <c r="N95" s="60"/>
      <c r="O95" s="61"/>
      <c r="P95" s="60"/>
      <c r="Q95" s="60"/>
      <c r="R95" s="60"/>
      <c r="S95" s="60"/>
      <c r="T95" s="60"/>
      <c r="U95" s="62"/>
      <c r="V95" s="62"/>
      <c r="W95" s="62"/>
      <c r="X95" s="62"/>
      <c r="Y95" s="63"/>
      <c r="Z95" s="62"/>
      <c r="AA95" s="62"/>
      <c r="AB95" s="64"/>
      <c r="AC95" s="62"/>
      <c r="AD95" s="62"/>
      <c r="AE95" s="62"/>
      <c r="AF95" s="63"/>
      <c r="AG95" s="64"/>
      <c r="AH95" s="63"/>
      <c r="AI95" s="62"/>
    </row>
    <row r="96" spans="1:35" ht="15.75" customHeight="1">
      <c r="A96" s="58"/>
      <c r="B96" s="92" t="s">
        <v>183</v>
      </c>
      <c r="C96" s="93">
        <v>5.4407087687414812E-2</v>
      </c>
      <c r="D96" s="59"/>
      <c r="E96" s="60"/>
      <c r="F96" s="82" t="s">
        <v>175</v>
      </c>
      <c r="G96" s="94">
        <v>1.0158244222145567</v>
      </c>
      <c r="H96" s="60"/>
      <c r="I96" s="60"/>
      <c r="J96" s="82" t="s">
        <v>191</v>
      </c>
      <c r="K96" s="94">
        <v>70.545254556882469</v>
      </c>
      <c r="L96" s="60"/>
      <c r="M96" s="60"/>
      <c r="N96" s="60"/>
      <c r="O96" s="61"/>
      <c r="P96" s="60"/>
      <c r="Q96" s="60"/>
      <c r="R96" s="60"/>
      <c r="S96" s="60"/>
      <c r="T96" s="60"/>
      <c r="U96" s="62"/>
      <c r="V96" s="62"/>
      <c r="W96" s="62"/>
      <c r="X96" s="62"/>
      <c r="Y96" s="63"/>
      <c r="Z96" s="62"/>
      <c r="AA96" s="62"/>
      <c r="AB96" s="64"/>
      <c r="AC96" s="62"/>
      <c r="AD96" s="62"/>
      <c r="AE96" s="62"/>
      <c r="AF96" s="63"/>
      <c r="AG96" s="64"/>
      <c r="AH96" s="63"/>
      <c r="AI96" s="62"/>
    </row>
    <row r="97" spans="1:35" ht="15.75" customHeight="1">
      <c r="A97" s="58"/>
      <c r="B97" s="92" t="s">
        <v>175</v>
      </c>
      <c r="C97" s="93">
        <v>3.9715171016565368E-2</v>
      </c>
      <c r="D97" s="59"/>
      <c r="E97" s="60"/>
      <c r="F97" s="82" t="s">
        <v>184</v>
      </c>
      <c r="G97" s="94">
        <v>1.0141798259748631</v>
      </c>
      <c r="H97" s="60"/>
      <c r="I97" s="60"/>
      <c r="J97" s="82" t="s">
        <v>185</v>
      </c>
      <c r="K97" s="94">
        <v>72.45849523136701</v>
      </c>
      <c r="L97" s="60"/>
      <c r="M97" s="60"/>
      <c r="N97" s="60"/>
      <c r="O97" s="61"/>
      <c r="P97" s="60"/>
      <c r="Q97" s="60"/>
      <c r="R97" s="60"/>
      <c r="S97" s="60"/>
      <c r="T97" s="60"/>
      <c r="U97" s="62"/>
      <c r="V97" s="62"/>
      <c r="W97" s="62"/>
      <c r="X97" s="62"/>
      <c r="Y97" s="63"/>
      <c r="Z97" s="62"/>
      <c r="AA97" s="62"/>
      <c r="AB97" s="64"/>
      <c r="AC97" s="62"/>
      <c r="AD97" s="62"/>
      <c r="AE97" s="62"/>
      <c r="AF97" s="63"/>
      <c r="AG97" s="64"/>
      <c r="AH97" s="63"/>
      <c r="AI97" s="62"/>
    </row>
    <row r="98" spans="1:35" ht="15.75" customHeight="1">
      <c r="A98" s="58"/>
      <c r="B98" s="92" t="s">
        <v>186</v>
      </c>
      <c r="C98" s="93">
        <v>3.2408607726212083E-2</v>
      </c>
      <c r="D98" s="59"/>
      <c r="E98" s="60"/>
      <c r="F98" s="82" t="s">
        <v>186</v>
      </c>
      <c r="G98" s="94">
        <v>1.0129586730911786</v>
      </c>
      <c r="H98" s="60"/>
      <c r="I98" s="60"/>
      <c r="J98" s="82" t="s">
        <v>173</v>
      </c>
      <c r="K98" s="94">
        <v>76.277172210093738</v>
      </c>
      <c r="L98" s="60"/>
      <c r="M98" s="60"/>
      <c r="N98" s="60"/>
      <c r="O98" s="61"/>
      <c r="P98" s="60"/>
      <c r="Q98" s="60"/>
      <c r="R98" s="60"/>
      <c r="S98" s="60"/>
      <c r="T98" s="60"/>
      <c r="U98" s="62"/>
      <c r="V98" s="62"/>
      <c r="W98" s="62"/>
      <c r="X98" s="62"/>
      <c r="Y98" s="63"/>
      <c r="Z98" s="62"/>
      <c r="AA98" s="62"/>
      <c r="AB98" s="64"/>
      <c r="AC98" s="62"/>
      <c r="AD98" s="62"/>
      <c r="AE98" s="62"/>
      <c r="AF98" s="63"/>
      <c r="AG98" s="64"/>
      <c r="AH98" s="63"/>
      <c r="AI98" s="62"/>
    </row>
    <row r="99" spans="1:35" ht="15.75" customHeight="1">
      <c r="A99" s="58"/>
      <c r="B99" s="92" t="s">
        <v>173</v>
      </c>
      <c r="C99" s="93">
        <v>2.143315782714781E-2</v>
      </c>
      <c r="D99" s="59"/>
      <c r="E99" s="60"/>
      <c r="F99" s="82" t="s">
        <v>173</v>
      </c>
      <c r="G99" s="94">
        <v>0.95089169688177988</v>
      </c>
      <c r="H99" s="60"/>
      <c r="I99" s="60"/>
      <c r="J99" s="82" t="s">
        <v>182</v>
      </c>
      <c r="K99" s="94">
        <v>86.985486211901303</v>
      </c>
      <c r="L99" s="60"/>
      <c r="M99" s="60"/>
      <c r="N99" s="60"/>
      <c r="O99" s="61"/>
      <c r="P99" s="60"/>
      <c r="Q99" s="60"/>
      <c r="R99" s="60"/>
      <c r="S99" s="60"/>
      <c r="T99" s="60"/>
      <c r="U99" s="62"/>
      <c r="V99" s="62"/>
      <c r="W99" s="62"/>
      <c r="X99" s="62"/>
      <c r="Y99" s="63"/>
      <c r="Z99" s="62"/>
      <c r="AA99" s="62"/>
      <c r="AB99" s="64"/>
      <c r="AC99" s="62"/>
      <c r="AD99" s="62"/>
      <c r="AE99" s="62"/>
      <c r="AF99" s="63"/>
      <c r="AG99" s="64"/>
      <c r="AH99" s="63"/>
      <c r="AI99" s="62"/>
    </row>
    <row r="100" spans="1:35" ht="15.75" customHeight="1">
      <c r="A100" s="58"/>
      <c r="B100" s="92" t="s">
        <v>184</v>
      </c>
      <c r="C100" s="93">
        <v>-1.5537529989717811E-2</v>
      </c>
      <c r="D100" s="59"/>
      <c r="E100" s="60"/>
      <c r="F100" s="82" t="s">
        <v>187</v>
      </c>
      <c r="G100" s="94">
        <v>0.6926263463131731</v>
      </c>
      <c r="H100" s="60"/>
      <c r="I100" s="60"/>
      <c r="J100" s="82" t="s">
        <v>179</v>
      </c>
      <c r="K100" s="94">
        <v>92.239252336448587</v>
      </c>
      <c r="L100" s="60"/>
      <c r="M100" s="60"/>
      <c r="N100" s="60"/>
      <c r="O100" s="61"/>
      <c r="P100" s="60"/>
      <c r="Q100" s="60"/>
      <c r="R100" s="60"/>
      <c r="S100" s="60"/>
      <c r="T100" s="60"/>
      <c r="U100" s="62"/>
      <c r="V100" s="62"/>
      <c r="W100" s="62"/>
      <c r="X100" s="62"/>
      <c r="Y100" s="63"/>
      <c r="Z100" s="62"/>
      <c r="AA100" s="62"/>
      <c r="AB100" s="64"/>
      <c r="AC100" s="62"/>
      <c r="AD100" s="62"/>
      <c r="AE100" s="62"/>
      <c r="AF100" s="63"/>
      <c r="AG100" s="64"/>
      <c r="AH100" s="63"/>
      <c r="AI100" s="62"/>
    </row>
    <row r="101" spans="1:35" ht="15.75" customHeight="1" thickBot="1">
      <c r="A101" s="58"/>
      <c r="B101" s="95" t="s">
        <v>187</v>
      </c>
      <c r="C101" s="96">
        <v>-0.11904414978872213</v>
      </c>
      <c r="D101" s="59"/>
      <c r="E101" s="60"/>
      <c r="F101" s="85" t="s">
        <v>190</v>
      </c>
      <c r="G101" s="97"/>
      <c r="H101" s="60"/>
      <c r="I101" s="60"/>
      <c r="J101" s="85" t="s">
        <v>190</v>
      </c>
      <c r="K101" s="98">
        <v>121.13304093567251</v>
      </c>
      <c r="L101" s="60"/>
      <c r="M101" s="60"/>
      <c r="N101" s="60"/>
      <c r="O101" s="61"/>
      <c r="P101" s="60"/>
      <c r="Q101" s="60"/>
      <c r="R101" s="60"/>
      <c r="S101" s="60"/>
      <c r="T101" s="60"/>
      <c r="U101" s="62"/>
      <c r="V101" s="62"/>
      <c r="W101" s="62"/>
      <c r="X101" s="62"/>
      <c r="Y101" s="63"/>
      <c r="Z101" s="62"/>
      <c r="AA101" s="62"/>
      <c r="AB101" s="64"/>
      <c r="AC101" s="62"/>
      <c r="AD101" s="62"/>
      <c r="AE101" s="62"/>
      <c r="AF101" s="63"/>
      <c r="AG101" s="64"/>
      <c r="AH101" s="63"/>
      <c r="AI101" s="62"/>
    </row>
    <row r="102" spans="1:35" ht="15.75" customHeight="1" thickTop="1" thickBot="1">
      <c r="A102" s="58"/>
      <c r="B102" s="58"/>
      <c r="C102" s="59"/>
      <c r="D102" s="59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/>
      <c r="P102" s="60"/>
      <c r="Q102" s="60"/>
      <c r="R102" s="60"/>
      <c r="S102" s="60"/>
      <c r="T102" s="60"/>
      <c r="U102" s="62"/>
      <c r="V102" s="62"/>
      <c r="W102" s="62"/>
      <c r="X102" s="62"/>
      <c r="Y102" s="63"/>
      <c r="Z102" s="62"/>
      <c r="AA102" s="62"/>
      <c r="AB102" s="64"/>
      <c r="AC102" s="62"/>
      <c r="AD102" s="62"/>
      <c r="AE102" s="62"/>
      <c r="AF102" s="63"/>
      <c r="AG102" s="64"/>
      <c r="AH102" s="63"/>
      <c r="AI102" s="62"/>
    </row>
    <row r="103" spans="1:35" ht="15.75" customHeight="1" thickTop="1">
      <c r="A103" s="58"/>
      <c r="B103" s="76" t="s">
        <v>146</v>
      </c>
      <c r="C103" s="91">
        <v>4.9000000000000002E-2</v>
      </c>
      <c r="D103" s="59"/>
      <c r="E103" s="60"/>
      <c r="F103" s="76" t="s">
        <v>146</v>
      </c>
      <c r="G103" s="76">
        <v>1.2</v>
      </c>
      <c r="H103" s="60"/>
      <c r="I103" s="60"/>
      <c r="J103" s="76" t="s">
        <v>146</v>
      </c>
      <c r="K103" s="76">
        <v>56.6</v>
      </c>
      <c r="L103" s="60"/>
      <c r="M103" s="60"/>
      <c r="N103" s="60"/>
      <c r="O103" s="61"/>
      <c r="P103" s="60"/>
      <c r="Q103" s="60"/>
      <c r="R103" s="60"/>
      <c r="S103" s="60"/>
      <c r="T103" s="60"/>
      <c r="U103" s="62"/>
      <c r="V103" s="62"/>
      <c r="W103" s="62"/>
      <c r="X103" s="62"/>
      <c r="Y103" s="63"/>
      <c r="Z103" s="62"/>
      <c r="AA103" s="62"/>
      <c r="AB103" s="64"/>
      <c r="AC103" s="62"/>
      <c r="AD103" s="62"/>
      <c r="AE103" s="62"/>
      <c r="AF103" s="63"/>
      <c r="AG103" s="64"/>
      <c r="AH103" s="63"/>
      <c r="AI103" s="62"/>
    </row>
    <row r="104" spans="1:35" ht="18" customHeight="1">
      <c r="A104" s="58"/>
      <c r="B104" s="58"/>
      <c r="C104" s="59"/>
      <c r="D104" s="59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/>
      <c r="P104" s="60"/>
      <c r="Q104" s="60"/>
      <c r="R104" s="60"/>
      <c r="S104" s="60"/>
      <c r="T104" s="60"/>
      <c r="U104" s="62"/>
      <c r="V104" s="62"/>
      <c r="W104" s="62"/>
      <c r="X104" s="62"/>
      <c r="Y104" s="63"/>
      <c r="Z104" s="62"/>
      <c r="AA104" s="62"/>
      <c r="AB104" s="64"/>
      <c r="AC104" s="62"/>
      <c r="AD104" s="62"/>
      <c r="AE104" s="62"/>
      <c r="AF104" s="63"/>
      <c r="AG104" s="64"/>
      <c r="AH104" s="63"/>
      <c r="AI104" s="62"/>
    </row>
    <row r="105" spans="1:35" ht="18" customHeight="1">
      <c r="A105" s="58"/>
      <c r="B105" s="58"/>
      <c r="C105" s="59"/>
      <c r="D105" s="59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/>
      <c r="P105" s="60"/>
      <c r="Q105" s="60"/>
      <c r="R105" s="60"/>
      <c r="S105" s="60"/>
      <c r="T105" s="60"/>
      <c r="U105" s="62"/>
      <c r="V105" s="62"/>
      <c r="W105" s="62"/>
      <c r="X105" s="62"/>
      <c r="Y105" s="63"/>
      <c r="Z105" s="62"/>
      <c r="AA105" s="62"/>
      <c r="AB105" s="64"/>
      <c r="AC105" s="62"/>
      <c r="AD105" s="62"/>
      <c r="AE105" s="62"/>
      <c r="AF105" s="63"/>
      <c r="AG105" s="64"/>
      <c r="AH105" s="63"/>
      <c r="AI105" s="62"/>
    </row>
    <row r="106" spans="1:35" ht="18" customHeight="1">
      <c r="A106" s="58"/>
      <c r="B106" s="58"/>
      <c r="C106" s="59"/>
      <c r="D106" s="59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1"/>
      <c r="P106" s="60"/>
      <c r="Q106" s="60"/>
      <c r="R106" s="60"/>
      <c r="S106" s="60"/>
      <c r="T106" s="60"/>
      <c r="U106" s="62"/>
      <c r="V106" s="62"/>
      <c r="W106" s="62"/>
      <c r="X106" s="62"/>
      <c r="Y106" s="63"/>
      <c r="Z106" s="62"/>
      <c r="AA106" s="62"/>
      <c r="AB106" s="64"/>
      <c r="AC106" s="62"/>
      <c r="AD106" s="62"/>
      <c r="AE106" s="62"/>
      <c r="AF106" s="63"/>
      <c r="AG106" s="64"/>
      <c r="AH106" s="63"/>
      <c r="AI106" s="62"/>
    </row>
    <row r="107" spans="1:35" ht="18" customHeight="1">
      <c r="A107" s="58"/>
      <c r="B107" s="58"/>
      <c r="C107" s="59"/>
      <c r="D107" s="59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/>
      <c r="P107" s="60"/>
      <c r="Q107" s="60"/>
      <c r="R107" s="60"/>
      <c r="S107" s="60"/>
      <c r="T107" s="60"/>
      <c r="U107" s="62"/>
      <c r="V107" s="62"/>
      <c r="W107" s="62"/>
      <c r="X107" s="62"/>
      <c r="Y107" s="63"/>
      <c r="Z107" s="62"/>
      <c r="AA107" s="62"/>
      <c r="AB107" s="64"/>
      <c r="AC107" s="62"/>
      <c r="AD107" s="62"/>
      <c r="AE107" s="62"/>
      <c r="AF107" s="63"/>
      <c r="AG107" s="64"/>
      <c r="AH107" s="63"/>
      <c r="AI107" s="62"/>
    </row>
    <row r="108" spans="1:35" ht="18" customHeight="1">
      <c r="A108" s="58"/>
      <c r="B108" s="58"/>
      <c r="C108" s="59"/>
      <c r="D108" s="59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/>
      <c r="P108" s="60"/>
      <c r="Q108" s="60"/>
      <c r="R108" s="60"/>
      <c r="S108" s="60"/>
      <c r="T108" s="60"/>
      <c r="U108" s="62"/>
      <c r="V108" s="62"/>
      <c r="W108" s="62"/>
      <c r="X108" s="62"/>
      <c r="Y108" s="63"/>
      <c r="Z108" s="62"/>
      <c r="AA108" s="62"/>
      <c r="AB108" s="64"/>
      <c r="AC108" s="62"/>
      <c r="AD108" s="62"/>
      <c r="AE108" s="62"/>
      <c r="AF108" s="63"/>
      <c r="AG108" s="64"/>
      <c r="AH108" s="63"/>
      <c r="AI108" s="62"/>
    </row>
    <row r="109" spans="1:35" ht="18" customHeight="1">
      <c r="A109" s="58"/>
      <c r="B109" s="58"/>
      <c r="C109" s="59"/>
      <c r="D109" s="59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/>
      <c r="P109" s="60"/>
      <c r="Q109" s="60"/>
      <c r="R109" s="60"/>
      <c r="S109" s="60"/>
      <c r="T109" s="60"/>
      <c r="U109" s="62"/>
      <c r="V109" s="62"/>
      <c r="W109" s="62"/>
      <c r="X109" s="62"/>
      <c r="Y109" s="63"/>
      <c r="Z109" s="62"/>
      <c r="AA109" s="62"/>
      <c r="AB109" s="64"/>
      <c r="AC109" s="62"/>
      <c r="AD109" s="62"/>
      <c r="AE109" s="62"/>
      <c r="AF109" s="63"/>
      <c r="AG109" s="64"/>
      <c r="AH109" s="63"/>
      <c r="AI109" s="62"/>
    </row>
    <row r="110" spans="1:35" ht="18" customHeight="1">
      <c r="A110" s="58"/>
      <c r="B110" s="58"/>
      <c r="C110" s="59"/>
      <c r="D110" s="59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/>
      <c r="P110" s="60"/>
      <c r="Q110" s="60"/>
      <c r="R110" s="60"/>
      <c r="S110" s="60"/>
      <c r="T110" s="60"/>
      <c r="U110" s="62"/>
      <c r="V110" s="62"/>
      <c r="W110" s="62"/>
      <c r="X110" s="62"/>
      <c r="Y110" s="63"/>
      <c r="Z110" s="62"/>
      <c r="AA110" s="62"/>
      <c r="AB110" s="64"/>
      <c r="AC110" s="62"/>
      <c r="AD110" s="62"/>
      <c r="AE110" s="62"/>
      <c r="AF110" s="63"/>
      <c r="AG110" s="64"/>
      <c r="AH110" s="63"/>
      <c r="AI110" s="62"/>
    </row>
    <row r="111" spans="1:35" ht="18" customHeight="1">
      <c r="A111" s="58"/>
      <c r="B111" s="58"/>
      <c r="C111" s="59"/>
      <c r="D111" s="59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/>
      <c r="P111" s="60"/>
      <c r="Q111" s="60"/>
      <c r="R111" s="60"/>
      <c r="S111" s="60"/>
      <c r="T111" s="60"/>
      <c r="U111" s="62"/>
      <c r="V111" s="62"/>
      <c r="W111" s="62"/>
      <c r="X111" s="62"/>
      <c r="Y111" s="63"/>
      <c r="Z111" s="62"/>
      <c r="AA111" s="62"/>
      <c r="AB111" s="64"/>
      <c r="AC111" s="62"/>
      <c r="AD111" s="62"/>
      <c r="AE111" s="62"/>
      <c r="AF111" s="63"/>
      <c r="AG111" s="64"/>
      <c r="AH111" s="63"/>
      <c r="AI111" s="62"/>
    </row>
    <row r="112" spans="1:35" ht="18" customHeight="1">
      <c r="A112" s="58"/>
      <c r="B112" s="58"/>
      <c r="C112" s="59"/>
      <c r="D112" s="59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/>
      <c r="P112" s="60"/>
      <c r="Q112" s="60"/>
      <c r="R112" s="60"/>
      <c r="S112" s="60"/>
      <c r="T112" s="60"/>
      <c r="U112" s="62"/>
      <c r="V112" s="62"/>
      <c r="W112" s="62"/>
      <c r="X112" s="62"/>
      <c r="Y112" s="63"/>
      <c r="Z112" s="62"/>
      <c r="AA112" s="62"/>
      <c r="AB112" s="64"/>
      <c r="AC112" s="62"/>
      <c r="AD112" s="62"/>
      <c r="AE112" s="62"/>
      <c r="AF112" s="63"/>
      <c r="AG112" s="64"/>
      <c r="AH112" s="63"/>
      <c r="AI112" s="62"/>
    </row>
    <row r="113" spans="1:35" ht="18" customHeight="1">
      <c r="A113" s="58"/>
      <c r="B113" s="58"/>
      <c r="C113" s="59"/>
      <c r="D113" s="59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/>
      <c r="P113" s="60"/>
      <c r="Q113" s="60"/>
      <c r="R113" s="60"/>
      <c r="S113" s="60"/>
      <c r="T113" s="60"/>
      <c r="U113" s="62"/>
      <c r="V113" s="62"/>
      <c r="W113" s="62"/>
      <c r="X113" s="62"/>
      <c r="Y113" s="63"/>
      <c r="Z113" s="62"/>
      <c r="AA113" s="62"/>
      <c r="AB113" s="64"/>
      <c r="AC113" s="62"/>
      <c r="AD113" s="62"/>
      <c r="AE113" s="62"/>
      <c r="AF113" s="63"/>
      <c r="AG113" s="64"/>
      <c r="AH113" s="63"/>
      <c r="AI113" s="62"/>
    </row>
    <row r="114" spans="1:35" ht="18" customHeight="1">
      <c r="A114" s="58"/>
      <c r="B114" s="58"/>
      <c r="C114" s="59"/>
      <c r="D114" s="59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/>
      <c r="P114" s="60"/>
      <c r="Q114" s="60"/>
      <c r="R114" s="60"/>
      <c r="S114" s="60"/>
      <c r="T114" s="60"/>
      <c r="U114" s="62"/>
      <c r="V114" s="62"/>
      <c r="W114" s="62"/>
      <c r="X114" s="62"/>
      <c r="Y114" s="63"/>
      <c r="Z114" s="62"/>
      <c r="AA114" s="62"/>
      <c r="AB114" s="64"/>
      <c r="AC114" s="62"/>
      <c r="AD114" s="62"/>
      <c r="AE114" s="62"/>
      <c r="AF114" s="63"/>
      <c r="AG114" s="64"/>
      <c r="AH114" s="63"/>
      <c r="AI114" s="62"/>
    </row>
    <row r="115" spans="1:35" ht="18" customHeight="1">
      <c r="A115" s="58"/>
      <c r="B115" s="58"/>
      <c r="C115" s="59"/>
      <c r="D115" s="59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/>
      <c r="P115" s="60"/>
      <c r="Q115" s="60"/>
      <c r="R115" s="60"/>
      <c r="S115" s="60"/>
      <c r="T115" s="60"/>
      <c r="U115" s="62"/>
      <c r="V115" s="62"/>
      <c r="W115" s="62"/>
      <c r="X115" s="62"/>
      <c r="Y115" s="63"/>
      <c r="Z115" s="62"/>
      <c r="AA115" s="62"/>
      <c r="AB115" s="64"/>
      <c r="AC115" s="62"/>
      <c r="AD115" s="62"/>
      <c r="AE115" s="62"/>
      <c r="AF115" s="63"/>
      <c r="AG115" s="64"/>
      <c r="AH115" s="63"/>
      <c r="AI115" s="62"/>
    </row>
    <row r="116" spans="1:35" ht="18" customHeight="1">
      <c r="A116" s="58"/>
      <c r="B116" s="58"/>
      <c r="C116" s="59"/>
      <c r="D116" s="59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/>
      <c r="P116" s="60"/>
      <c r="Q116" s="60"/>
      <c r="R116" s="60"/>
      <c r="S116" s="60"/>
      <c r="T116" s="60"/>
      <c r="U116" s="62"/>
      <c r="V116" s="62"/>
      <c r="W116" s="62"/>
      <c r="X116" s="62"/>
      <c r="Y116" s="63"/>
      <c r="Z116" s="62"/>
      <c r="AA116" s="62"/>
      <c r="AB116" s="64"/>
      <c r="AC116" s="62"/>
      <c r="AD116" s="62"/>
      <c r="AE116" s="62"/>
      <c r="AF116" s="63"/>
      <c r="AG116" s="64"/>
      <c r="AH116" s="63"/>
      <c r="AI116" s="62"/>
    </row>
    <row r="117" spans="1:35" ht="18" customHeight="1">
      <c r="A117" s="58"/>
      <c r="B117" s="58"/>
      <c r="C117" s="59"/>
      <c r="D117" s="59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/>
      <c r="P117" s="60"/>
      <c r="Q117" s="60"/>
      <c r="R117" s="60"/>
      <c r="S117" s="60"/>
      <c r="T117" s="60"/>
      <c r="U117" s="62"/>
      <c r="V117" s="62"/>
      <c r="W117" s="62"/>
      <c r="X117" s="62"/>
      <c r="Y117" s="63"/>
      <c r="Z117" s="62"/>
      <c r="AA117" s="62"/>
      <c r="AB117" s="64"/>
      <c r="AC117" s="62"/>
      <c r="AD117" s="62"/>
      <c r="AE117" s="62"/>
      <c r="AF117" s="63"/>
      <c r="AG117" s="64"/>
      <c r="AH117" s="63"/>
      <c r="AI117" s="62"/>
    </row>
    <row r="118" spans="1:35" ht="18" customHeight="1">
      <c r="A118" s="58"/>
      <c r="B118" s="58"/>
      <c r="C118" s="59"/>
      <c r="D118" s="59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/>
      <c r="P118" s="60"/>
      <c r="Q118" s="60"/>
      <c r="R118" s="60"/>
      <c r="S118" s="60"/>
      <c r="T118" s="60"/>
      <c r="U118" s="62"/>
      <c r="V118" s="62"/>
      <c r="W118" s="62"/>
      <c r="X118" s="62"/>
      <c r="Y118" s="63"/>
      <c r="Z118" s="62"/>
      <c r="AA118" s="62"/>
      <c r="AB118" s="64"/>
      <c r="AC118" s="62"/>
      <c r="AD118" s="62"/>
      <c r="AE118" s="62"/>
      <c r="AF118" s="63"/>
      <c r="AG118" s="64"/>
      <c r="AH118" s="63"/>
      <c r="AI118" s="62"/>
    </row>
    <row r="119" spans="1:35" ht="18" customHeight="1">
      <c r="A119" s="58"/>
      <c r="B119" s="58"/>
      <c r="C119" s="59"/>
      <c r="D119" s="59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/>
      <c r="P119" s="60"/>
      <c r="Q119" s="60"/>
      <c r="R119" s="60"/>
      <c r="S119" s="60"/>
      <c r="T119" s="60"/>
      <c r="U119" s="62"/>
      <c r="V119" s="62"/>
      <c r="W119" s="62"/>
      <c r="X119" s="62"/>
      <c r="Y119" s="63"/>
      <c r="Z119" s="62"/>
      <c r="AA119" s="62"/>
      <c r="AB119" s="64"/>
      <c r="AC119" s="62"/>
      <c r="AD119" s="62"/>
      <c r="AE119" s="62"/>
      <c r="AF119" s="63"/>
      <c r="AG119" s="64"/>
      <c r="AH119" s="63"/>
      <c r="AI119" s="62"/>
    </row>
    <row r="120" spans="1:35" ht="18" customHeight="1">
      <c r="A120" s="58"/>
      <c r="B120" s="58"/>
      <c r="C120" s="59"/>
      <c r="D120" s="59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/>
      <c r="P120" s="60"/>
      <c r="Q120" s="60"/>
      <c r="R120" s="60"/>
      <c r="S120" s="60"/>
      <c r="T120" s="60"/>
      <c r="U120" s="62"/>
      <c r="V120" s="62"/>
      <c r="W120" s="62"/>
      <c r="X120" s="62"/>
      <c r="Y120" s="63"/>
      <c r="Z120" s="62"/>
      <c r="AA120" s="62"/>
      <c r="AB120" s="64"/>
      <c r="AC120" s="62"/>
      <c r="AD120" s="62"/>
      <c r="AE120" s="62"/>
      <c r="AF120" s="63"/>
      <c r="AG120" s="64"/>
      <c r="AH120" s="63"/>
      <c r="AI120" s="62"/>
    </row>
    <row r="121" spans="1:35" ht="18" customHeight="1">
      <c r="A121" s="58"/>
      <c r="B121" s="58"/>
      <c r="C121" s="59"/>
      <c r="D121" s="59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/>
      <c r="P121" s="60"/>
      <c r="Q121" s="60"/>
      <c r="R121" s="60"/>
      <c r="S121" s="60"/>
      <c r="T121" s="60"/>
      <c r="U121" s="62"/>
      <c r="V121" s="62"/>
      <c r="W121" s="62"/>
      <c r="X121" s="62"/>
      <c r="Y121" s="63"/>
      <c r="Z121" s="62"/>
      <c r="AA121" s="62"/>
      <c r="AB121" s="64"/>
      <c r="AC121" s="62"/>
      <c r="AD121" s="62"/>
      <c r="AE121" s="62"/>
      <c r="AF121" s="63"/>
      <c r="AG121" s="64"/>
      <c r="AH121" s="63"/>
      <c r="AI121" s="62"/>
    </row>
    <row r="122" spans="1:35" ht="18" customHeight="1">
      <c r="A122" s="58"/>
      <c r="B122" s="58"/>
      <c r="C122" s="59"/>
      <c r="D122" s="59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/>
      <c r="P122" s="60"/>
      <c r="Q122" s="60"/>
      <c r="R122" s="60"/>
      <c r="S122" s="60"/>
      <c r="T122" s="60"/>
      <c r="U122" s="62"/>
      <c r="V122" s="62"/>
      <c r="W122" s="62"/>
      <c r="X122" s="62"/>
      <c r="Y122" s="63"/>
      <c r="Z122" s="62"/>
      <c r="AA122" s="62"/>
      <c r="AB122" s="64"/>
      <c r="AC122" s="62"/>
      <c r="AD122" s="62"/>
      <c r="AE122" s="62"/>
      <c r="AF122" s="63"/>
      <c r="AG122" s="64"/>
      <c r="AH122" s="63"/>
      <c r="AI122" s="62"/>
    </row>
    <row r="123" spans="1:35" ht="18" customHeight="1">
      <c r="A123" s="58"/>
      <c r="B123" s="58"/>
      <c r="C123" s="59"/>
      <c r="D123" s="59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/>
      <c r="P123" s="60"/>
      <c r="Q123" s="60"/>
      <c r="R123" s="60"/>
      <c r="S123" s="60"/>
      <c r="T123" s="60"/>
      <c r="U123" s="62"/>
      <c r="V123" s="62"/>
      <c r="W123" s="62"/>
      <c r="X123" s="62"/>
      <c r="Y123" s="63"/>
      <c r="Z123" s="62"/>
      <c r="AA123" s="62"/>
      <c r="AB123" s="64"/>
      <c r="AC123" s="62"/>
      <c r="AD123" s="62"/>
      <c r="AE123" s="62"/>
      <c r="AF123" s="63"/>
      <c r="AG123" s="64"/>
      <c r="AH123" s="63"/>
      <c r="AI123" s="62"/>
    </row>
    <row r="124" spans="1:35" ht="18" customHeight="1">
      <c r="A124" s="58"/>
      <c r="B124" s="58"/>
      <c r="C124" s="59"/>
      <c r="D124" s="59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/>
      <c r="P124" s="60"/>
      <c r="Q124" s="60"/>
      <c r="R124" s="60"/>
      <c r="S124" s="60"/>
      <c r="T124" s="60"/>
      <c r="U124" s="62"/>
      <c r="V124" s="62"/>
      <c r="W124" s="62"/>
      <c r="X124" s="62"/>
      <c r="Y124" s="63"/>
      <c r="Z124" s="62"/>
      <c r="AA124" s="62"/>
      <c r="AB124" s="64"/>
      <c r="AC124" s="62"/>
      <c r="AD124" s="62"/>
      <c r="AE124" s="62"/>
      <c r="AF124" s="63"/>
      <c r="AG124" s="64"/>
      <c r="AH124" s="63"/>
      <c r="AI124" s="62"/>
    </row>
    <row r="125" spans="1:35" ht="18" customHeight="1">
      <c r="A125" s="58"/>
      <c r="B125" s="66" t="s">
        <v>29</v>
      </c>
      <c r="C125" s="59"/>
      <c r="D125" s="59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/>
      <c r="P125" s="60"/>
      <c r="Q125" s="60"/>
      <c r="R125" s="60"/>
      <c r="S125" s="60"/>
      <c r="T125" s="60"/>
      <c r="U125" s="62"/>
      <c r="V125" s="62"/>
      <c r="W125" s="62"/>
      <c r="X125" s="62"/>
      <c r="Y125" s="63"/>
      <c r="Z125" s="62"/>
      <c r="AA125" s="62"/>
      <c r="AB125" s="64"/>
      <c r="AC125" s="62"/>
      <c r="AD125" s="62"/>
      <c r="AE125" s="62"/>
      <c r="AF125" s="63"/>
      <c r="AG125" s="64"/>
      <c r="AH125" s="63"/>
      <c r="AI125" s="62"/>
    </row>
    <row r="126" spans="1:35" ht="18" customHeight="1">
      <c r="A126" s="58"/>
      <c r="B126" s="68" t="s">
        <v>196</v>
      </c>
      <c r="C126" s="68" t="s">
        <v>36</v>
      </c>
      <c r="D126" s="59"/>
      <c r="E126" s="60"/>
      <c r="F126" s="68" t="s">
        <v>196</v>
      </c>
      <c r="G126" s="68" t="s">
        <v>38</v>
      </c>
      <c r="H126" s="60"/>
      <c r="I126" s="60"/>
      <c r="J126" s="68" t="s">
        <v>196</v>
      </c>
      <c r="K126" s="68" t="s">
        <v>37</v>
      </c>
      <c r="L126" s="60"/>
      <c r="M126" s="60"/>
      <c r="N126" s="60"/>
      <c r="O126" s="61"/>
      <c r="P126" s="60"/>
      <c r="Q126" s="60"/>
      <c r="R126" s="60"/>
      <c r="S126" s="60"/>
      <c r="T126" s="60"/>
      <c r="U126" s="62"/>
      <c r="V126" s="62"/>
      <c r="W126" s="62"/>
      <c r="X126" s="62"/>
      <c r="Y126" s="63"/>
      <c r="Z126" s="62"/>
      <c r="AA126" s="62"/>
      <c r="AB126" s="64"/>
      <c r="AC126" s="62"/>
      <c r="AD126" s="62"/>
      <c r="AE126" s="62"/>
      <c r="AF126" s="63"/>
      <c r="AG126" s="64"/>
      <c r="AH126" s="63"/>
      <c r="AI126" s="62"/>
    </row>
    <row r="127" spans="1:35" ht="18" customHeight="1">
      <c r="A127" s="58"/>
      <c r="B127" s="58" t="s">
        <v>174</v>
      </c>
      <c r="C127" s="99">
        <v>0</v>
      </c>
      <c r="D127" s="59"/>
      <c r="E127" s="60"/>
      <c r="F127" s="100" t="s">
        <v>178</v>
      </c>
      <c r="G127" s="101">
        <v>178.5</v>
      </c>
      <c r="H127" s="60"/>
      <c r="I127" s="60"/>
      <c r="J127" s="82" t="s">
        <v>182</v>
      </c>
      <c r="K127" s="102">
        <v>0.1953416149068323</v>
      </c>
      <c r="L127" s="60"/>
      <c r="M127" s="60"/>
      <c r="N127" s="60"/>
      <c r="O127" s="61"/>
      <c r="P127" s="60"/>
      <c r="Q127" s="60"/>
      <c r="R127" s="60"/>
      <c r="S127" s="60"/>
      <c r="T127" s="60"/>
      <c r="U127" s="62"/>
      <c r="V127" s="62"/>
      <c r="W127" s="62"/>
      <c r="X127" s="62"/>
      <c r="Y127" s="63"/>
      <c r="Z127" s="62"/>
      <c r="AA127" s="62"/>
      <c r="AB127" s="64"/>
      <c r="AC127" s="62"/>
      <c r="AD127" s="62"/>
      <c r="AE127" s="62"/>
      <c r="AF127" s="63"/>
      <c r="AG127" s="64"/>
      <c r="AH127" s="63"/>
      <c r="AI127" s="62"/>
    </row>
    <row r="128" spans="1:35" ht="18" customHeight="1">
      <c r="A128" s="58"/>
      <c r="B128" s="58" t="s">
        <v>178</v>
      </c>
      <c r="C128" s="99">
        <v>0</v>
      </c>
      <c r="D128" s="59"/>
      <c r="E128" s="60"/>
      <c r="F128" s="100" t="s">
        <v>174</v>
      </c>
      <c r="G128" s="101">
        <v>118.41666666666667</v>
      </c>
      <c r="H128" s="60"/>
      <c r="I128" s="60"/>
      <c r="J128" s="82" t="s">
        <v>188</v>
      </c>
      <c r="K128" s="102">
        <v>0.21737365536837833</v>
      </c>
      <c r="L128" s="60"/>
      <c r="M128" s="60"/>
      <c r="N128" s="60"/>
      <c r="O128" s="61"/>
      <c r="P128" s="60"/>
      <c r="Q128" s="60"/>
      <c r="R128" s="60"/>
      <c r="S128" s="60"/>
      <c r="T128" s="60"/>
      <c r="U128" s="62"/>
      <c r="V128" s="62"/>
      <c r="W128" s="62"/>
      <c r="X128" s="62"/>
      <c r="Y128" s="63"/>
      <c r="Z128" s="62"/>
      <c r="AA128" s="62"/>
      <c r="AB128" s="64"/>
      <c r="AC128" s="62"/>
      <c r="AD128" s="62"/>
      <c r="AE128" s="62"/>
      <c r="AF128" s="63"/>
      <c r="AG128" s="64"/>
      <c r="AH128" s="63"/>
      <c r="AI128" s="62"/>
    </row>
    <row r="129" spans="1:35" ht="18" customHeight="1">
      <c r="A129" s="58"/>
      <c r="B129" s="58" t="s">
        <v>182</v>
      </c>
      <c r="C129" s="99">
        <v>0</v>
      </c>
      <c r="D129" s="59"/>
      <c r="E129" s="60"/>
      <c r="F129" s="100" t="s">
        <v>182</v>
      </c>
      <c r="G129" s="101">
        <v>61.166666666666664</v>
      </c>
      <c r="H129" s="60"/>
      <c r="I129" s="60"/>
      <c r="J129" s="82" t="s">
        <v>178</v>
      </c>
      <c r="K129" s="102">
        <v>0.23312589755864049</v>
      </c>
      <c r="L129" s="60"/>
      <c r="M129" s="60"/>
      <c r="N129" s="60"/>
      <c r="O129" s="61"/>
      <c r="P129" s="60"/>
      <c r="Q129" s="60"/>
      <c r="R129" s="60"/>
      <c r="S129" s="60"/>
      <c r="T129" s="60"/>
      <c r="U129" s="62"/>
      <c r="V129" s="62"/>
      <c r="W129" s="62"/>
      <c r="X129" s="62"/>
      <c r="Y129" s="63"/>
      <c r="Z129" s="62"/>
      <c r="AA129" s="62"/>
      <c r="AB129" s="64"/>
      <c r="AC129" s="62"/>
      <c r="AD129" s="62"/>
      <c r="AE129" s="62"/>
      <c r="AF129" s="63"/>
      <c r="AG129" s="64"/>
      <c r="AH129" s="63"/>
      <c r="AI129" s="62"/>
    </row>
    <row r="130" spans="1:35" ht="18" customHeight="1">
      <c r="A130" s="58"/>
      <c r="B130" s="58" t="s">
        <v>24</v>
      </c>
      <c r="C130" s="99">
        <v>2.9186660353490738E-3</v>
      </c>
      <c r="D130" s="59"/>
      <c r="E130" s="60"/>
      <c r="F130" s="100" t="s">
        <v>24</v>
      </c>
      <c r="G130" s="101">
        <v>42.045454545454547</v>
      </c>
      <c r="H130" s="60"/>
      <c r="I130" s="60"/>
      <c r="J130" s="82" t="s">
        <v>177</v>
      </c>
      <c r="K130" s="102">
        <v>0.26513280001500766</v>
      </c>
      <c r="L130" s="60"/>
      <c r="M130" s="60"/>
      <c r="N130" s="60"/>
      <c r="O130" s="61"/>
      <c r="P130" s="60"/>
      <c r="Q130" s="60"/>
      <c r="R130" s="60"/>
      <c r="S130" s="60"/>
      <c r="T130" s="60"/>
      <c r="U130" s="62"/>
      <c r="V130" s="62"/>
      <c r="W130" s="62"/>
      <c r="X130" s="62"/>
      <c r="Y130" s="63"/>
      <c r="Z130" s="62"/>
      <c r="AA130" s="62"/>
      <c r="AB130" s="64"/>
      <c r="AC130" s="62"/>
      <c r="AD130" s="62"/>
      <c r="AE130" s="62"/>
      <c r="AF130" s="63"/>
      <c r="AG130" s="64"/>
      <c r="AH130" s="63"/>
      <c r="AI130" s="62"/>
    </row>
    <row r="131" spans="1:35" ht="18" customHeight="1">
      <c r="A131" s="58"/>
      <c r="B131" s="58" t="s">
        <v>177</v>
      </c>
      <c r="C131" s="99">
        <v>2.5007678285807737E-2</v>
      </c>
      <c r="D131" s="59"/>
      <c r="E131" s="60"/>
      <c r="F131" s="100" t="s">
        <v>184</v>
      </c>
      <c r="G131" s="101">
        <v>38.086956521739133</v>
      </c>
      <c r="H131" s="60"/>
      <c r="I131" s="60"/>
      <c r="J131" s="82" t="s">
        <v>24</v>
      </c>
      <c r="K131" s="102">
        <v>0.2802144559375962</v>
      </c>
      <c r="L131" s="60"/>
      <c r="M131" s="60"/>
      <c r="N131" s="60"/>
      <c r="O131" s="61"/>
      <c r="P131" s="60"/>
      <c r="Q131" s="60"/>
      <c r="R131" s="60"/>
      <c r="S131" s="60"/>
      <c r="T131" s="60"/>
      <c r="U131" s="62"/>
      <c r="V131" s="62"/>
      <c r="W131" s="62"/>
      <c r="X131" s="62"/>
      <c r="Y131" s="63"/>
      <c r="Z131" s="62"/>
      <c r="AA131" s="62"/>
      <c r="AB131" s="64"/>
      <c r="AC131" s="62"/>
      <c r="AD131" s="62"/>
      <c r="AE131" s="62"/>
      <c r="AF131" s="63"/>
      <c r="AG131" s="64"/>
      <c r="AH131" s="63"/>
      <c r="AI131" s="62"/>
    </row>
    <row r="132" spans="1:35" ht="18" customHeight="1">
      <c r="A132" s="58"/>
      <c r="B132" s="58" t="s">
        <v>190</v>
      </c>
      <c r="C132" s="99">
        <v>0.10368217054263566</v>
      </c>
      <c r="D132" s="59"/>
      <c r="E132" s="60"/>
      <c r="F132" s="100" t="s">
        <v>179</v>
      </c>
      <c r="G132" s="101">
        <v>30.411764705882351</v>
      </c>
      <c r="H132" s="60"/>
      <c r="I132" s="60"/>
      <c r="J132" s="82" t="s">
        <v>179</v>
      </c>
      <c r="K132" s="102">
        <v>0.28994588436342922</v>
      </c>
      <c r="L132" s="60"/>
      <c r="M132" s="60"/>
      <c r="N132" s="60"/>
      <c r="O132" s="61"/>
      <c r="P132" s="60"/>
      <c r="Q132" s="60"/>
      <c r="R132" s="60"/>
      <c r="S132" s="60"/>
      <c r="T132" s="60"/>
      <c r="U132" s="62"/>
      <c r="V132" s="62"/>
      <c r="W132" s="62"/>
      <c r="X132" s="62"/>
      <c r="Y132" s="63"/>
      <c r="Z132" s="62"/>
      <c r="AA132" s="62"/>
      <c r="AB132" s="64"/>
      <c r="AC132" s="62"/>
      <c r="AD132" s="62"/>
      <c r="AE132" s="62"/>
      <c r="AF132" s="63"/>
      <c r="AG132" s="64"/>
      <c r="AH132" s="63"/>
      <c r="AI132" s="62"/>
    </row>
    <row r="133" spans="1:35" ht="18" customHeight="1">
      <c r="A133" s="58"/>
      <c r="B133" s="58" t="s">
        <v>179</v>
      </c>
      <c r="C133" s="99">
        <v>0.1151685393258427</v>
      </c>
      <c r="D133" s="59"/>
      <c r="E133" s="60"/>
      <c r="F133" s="100" t="s">
        <v>183</v>
      </c>
      <c r="G133" s="101">
        <v>29.285714285714285</v>
      </c>
      <c r="H133" s="60"/>
      <c r="I133" s="60"/>
      <c r="J133" s="82" t="s">
        <v>174</v>
      </c>
      <c r="K133" s="102">
        <v>0.29844961240310075</v>
      </c>
      <c r="L133" s="60"/>
      <c r="M133" s="60"/>
      <c r="N133" s="60"/>
      <c r="O133" s="61"/>
      <c r="P133" s="60"/>
      <c r="Q133" s="60"/>
      <c r="R133" s="60"/>
      <c r="S133" s="60"/>
      <c r="T133" s="60"/>
      <c r="U133" s="62"/>
      <c r="V133" s="62"/>
      <c r="W133" s="62"/>
      <c r="X133" s="62"/>
      <c r="Y133" s="63"/>
      <c r="Z133" s="62"/>
      <c r="AA133" s="62"/>
      <c r="AB133" s="64"/>
      <c r="AC133" s="62"/>
      <c r="AD133" s="62"/>
      <c r="AE133" s="62"/>
      <c r="AF133" s="63"/>
      <c r="AG133" s="64"/>
      <c r="AH133" s="63"/>
      <c r="AI133" s="62"/>
    </row>
    <row r="134" spans="1:35" ht="18" customHeight="1">
      <c r="A134" s="58"/>
      <c r="B134" s="58" t="s">
        <v>176</v>
      </c>
      <c r="C134" s="99">
        <v>0.14207101820447152</v>
      </c>
      <c r="D134" s="59"/>
      <c r="E134" s="60"/>
      <c r="F134" s="100" t="s">
        <v>181</v>
      </c>
      <c r="G134" s="101">
        <v>23.5</v>
      </c>
      <c r="H134" s="60"/>
      <c r="I134" s="60"/>
      <c r="J134" s="82" t="s">
        <v>185</v>
      </c>
      <c r="K134" s="102">
        <v>0.31529612270984236</v>
      </c>
      <c r="L134" s="60"/>
      <c r="M134" s="60"/>
      <c r="N134" s="60"/>
      <c r="O134" s="61"/>
      <c r="P134" s="60"/>
      <c r="Q134" s="60"/>
      <c r="R134" s="60"/>
      <c r="S134" s="60"/>
      <c r="T134" s="60"/>
      <c r="U134" s="62"/>
      <c r="V134" s="62"/>
      <c r="W134" s="62"/>
      <c r="X134" s="62"/>
      <c r="Y134" s="63"/>
      <c r="Z134" s="62"/>
      <c r="AA134" s="62"/>
      <c r="AB134" s="64"/>
      <c r="AC134" s="62"/>
      <c r="AD134" s="62"/>
      <c r="AE134" s="62"/>
      <c r="AF134" s="63"/>
      <c r="AG134" s="64"/>
      <c r="AH134" s="63"/>
      <c r="AI134" s="62"/>
    </row>
    <row r="135" spans="1:35" ht="18" customHeight="1">
      <c r="A135" s="58"/>
      <c r="B135" s="58" t="s">
        <v>183</v>
      </c>
      <c r="C135" s="99">
        <v>0.14419516445218908</v>
      </c>
      <c r="D135" s="59"/>
      <c r="E135" s="60"/>
      <c r="F135" s="100" t="s">
        <v>176</v>
      </c>
      <c r="G135" s="101">
        <v>22.80952380952381</v>
      </c>
      <c r="H135" s="60"/>
      <c r="I135" s="60"/>
      <c r="J135" s="82" t="s">
        <v>190</v>
      </c>
      <c r="K135" s="102">
        <v>0.3170103092783505</v>
      </c>
      <c r="L135" s="60"/>
      <c r="M135" s="60"/>
      <c r="N135" s="60"/>
      <c r="O135" s="61"/>
      <c r="P135" s="60"/>
      <c r="Q135" s="60"/>
      <c r="R135" s="60"/>
      <c r="S135" s="60"/>
      <c r="T135" s="60"/>
      <c r="U135" s="62"/>
      <c r="V135" s="62"/>
      <c r="W135" s="62"/>
      <c r="X135" s="62"/>
      <c r="Y135" s="63"/>
      <c r="Z135" s="62"/>
      <c r="AA135" s="62"/>
      <c r="AB135" s="64"/>
      <c r="AC135" s="62"/>
      <c r="AD135" s="62"/>
      <c r="AE135" s="62"/>
      <c r="AF135" s="63"/>
      <c r="AG135" s="64"/>
      <c r="AH135" s="63"/>
      <c r="AI135" s="62"/>
    </row>
    <row r="136" spans="1:35" ht="18" customHeight="1">
      <c r="A136" s="58"/>
      <c r="B136" s="58" t="s">
        <v>184</v>
      </c>
      <c r="C136" s="99">
        <v>0.15243358887502229</v>
      </c>
      <c r="D136" s="59"/>
      <c r="E136" s="60"/>
      <c r="F136" s="100" t="s">
        <v>190</v>
      </c>
      <c r="G136" s="101">
        <v>19.166666666666668</v>
      </c>
      <c r="H136" s="60"/>
      <c r="I136" s="60"/>
      <c r="J136" s="82" t="s">
        <v>183</v>
      </c>
      <c r="K136" s="102">
        <v>0.38254672583030791</v>
      </c>
      <c r="L136" s="60"/>
      <c r="M136" s="60"/>
      <c r="N136" s="60"/>
      <c r="O136" s="61"/>
      <c r="P136" s="60"/>
      <c r="Q136" s="60"/>
      <c r="R136" s="60"/>
      <c r="S136" s="60"/>
      <c r="T136" s="60"/>
      <c r="U136" s="62"/>
      <c r="V136" s="62"/>
      <c r="W136" s="62"/>
      <c r="X136" s="62"/>
      <c r="Y136" s="63"/>
      <c r="Z136" s="62"/>
      <c r="AA136" s="62"/>
      <c r="AB136" s="64"/>
      <c r="AC136" s="62"/>
      <c r="AD136" s="62"/>
      <c r="AE136" s="62"/>
      <c r="AF136" s="63"/>
      <c r="AG136" s="64"/>
      <c r="AH136" s="63"/>
      <c r="AI136" s="62"/>
    </row>
    <row r="137" spans="1:35" ht="18" customHeight="1">
      <c r="A137" s="58"/>
      <c r="B137" s="58" t="s">
        <v>185</v>
      </c>
      <c r="C137" s="99">
        <v>0.18571875978703414</v>
      </c>
      <c r="D137" s="59"/>
      <c r="E137" s="60"/>
      <c r="F137" s="100" t="s">
        <v>185</v>
      </c>
      <c r="G137" s="101">
        <v>16.375</v>
      </c>
      <c r="H137" s="60"/>
      <c r="I137" s="60"/>
      <c r="J137" s="82" t="s">
        <v>184</v>
      </c>
      <c r="K137" s="102">
        <v>0.38660110633066996</v>
      </c>
      <c r="L137" s="60"/>
      <c r="M137" s="60"/>
      <c r="N137" s="60"/>
      <c r="O137" s="61"/>
      <c r="P137" s="60"/>
      <c r="Q137" s="60"/>
      <c r="R137" s="60"/>
      <c r="S137" s="60"/>
      <c r="T137" s="60"/>
      <c r="U137" s="62"/>
      <c r="V137" s="62"/>
      <c r="W137" s="62"/>
      <c r="X137" s="62"/>
      <c r="Y137" s="63"/>
      <c r="Z137" s="62"/>
      <c r="AA137" s="62"/>
      <c r="AB137" s="64"/>
      <c r="AC137" s="62"/>
      <c r="AD137" s="62"/>
      <c r="AE137" s="62"/>
      <c r="AF137" s="63"/>
      <c r="AG137" s="64"/>
      <c r="AH137" s="63"/>
      <c r="AI137" s="62"/>
    </row>
    <row r="138" spans="1:35" ht="18" customHeight="1">
      <c r="A138" s="58"/>
      <c r="B138" s="58" t="s">
        <v>181</v>
      </c>
      <c r="C138" s="99">
        <v>0.21</v>
      </c>
      <c r="D138" s="59"/>
      <c r="E138" s="60"/>
      <c r="F138" s="100" t="s">
        <v>177</v>
      </c>
      <c r="G138" s="101">
        <v>14.675675675675675</v>
      </c>
      <c r="H138" s="60"/>
      <c r="I138" s="60"/>
      <c r="J138" s="82" t="s">
        <v>180</v>
      </c>
      <c r="K138" s="102">
        <v>0.47800073150955363</v>
      </c>
      <c r="L138" s="60"/>
      <c r="M138" s="60"/>
      <c r="N138" s="60"/>
      <c r="O138" s="61"/>
      <c r="P138" s="60"/>
      <c r="Q138" s="60"/>
      <c r="R138" s="60"/>
      <c r="S138" s="60"/>
      <c r="T138" s="60"/>
      <c r="U138" s="62"/>
      <c r="V138" s="62"/>
      <c r="W138" s="62"/>
      <c r="X138" s="62"/>
      <c r="Y138" s="63"/>
      <c r="Z138" s="62"/>
      <c r="AA138" s="62"/>
      <c r="AB138" s="64"/>
      <c r="AC138" s="62"/>
      <c r="AD138" s="62"/>
      <c r="AE138" s="62"/>
      <c r="AF138" s="63"/>
      <c r="AG138" s="64"/>
      <c r="AH138" s="63"/>
      <c r="AI138" s="62"/>
    </row>
    <row r="139" spans="1:35" ht="18" customHeight="1">
      <c r="A139" s="58"/>
      <c r="B139" s="58" t="s">
        <v>180</v>
      </c>
      <c r="C139" s="99">
        <v>0.30273304771753584</v>
      </c>
      <c r="D139" s="59"/>
      <c r="E139" s="60"/>
      <c r="F139" s="100" t="s">
        <v>180</v>
      </c>
      <c r="G139" s="101">
        <v>11.6</v>
      </c>
      <c r="H139" s="60"/>
      <c r="I139" s="60"/>
      <c r="J139" s="82" t="s">
        <v>189</v>
      </c>
      <c r="K139" s="102">
        <v>0.47933425797503465</v>
      </c>
      <c r="L139" s="60"/>
      <c r="M139" s="60"/>
      <c r="N139" s="60"/>
      <c r="O139" s="61"/>
      <c r="P139" s="60"/>
      <c r="Q139" s="60"/>
      <c r="R139" s="60"/>
      <c r="S139" s="60"/>
      <c r="T139" s="60"/>
      <c r="U139" s="62"/>
      <c r="V139" s="62"/>
      <c r="W139" s="62"/>
      <c r="X139" s="62"/>
      <c r="Y139" s="63"/>
      <c r="Z139" s="62"/>
      <c r="AA139" s="62"/>
      <c r="AB139" s="64"/>
      <c r="AC139" s="62"/>
      <c r="AD139" s="62"/>
      <c r="AE139" s="62"/>
      <c r="AF139" s="63"/>
      <c r="AG139" s="64"/>
      <c r="AH139" s="63"/>
      <c r="AI139" s="62"/>
    </row>
    <row r="140" spans="1:35" ht="18" customHeight="1">
      <c r="A140" s="58"/>
      <c r="B140" s="58" t="s">
        <v>189</v>
      </c>
      <c r="C140" s="99">
        <v>0.31699520511454449</v>
      </c>
      <c r="D140" s="59"/>
      <c r="E140" s="60"/>
      <c r="F140" s="100" t="s">
        <v>189</v>
      </c>
      <c r="G140" s="101">
        <v>7.9024390243902438</v>
      </c>
      <c r="H140" s="60"/>
      <c r="I140" s="60"/>
      <c r="J140" s="82" t="s">
        <v>176</v>
      </c>
      <c r="K140" s="102">
        <v>0.52957687316940538</v>
      </c>
      <c r="L140" s="60"/>
      <c r="M140" s="60"/>
      <c r="N140" s="60"/>
      <c r="O140" s="61"/>
      <c r="P140" s="60"/>
      <c r="Q140" s="60"/>
      <c r="R140" s="60"/>
      <c r="S140" s="60"/>
      <c r="T140" s="60"/>
      <c r="U140" s="62"/>
      <c r="V140" s="62"/>
      <c r="W140" s="62"/>
      <c r="X140" s="62"/>
      <c r="Y140" s="63"/>
      <c r="Z140" s="62"/>
      <c r="AA140" s="62"/>
      <c r="AB140" s="64"/>
      <c r="AC140" s="62"/>
      <c r="AD140" s="62"/>
      <c r="AE140" s="62"/>
      <c r="AF140" s="63"/>
      <c r="AG140" s="64"/>
      <c r="AH140" s="63"/>
      <c r="AI140" s="62"/>
    </row>
    <row r="141" spans="1:35" ht="18" customHeight="1">
      <c r="A141" s="58"/>
      <c r="B141" s="58" t="s">
        <v>188</v>
      </c>
      <c r="C141" s="99">
        <v>0.67247542448614839</v>
      </c>
      <c r="D141" s="59"/>
      <c r="E141" s="60"/>
      <c r="F141" s="100" t="s">
        <v>188</v>
      </c>
      <c r="G141" s="101">
        <v>6.0476190476190474</v>
      </c>
      <c r="H141" s="60"/>
      <c r="I141" s="60"/>
      <c r="J141" s="82" t="s">
        <v>181</v>
      </c>
      <c r="K141" s="102">
        <v>0.54003039354399207</v>
      </c>
      <c r="L141" s="60"/>
      <c r="M141" s="60"/>
      <c r="N141" s="60"/>
      <c r="O141" s="61"/>
      <c r="P141" s="60"/>
      <c r="Q141" s="60"/>
      <c r="R141" s="60"/>
      <c r="S141" s="60"/>
      <c r="T141" s="60"/>
      <c r="U141" s="62"/>
      <c r="V141" s="62"/>
      <c r="W141" s="62"/>
      <c r="X141" s="62"/>
      <c r="Y141" s="63"/>
      <c r="Z141" s="62"/>
      <c r="AA141" s="62"/>
      <c r="AB141" s="64"/>
      <c r="AC141" s="62"/>
      <c r="AD141" s="62"/>
      <c r="AE141" s="62"/>
      <c r="AF141" s="63"/>
      <c r="AG141" s="64"/>
      <c r="AH141" s="63"/>
      <c r="AI141" s="62"/>
    </row>
    <row r="142" spans="1:35" ht="18" customHeight="1">
      <c r="A142" s="58"/>
      <c r="B142" s="58" t="s">
        <v>173</v>
      </c>
      <c r="C142" s="99">
        <v>0.78694809252969367</v>
      </c>
      <c r="D142" s="59"/>
      <c r="E142" s="60"/>
      <c r="F142" s="100" t="s">
        <v>175</v>
      </c>
      <c r="G142" s="101">
        <v>3.9550561797752808</v>
      </c>
      <c r="H142" s="60"/>
      <c r="I142" s="60"/>
      <c r="J142" s="82" t="s">
        <v>191</v>
      </c>
      <c r="K142" s="102">
        <v>0.62317475270843148</v>
      </c>
      <c r="L142" s="60"/>
      <c r="M142" s="60"/>
      <c r="N142" s="60"/>
      <c r="O142" s="61"/>
      <c r="P142" s="60"/>
      <c r="Q142" s="60"/>
      <c r="R142" s="60"/>
      <c r="S142" s="60"/>
      <c r="T142" s="60"/>
      <c r="U142" s="62"/>
      <c r="V142" s="62"/>
      <c r="W142" s="62"/>
      <c r="X142" s="62"/>
      <c r="Y142" s="63"/>
      <c r="Z142" s="62"/>
      <c r="AA142" s="62"/>
      <c r="AB142" s="64"/>
      <c r="AC142" s="62"/>
      <c r="AD142" s="62"/>
      <c r="AE142" s="62"/>
      <c r="AF142" s="63"/>
      <c r="AG142" s="64"/>
      <c r="AH142" s="63"/>
      <c r="AI142" s="62"/>
    </row>
    <row r="143" spans="1:35" ht="18" customHeight="1">
      <c r="A143" s="58"/>
      <c r="B143" s="58" t="s">
        <v>191</v>
      </c>
      <c r="C143" s="99">
        <v>0.85928705440900566</v>
      </c>
      <c r="D143" s="59"/>
      <c r="E143" s="60"/>
      <c r="F143" s="100" t="s">
        <v>191</v>
      </c>
      <c r="G143" s="101">
        <v>3.8416666666666668</v>
      </c>
      <c r="H143" s="60"/>
      <c r="I143" s="60"/>
      <c r="J143" s="82" t="s">
        <v>173</v>
      </c>
      <c r="K143" s="102">
        <v>0.68769251062874681</v>
      </c>
      <c r="L143" s="60"/>
      <c r="M143" s="60"/>
      <c r="N143" s="60"/>
      <c r="O143" s="61"/>
      <c r="P143" s="60"/>
      <c r="Q143" s="60"/>
      <c r="R143" s="60"/>
      <c r="S143" s="60"/>
      <c r="T143" s="60"/>
      <c r="U143" s="62"/>
      <c r="V143" s="62"/>
      <c r="W143" s="62"/>
      <c r="X143" s="62"/>
      <c r="Y143" s="63"/>
      <c r="Z143" s="62"/>
      <c r="AA143" s="62"/>
      <c r="AB143" s="64"/>
      <c r="AC143" s="62"/>
      <c r="AD143" s="62"/>
      <c r="AE143" s="62"/>
      <c r="AF143" s="63"/>
      <c r="AG143" s="64"/>
      <c r="AH143" s="63"/>
      <c r="AI143" s="62"/>
    </row>
    <row r="144" spans="1:35" ht="18" customHeight="1">
      <c r="A144" s="58"/>
      <c r="B144" s="58" t="s">
        <v>187</v>
      </c>
      <c r="C144" s="99">
        <v>1.1821596244131456</v>
      </c>
      <c r="D144" s="59"/>
      <c r="E144" s="60"/>
      <c r="F144" s="100" t="s">
        <v>173</v>
      </c>
      <c r="G144" s="101">
        <v>2.8693982074263764</v>
      </c>
      <c r="H144" s="60"/>
      <c r="I144" s="60"/>
      <c r="J144" s="82" t="s">
        <v>186</v>
      </c>
      <c r="K144" s="102">
        <v>0.74201284429039349</v>
      </c>
      <c r="L144" s="60"/>
      <c r="M144" s="60"/>
      <c r="N144" s="60"/>
      <c r="O144" s="61"/>
      <c r="P144" s="60"/>
      <c r="Q144" s="60"/>
      <c r="R144" s="60"/>
      <c r="S144" s="60"/>
      <c r="T144" s="60"/>
      <c r="U144" s="62"/>
      <c r="V144" s="62"/>
      <c r="W144" s="62"/>
      <c r="X144" s="62"/>
      <c r="Y144" s="63"/>
      <c r="Z144" s="62"/>
      <c r="AA144" s="62"/>
      <c r="AB144" s="64"/>
      <c r="AC144" s="62"/>
      <c r="AD144" s="62"/>
      <c r="AE144" s="62"/>
      <c r="AF144" s="63"/>
      <c r="AG144" s="64"/>
      <c r="AH144" s="63"/>
      <c r="AI144" s="62"/>
    </row>
    <row r="145" spans="1:35" ht="18" customHeight="1">
      <c r="A145" s="58"/>
      <c r="B145" s="58" t="s">
        <v>186</v>
      </c>
      <c r="C145" s="99">
        <v>1.9032639390556247</v>
      </c>
      <c r="D145" s="59"/>
      <c r="E145" s="60"/>
      <c r="F145" s="100" t="s">
        <v>186</v>
      </c>
      <c r="G145" s="101">
        <v>2.126984126984127</v>
      </c>
      <c r="H145" s="60"/>
      <c r="I145" s="60"/>
      <c r="J145" s="82" t="s">
        <v>187</v>
      </c>
      <c r="K145" s="102">
        <v>0.75482980680772771</v>
      </c>
      <c r="L145" s="60"/>
      <c r="M145" s="60"/>
      <c r="N145" s="60"/>
      <c r="O145" s="61"/>
      <c r="P145" s="60"/>
      <c r="Q145" s="60"/>
      <c r="R145" s="60"/>
      <c r="S145" s="60"/>
      <c r="T145" s="60"/>
      <c r="U145" s="62"/>
      <c r="V145" s="62"/>
      <c r="W145" s="62"/>
      <c r="X145" s="62"/>
      <c r="Y145" s="63"/>
      <c r="Z145" s="62"/>
      <c r="AA145" s="62"/>
      <c r="AB145" s="64"/>
      <c r="AC145" s="62"/>
      <c r="AD145" s="62"/>
      <c r="AE145" s="62"/>
      <c r="AF145" s="63"/>
      <c r="AG145" s="64"/>
      <c r="AH145" s="63"/>
      <c r="AI145" s="62"/>
    </row>
    <row r="146" spans="1:35" ht="18" customHeight="1" thickBot="1">
      <c r="A146" s="58"/>
      <c r="B146" s="58" t="s">
        <v>175</v>
      </c>
      <c r="C146" s="99">
        <v>10.776849143334726</v>
      </c>
      <c r="D146" s="59"/>
      <c r="E146" s="60"/>
      <c r="F146" s="103" t="s">
        <v>187</v>
      </c>
      <c r="G146" s="104">
        <v>1.1052631578947369</v>
      </c>
      <c r="H146" s="60"/>
      <c r="I146" s="60"/>
      <c r="J146" s="85" t="s">
        <v>175</v>
      </c>
      <c r="K146" s="105">
        <v>0.9442100109574989</v>
      </c>
      <c r="L146" s="60"/>
      <c r="M146" s="60"/>
      <c r="N146" s="60"/>
      <c r="O146" s="61"/>
      <c r="P146" s="60"/>
      <c r="Q146" s="60"/>
      <c r="R146" s="60"/>
      <c r="S146" s="60"/>
      <c r="T146" s="60"/>
      <c r="U146" s="62"/>
      <c r="V146" s="62"/>
      <c r="W146" s="62"/>
      <c r="X146" s="62"/>
      <c r="Y146" s="63"/>
      <c r="Z146" s="62"/>
      <c r="AA146" s="62"/>
      <c r="AB146" s="64"/>
      <c r="AC146" s="62"/>
      <c r="AD146" s="62"/>
      <c r="AE146" s="62"/>
      <c r="AF146" s="63"/>
      <c r="AG146" s="64"/>
      <c r="AH146" s="63"/>
      <c r="AI146" s="62"/>
    </row>
    <row r="147" spans="1:35" ht="18" customHeight="1" thickTop="1" thickBot="1">
      <c r="A147" s="58"/>
      <c r="B147" s="58"/>
      <c r="C147" s="59"/>
      <c r="D147" s="59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/>
      <c r="P147" s="60"/>
      <c r="Q147" s="60"/>
      <c r="R147" s="60"/>
      <c r="S147" s="60"/>
      <c r="T147" s="60"/>
      <c r="U147" s="62"/>
      <c r="V147" s="62"/>
      <c r="W147" s="62"/>
      <c r="X147" s="62"/>
      <c r="Y147" s="63"/>
      <c r="Z147" s="62"/>
      <c r="AA147" s="62"/>
      <c r="AB147" s="64"/>
      <c r="AC147" s="62"/>
      <c r="AD147" s="62"/>
      <c r="AE147" s="62"/>
      <c r="AF147" s="63"/>
      <c r="AG147" s="64"/>
      <c r="AH147" s="63"/>
      <c r="AI147" s="62"/>
    </row>
    <row r="148" spans="1:35" ht="18" customHeight="1" thickTop="1">
      <c r="A148" s="58"/>
      <c r="B148" s="76" t="s">
        <v>146</v>
      </c>
      <c r="C148" s="76">
        <v>0.52</v>
      </c>
      <c r="D148" s="59"/>
      <c r="E148" s="60"/>
      <c r="F148" s="76" t="s">
        <v>146</v>
      </c>
      <c r="G148" s="76">
        <v>8.1</v>
      </c>
      <c r="H148" s="60"/>
      <c r="I148" s="60"/>
      <c r="J148" s="76" t="s">
        <v>146</v>
      </c>
      <c r="K148" s="76">
        <v>0.56999999999999995</v>
      </c>
      <c r="L148" s="60"/>
      <c r="M148" s="60"/>
      <c r="N148" s="60"/>
      <c r="O148" s="61"/>
      <c r="P148" s="60"/>
      <c r="Q148" s="60"/>
      <c r="R148" s="60"/>
      <c r="S148" s="60"/>
      <c r="T148" s="60"/>
      <c r="U148" s="62"/>
      <c r="V148" s="62"/>
      <c r="W148" s="62"/>
      <c r="X148" s="62"/>
      <c r="Y148" s="63"/>
      <c r="Z148" s="62"/>
      <c r="AA148" s="62"/>
      <c r="AB148" s="64"/>
      <c r="AC148" s="62"/>
      <c r="AD148" s="62"/>
      <c r="AE148" s="62"/>
      <c r="AF148" s="63"/>
      <c r="AG148" s="64"/>
      <c r="AH148" s="63"/>
      <c r="AI148" s="62"/>
    </row>
    <row r="149" spans="1:35" ht="18" customHeight="1">
      <c r="A149" s="58"/>
      <c r="B149" s="58"/>
      <c r="C149" s="59"/>
      <c r="D149" s="59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/>
      <c r="P149" s="60"/>
      <c r="Q149" s="60"/>
      <c r="R149" s="60"/>
      <c r="S149" s="60"/>
      <c r="T149" s="60"/>
      <c r="U149" s="62"/>
      <c r="V149" s="62"/>
      <c r="W149" s="62"/>
      <c r="X149" s="62"/>
      <c r="Y149" s="63"/>
      <c r="Z149" s="62"/>
      <c r="AA149" s="62"/>
      <c r="AB149" s="64"/>
      <c r="AC149" s="62"/>
      <c r="AD149" s="62"/>
      <c r="AE149" s="62"/>
      <c r="AF149" s="63"/>
      <c r="AG149" s="64"/>
      <c r="AH149" s="63"/>
      <c r="AI149" s="62"/>
    </row>
    <row r="150" spans="1:35" ht="18" customHeight="1">
      <c r="A150" s="58"/>
      <c r="B150" s="58"/>
      <c r="C150" s="59"/>
      <c r="D150" s="59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/>
      <c r="P150" s="60"/>
      <c r="Q150" s="60"/>
      <c r="R150" s="60"/>
      <c r="S150" s="60"/>
      <c r="T150" s="60"/>
      <c r="U150" s="62"/>
      <c r="V150" s="62"/>
      <c r="W150" s="62"/>
      <c r="X150" s="62"/>
      <c r="Y150" s="63"/>
      <c r="Z150" s="62"/>
      <c r="AA150" s="62"/>
      <c r="AB150" s="64"/>
      <c r="AC150" s="62"/>
      <c r="AD150" s="62"/>
      <c r="AE150" s="62"/>
      <c r="AF150" s="63"/>
      <c r="AG150" s="64"/>
      <c r="AH150" s="63"/>
      <c r="AI150" s="62"/>
    </row>
    <row r="151" spans="1:35" ht="18" customHeight="1">
      <c r="A151" s="58"/>
      <c r="B151" s="58"/>
      <c r="C151" s="59"/>
      <c r="D151" s="59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/>
      <c r="P151" s="60"/>
      <c r="Q151" s="60"/>
      <c r="R151" s="60"/>
      <c r="S151" s="60"/>
      <c r="T151" s="60"/>
      <c r="U151" s="62"/>
      <c r="V151" s="62"/>
      <c r="W151" s="62"/>
      <c r="X151" s="62"/>
      <c r="Y151" s="63"/>
      <c r="Z151" s="62"/>
      <c r="AA151" s="62"/>
      <c r="AB151" s="64"/>
      <c r="AC151" s="62"/>
      <c r="AD151" s="62"/>
      <c r="AE151" s="62"/>
      <c r="AF151" s="63"/>
      <c r="AG151" s="64"/>
      <c r="AH151" s="63"/>
      <c r="AI151" s="62"/>
    </row>
    <row r="152" spans="1:35" ht="18" customHeight="1">
      <c r="A152" s="58"/>
      <c r="B152" s="58"/>
      <c r="C152" s="59"/>
      <c r="D152" s="59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/>
      <c r="P152" s="60"/>
      <c r="Q152" s="60"/>
      <c r="R152" s="60"/>
      <c r="S152" s="60"/>
      <c r="T152" s="60"/>
      <c r="U152" s="62"/>
      <c r="V152" s="62"/>
      <c r="W152" s="62"/>
      <c r="X152" s="62"/>
      <c r="Y152" s="63"/>
      <c r="Z152" s="62"/>
      <c r="AA152" s="62"/>
      <c r="AB152" s="64"/>
      <c r="AC152" s="62"/>
      <c r="AD152" s="62"/>
      <c r="AE152" s="62"/>
      <c r="AF152" s="63"/>
      <c r="AG152" s="64"/>
      <c r="AH152" s="63"/>
      <c r="AI152" s="62"/>
    </row>
    <row r="153" spans="1:35" ht="18" customHeight="1">
      <c r="A153" s="58"/>
      <c r="B153" s="58"/>
      <c r="C153" s="59"/>
      <c r="D153" s="59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/>
      <c r="P153" s="60"/>
      <c r="Q153" s="60"/>
      <c r="R153" s="60"/>
      <c r="S153" s="60"/>
      <c r="T153" s="60"/>
      <c r="U153" s="62"/>
      <c r="V153" s="62"/>
      <c r="W153" s="62"/>
      <c r="X153" s="62"/>
      <c r="Y153" s="63"/>
      <c r="Z153" s="62"/>
      <c r="AA153" s="62"/>
      <c r="AB153" s="64"/>
      <c r="AC153" s="62"/>
      <c r="AD153" s="62"/>
      <c r="AE153" s="62"/>
      <c r="AF153" s="63"/>
      <c r="AG153" s="64"/>
      <c r="AH153" s="63"/>
      <c r="AI153" s="62"/>
    </row>
    <row r="154" spans="1:35" ht="18" customHeight="1">
      <c r="A154" s="58"/>
      <c r="B154" s="58"/>
      <c r="C154" s="59"/>
      <c r="D154" s="59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/>
      <c r="P154" s="60"/>
      <c r="Q154" s="60"/>
      <c r="R154" s="60"/>
      <c r="S154" s="60"/>
      <c r="T154" s="60"/>
      <c r="U154" s="62"/>
      <c r="V154" s="62"/>
      <c r="W154" s="62"/>
      <c r="X154" s="62"/>
      <c r="Y154" s="63"/>
      <c r="Z154" s="62"/>
      <c r="AA154" s="62"/>
      <c r="AB154" s="64"/>
      <c r="AC154" s="62"/>
      <c r="AD154" s="62"/>
      <c r="AE154" s="62"/>
      <c r="AF154" s="63"/>
      <c r="AG154" s="64"/>
      <c r="AH154" s="63"/>
      <c r="AI154" s="62"/>
    </row>
    <row r="155" spans="1:35" ht="18" customHeight="1">
      <c r="A155" s="58"/>
      <c r="B155" s="58"/>
      <c r="C155" s="59"/>
      <c r="D155" s="59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/>
      <c r="P155" s="60"/>
      <c r="Q155" s="60"/>
      <c r="R155" s="60"/>
      <c r="S155" s="60"/>
      <c r="T155" s="60"/>
      <c r="U155" s="62"/>
      <c r="V155" s="62"/>
      <c r="W155" s="62"/>
      <c r="X155" s="62"/>
      <c r="Y155" s="63"/>
      <c r="Z155" s="62"/>
      <c r="AA155" s="62"/>
      <c r="AB155" s="64"/>
      <c r="AC155" s="62"/>
      <c r="AD155" s="62"/>
      <c r="AE155" s="62"/>
      <c r="AF155" s="63"/>
      <c r="AG155" s="64"/>
      <c r="AH155" s="63"/>
      <c r="AI155" s="62"/>
    </row>
    <row r="156" spans="1:35" ht="18" customHeight="1">
      <c r="A156" s="58"/>
      <c r="B156" s="58"/>
      <c r="C156" s="59"/>
      <c r="D156" s="59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/>
      <c r="P156" s="60"/>
      <c r="Q156" s="60"/>
      <c r="R156" s="60"/>
      <c r="S156" s="60"/>
      <c r="T156" s="60"/>
      <c r="U156" s="62"/>
      <c r="V156" s="62"/>
      <c r="W156" s="62"/>
      <c r="X156" s="62"/>
      <c r="Y156" s="63"/>
      <c r="Z156" s="62"/>
      <c r="AA156" s="62"/>
      <c r="AB156" s="64"/>
      <c r="AC156" s="62"/>
      <c r="AD156" s="62"/>
      <c r="AE156" s="62"/>
      <c r="AF156" s="63"/>
      <c r="AG156" s="64"/>
      <c r="AH156" s="63"/>
      <c r="AI156" s="62"/>
    </row>
    <row r="157" spans="1:35" ht="18" customHeight="1">
      <c r="A157" s="58"/>
      <c r="B157" s="58"/>
      <c r="C157" s="59"/>
      <c r="D157" s="59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/>
      <c r="P157" s="60"/>
      <c r="Q157" s="60"/>
      <c r="R157" s="60"/>
      <c r="S157" s="60"/>
      <c r="T157" s="60"/>
      <c r="U157" s="62"/>
      <c r="V157" s="62"/>
      <c r="W157" s="62"/>
      <c r="X157" s="62"/>
      <c r="Y157" s="63"/>
      <c r="Z157" s="62"/>
      <c r="AA157" s="62"/>
      <c r="AB157" s="64"/>
      <c r="AC157" s="62"/>
      <c r="AD157" s="62"/>
      <c r="AE157" s="62"/>
      <c r="AF157" s="63"/>
      <c r="AG157" s="64"/>
      <c r="AH157" s="63"/>
      <c r="AI157" s="62"/>
    </row>
    <row r="158" spans="1:35" ht="18" customHeight="1">
      <c r="A158" s="58"/>
      <c r="B158" s="58"/>
      <c r="C158" s="59"/>
      <c r="D158" s="59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/>
      <c r="P158" s="60"/>
      <c r="Q158" s="60"/>
      <c r="R158" s="60"/>
      <c r="S158" s="60"/>
      <c r="T158" s="60"/>
      <c r="U158" s="62"/>
      <c r="V158" s="62"/>
      <c r="W158" s="62"/>
      <c r="X158" s="62"/>
      <c r="Y158" s="63"/>
      <c r="Z158" s="62"/>
      <c r="AA158" s="62"/>
      <c r="AB158" s="64"/>
      <c r="AC158" s="62"/>
      <c r="AD158" s="62"/>
      <c r="AE158" s="62"/>
      <c r="AF158" s="63"/>
      <c r="AG158" s="64"/>
      <c r="AH158" s="63"/>
      <c r="AI158" s="62"/>
    </row>
    <row r="159" spans="1:35" ht="18" customHeight="1">
      <c r="A159" s="58"/>
      <c r="B159" s="58"/>
      <c r="C159" s="59"/>
      <c r="D159" s="59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Q159" s="60"/>
      <c r="R159" s="60"/>
      <c r="S159" s="60"/>
      <c r="T159" s="60"/>
      <c r="U159" s="62"/>
      <c r="V159" s="62"/>
      <c r="W159" s="62"/>
      <c r="X159" s="62"/>
      <c r="Y159" s="63"/>
      <c r="Z159" s="62"/>
      <c r="AA159" s="62"/>
      <c r="AB159" s="64"/>
      <c r="AC159" s="62"/>
      <c r="AD159" s="62"/>
      <c r="AE159" s="62"/>
      <c r="AF159" s="63"/>
      <c r="AG159" s="64"/>
      <c r="AH159" s="63"/>
      <c r="AI159" s="62"/>
    </row>
    <row r="160" spans="1:35" ht="18" customHeight="1">
      <c r="A160" s="58"/>
      <c r="B160" s="58"/>
      <c r="C160" s="59"/>
      <c r="D160" s="59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/>
      <c r="P160" s="60"/>
      <c r="Q160" s="60"/>
      <c r="R160" s="60"/>
      <c r="S160" s="60"/>
      <c r="T160" s="60"/>
      <c r="U160" s="62"/>
      <c r="V160" s="62"/>
      <c r="W160" s="62"/>
      <c r="X160" s="62"/>
      <c r="Y160" s="63"/>
      <c r="Z160" s="62"/>
      <c r="AA160" s="62"/>
      <c r="AB160" s="64"/>
      <c r="AC160" s="62"/>
      <c r="AD160" s="62"/>
      <c r="AE160" s="62"/>
      <c r="AF160" s="63"/>
      <c r="AG160" s="64"/>
      <c r="AH160" s="63"/>
      <c r="AI160" s="62"/>
    </row>
    <row r="161" spans="1:35" ht="18" customHeight="1">
      <c r="A161" s="58"/>
      <c r="B161" s="58"/>
      <c r="C161" s="59"/>
      <c r="D161" s="59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/>
      <c r="P161" s="60"/>
      <c r="Q161" s="60"/>
      <c r="R161" s="60"/>
      <c r="S161" s="60"/>
      <c r="T161" s="60"/>
      <c r="U161" s="62"/>
      <c r="V161" s="62"/>
      <c r="W161" s="62"/>
      <c r="X161" s="62"/>
      <c r="Y161" s="63"/>
      <c r="Z161" s="62"/>
      <c r="AA161" s="62"/>
      <c r="AB161" s="64"/>
      <c r="AC161" s="62"/>
      <c r="AD161" s="62"/>
      <c r="AE161" s="62"/>
      <c r="AF161" s="63"/>
      <c r="AG161" s="64"/>
      <c r="AH161" s="63"/>
      <c r="AI161" s="62"/>
    </row>
    <row r="162" spans="1:35" ht="18" customHeight="1">
      <c r="A162" s="58"/>
      <c r="B162" s="58"/>
      <c r="C162" s="59"/>
      <c r="D162" s="59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/>
      <c r="P162" s="60"/>
      <c r="Q162" s="60"/>
      <c r="R162" s="60"/>
      <c r="S162" s="60"/>
      <c r="T162" s="60"/>
      <c r="U162" s="62"/>
      <c r="V162" s="62"/>
      <c r="W162" s="62"/>
      <c r="X162" s="62"/>
      <c r="Y162" s="63"/>
      <c r="Z162" s="62"/>
      <c r="AA162" s="62"/>
      <c r="AB162" s="64"/>
      <c r="AC162" s="62"/>
      <c r="AD162" s="62"/>
      <c r="AE162" s="62"/>
      <c r="AF162" s="63"/>
      <c r="AG162" s="64"/>
      <c r="AH162" s="63"/>
      <c r="AI162" s="62"/>
    </row>
    <row r="163" spans="1:35" ht="18" customHeight="1">
      <c r="A163" s="58"/>
      <c r="B163" s="58"/>
      <c r="C163" s="59"/>
      <c r="D163" s="59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/>
      <c r="P163" s="60"/>
      <c r="Q163" s="60"/>
      <c r="R163" s="60"/>
      <c r="S163" s="60"/>
      <c r="T163" s="60"/>
      <c r="U163" s="62"/>
      <c r="V163" s="62"/>
      <c r="W163" s="62"/>
      <c r="X163" s="62"/>
      <c r="Y163" s="63"/>
      <c r="Z163" s="62"/>
      <c r="AA163" s="62"/>
      <c r="AB163" s="64"/>
      <c r="AC163" s="62"/>
      <c r="AD163" s="62"/>
      <c r="AE163" s="62"/>
      <c r="AF163" s="63"/>
      <c r="AG163" s="64"/>
      <c r="AH163" s="63"/>
      <c r="AI163" s="62"/>
    </row>
    <row r="164" spans="1:35" ht="18" customHeight="1">
      <c r="A164" s="58"/>
      <c r="B164" s="58"/>
      <c r="C164" s="59"/>
      <c r="D164" s="59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/>
      <c r="P164" s="60"/>
      <c r="Q164" s="60"/>
      <c r="R164" s="60"/>
      <c r="S164" s="60"/>
      <c r="T164" s="60"/>
      <c r="U164" s="62"/>
      <c r="V164" s="62"/>
      <c r="W164" s="62"/>
      <c r="X164" s="62"/>
      <c r="Y164" s="63"/>
      <c r="Z164" s="62"/>
      <c r="AA164" s="62"/>
      <c r="AB164" s="64"/>
      <c r="AC164" s="62"/>
      <c r="AD164" s="62"/>
      <c r="AE164" s="62"/>
      <c r="AF164" s="63"/>
      <c r="AG164" s="64"/>
      <c r="AH164" s="63"/>
      <c r="AI164" s="62"/>
    </row>
    <row r="165" spans="1:35" ht="18" customHeight="1">
      <c r="A165" s="58"/>
      <c r="B165" s="58"/>
      <c r="C165" s="59"/>
      <c r="D165" s="59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/>
      <c r="P165" s="60"/>
      <c r="Q165" s="60"/>
      <c r="R165" s="60"/>
      <c r="S165" s="60"/>
      <c r="T165" s="60"/>
      <c r="U165" s="62"/>
      <c r="V165" s="62"/>
      <c r="W165" s="62"/>
      <c r="X165" s="62"/>
      <c r="Y165" s="63"/>
      <c r="Z165" s="62"/>
      <c r="AA165" s="62"/>
      <c r="AB165" s="64"/>
      <c r="AC165" s="62"/>
      <c r="AD165" s="62"/>
      <c r="AE165" s="62"/>
      <c r="AF165" s="63"/>
      <c r="AG165" s="64"/>
      <c r="AH165" s="63"/>
      <c r="AI165" s="62"/>
    </row>
    <row r="166" spans="1:35" ht="18" customHeight="1">
      <c r="A166" s="58"/>
      <c r="B166" s="58"/>
      <c r="C166" s="59"/>
      <c r="D166" s="59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/>
      <c r="P166" s="60"/>
      <c r="Q166" s="60"/>
      <c r="R166" s="60"/>
      <c r="S166" s="60"/>
      <c r="T166" s="60"/>
      <c r="U166" s="62"/>
      <c r="V166" s="62"/>
      <c r="W166" s="62"/>
      <c r="X166" s="62"/>
      <c r="Y166" s="63"/>
      <c r="Z166" s="62"/>
      <c r="AA166" s="62"/>
      <c r="AB166" s="64"/>
      <c r="AC166" s="62"/>
      <c r="AD166" s="62"/>
      <c r="AE166" s="62"/>
      <c r="AF166" s="63"/>
      <c r="AG166" s="64"/>
      <c r="AH166" s="63"/>
      <c r="AI166" s="62"/>
    </row>
    <row r="167" spans="1:35" ht="18" customHeight="1">
      <c r="A167" s="58"/>
      <c r="B167" s="58"/>
      <c r="C167" s="59"/>
      <c r="D167" s="59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/>
      <c r="P167" s="60"/>
      <c r="Q167" s="60"/>
      <c r="R167" s="60"/>
      <c r="S167" s="60"/>
      <c r="T167" s="60"/>
      <c r="U167" s="62"/>
      <c r="V167" s="62"/>
      <c r="W167" s="62"/>
      <c r="X167" s="62"/>
      <c r="Y167" s="63"/>
      <c r="Z167" s="62"/>
      <c r="AA167" s="62"/>
      <c r="AB167" s="64"/>
      <c r="AC167" s="62"/>
      <c r="AD167" s="62"/>
      <c r="AE167" s="62"/>
      <c r="AF167" s="63"/>
      <c r="AG167" s="64"/>
      <c r="AH167" s="63"/>
      <c r="AI167" s="62"/>
    </row>
    <row r="168" spans="1:35" ht="18" customHeight="1">
      <c r="A168" s="58"/>
      <c r="B168" s="58"/>
      <c r="C168" s="59"/>
      <c r="D168" s="59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/>
      <c r="P168" s="60"/>
      <c r="Q168" s="60"/>
      <c r="R168" s="60"/>
      <c r="S168" s="60"/>
      <c r="T168" s="60"/>
      <c r="U168" s="62"/>
      <c r="V168" s="62"/>
      <c r="W168" s="62"/>
      <c r="X168" s="62"/>
      <c r="Y168" s="63"/>
      <c r="Z168" s="62"/>
      <c r="AA168" s="62"/>
      <c r="AB168" s="64"/>
      <c r="AC168" s="62"/>
      <c r="AD168" s="62"/>
      <c r="AE168" s="62"/>
      <c r="AF168" s="63"/>
      <c r="AG168" s="64"/>
      <c r="AH168" s="63"/>
      <c r="AI168" s="62"/>
    </row>
    <row r="169" spans="1:35" ht="18" customHeight="1">
      <c r="A169" s="58"/>
      <c r="B169" s="58"/>
      <c r="C169" s="59"/>
      <c r="D169" s="59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/>
      <c r="P169" s="60"/>
      <c r="Q169" s="60"/>
      <c r="R169" s="60"/>
      <c r="S169" s="60"/>
      <c r="T169" s="60"/>
      <c r="U169" s="62"/>
      <c r="V169" s="62"/>
      <c r="W169" s="62"/>
      <c r="X169" s="62"/>
      <c r="Y169" s="63"/>
      <c r="Z169" s="62"/>
      <c r="AA169" s="62"/>
      <c r="AB169" s="64"/>
      <c r="AC169" s="62"/>
      <c r="AD169" s="62"/>
      <c r="AE169" s="62"/>
      <c r="AF169" s="63"/>
      <c r="AG169" s="64"/>
      <c r="AH169" s="63"/>
      <c r="AI169" s="62"/>
    </row>
    <row r="170" spans="1:35" ht="18" customHeight="1">
      <c r="A170" s="58"/>
      <c r="B170" s="58"/>
      <c r="C170" s="59"/>
      <c r="D170" s="59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/>
      <c r="P170" s="60"/>
      <c r="Q170" s="60"/>
      <c r="R170" s="60"/>
      <c r="S170" s="60"/>
      <c r="T170" s="60"/>
      <c r="U170" s="62"/>
      <c r="V170" s="62"/>
      <c r="W170" s="62"/>
      <c r="X170" s="62"/>
      <c r="Y170" s="63"/>
      <c r="Z170" s="62"/>
      <c r="AA170" s="62"/>
      <c r="AB170" s="64"/>
      <c r="AC170" s="62"/>
      <c r="AD170" s="62"/>
      <c r="AE170" s="62"/>
      <c r="AF170" s="63"/>
      <c r="AG170" s="64"/>
      <c r="AH170" s="63"/>
      <c r="AI170" s="62"/>
    </row>
    <row r="171" spans="1:35" ht="18" customHeight="1">
      <c r="A171" s="58"/>
      <c r="B171" s="58"/>
      <c r="C171" s="59"/>
      <c r="D171" s="59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/>
      <c r="P171" s="60"/>
      <c r="Q171" s="60"/>
      <c r="R171" s="60"/>
      <c r="S171" s="60"/>
      <c r="T171" s="60"/>
      <c r="U171" s="62"/>
      <c r="V171" s="62"/>
      <c r="W171" s="62"/>
      <c r="X171" s="62"/>
      <c r="Y171" s="63"/>
      <c r="Z171" s="62"/>
      <c r="AA171" s="62"/>
      <c r="AB171" s="64"/>
      <c r="AC171" s="62"/>
      <c r="AD171" s="62"/>
      <c r="AE171" s="62"/>
      <c r="AF171" s="63"/>
      <c r="AG171" s="64"/>
      <c r="AH171" s="63"/>
      <c r="AI171" s="62"/>
    </row>
    <row r="172" spans="1:35" ht="18" customHeight="1">
      <c r="A172" s="58"/>
      <c r="B172" s="66" t="s">
        <v>30</v>
      </c>
      <c r="C172" s="59"/>
      <c r="D172" s="59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/>
      <c r="P172" s="60"/>
      <c r="Q172" s="60"/>
      <c r="R172" s="60"/>
      <c r="S172" s="60"/>
      <c r="T172" s="60"/>
      <c r="U172" s="62"/>
      <c r="V172" s="62"/>
      <c r="W172" s="62"/>
      <c r="X172" s="62"/>
      <c r="Y172" s="63"/>
      <c r="Z172" s="62"/>
      <c r="AA172" s="62"/>
      <c r="AB172" s="64"/>
      <c r="AC172" s="62"/>
      <c r="AD172" s="62"/>
      <c r="AE172" s="62"/>
      <c r="AF172" s="63"/>
      <c r="AG172" s="64"/>
      <c r="AH172" s="63"/>
      <c r="AI172" s="62"/>
    </row>
    <row r="173" spans="1:35" ht="18" customHeight="1">
      <c r="A173" s="58"/>
      <c r="B173" s="68" t="s">
        <v>196</v>
      </c>
      <c r="C173" s="68" t="s">
        <v>39</v>
      </c>
      <c r="D173" s="68" t="s">
        <v>40</v>
      </c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/>
      <c r="P173" s="60"/>
      <c r="Q173" s="60"/>
      <c r="R173" s="60"/>
      <c r="S173" s="60"/>
      <c r="T173" s="60"/>
      <c r="U173" s="62"/>
      <c r="V173" s="62"/>
      <c r="W173" s="62"/>
      <c r="X173" s="62"/>
      <c r="Y173" s="63"/>
      <c r="Z173" s="62"/>
      <c r="AA173" s="62"/>
      <c r="AB173" s="64"/>
      <c r="AC173" s="62"/>
      <c r="AD173" s="62"/>
      <c r="AE173" s="62"/>
      <c r="AF173" s="63"/>
      <c r="AG173" s="64"/>
      <c r="AH173" s="63"/>
      <c r="AI173" s="62"/>
    </row>
    <row r="174" spans="1:35" ht="18" customHeight="1">
      <c r="A174" s="58"/>
      <c r="B174" s="58" t="s">
        <v>181</v>
      </c>
      <c r="C174" s="93">
        <v>0.36988090898043502</v>
      </c>
      <c r="D174" s="93">
        <v>0.17013397613932121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/>
      <c r="P174" s="60"/>
      <c r="Q174" s="60"/>
      <c r="R174" s="60"/>
      <c r="S174" s="60"/>
      <c r="T174" s="60"/>
      <c r="U174" s="62"/>
      <c r="V174" s="62"/>
      <c r="W174" s="62"/>
      <c r="X174" s="62"/>
      <c r="Y174" s="63"/>
      <c r="Z174" s="62"/>
      <c r="AA174" s="62"/>
      <c r="AB174" s="64"/>
      <c r="AC174" s="62"/>
      <c r="AD174" s="62"/>
      <c r="AE174" s="62"/>
      <c r="AF174" s="63"/>
      <c r="AG174" s="64"/>
      <c r="AH174" s="63"/>
      <c r="AI174" s="62"/>
    </row>
    <row r="175" spans="1:35" ht="18" customHeight="1">
      <c r="A175" s="58"/>
      <c r="B175" s="58" t="s">
        <v>178</v>
      </c>
      <c r="C175" s="93">
        <v>0.18293444328824141</v>
      </c>
      <c r="D175" s="93">
        <v>0.14025849688846337</v>
      </c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/>
      <c r="P175" s="60"/>
      <c r="Q175" s="60"/>
      <c r="R175" s="60"/>
      <c r="S175" s="60"/>
      <c r="T175" s="60"/>
      <c r="U175" s="62"/>
      <c r="V175" s="62"/>
      <c r="W175" s="62"/>
      <c r="X175" s="62"/>
      <c r="Y175" s="63"/>
      <c r="Z175" s="62"/>
      <c r="AA175" s="62"/>
      <c r="AB175" s="64"/>
      <c r="AC175" s="62"/>
      <c r="AD175" s="62"/>
      <c r="AE175" s="62"/>
      <c r="AF175" s="63"/>
      <c r="AG175" s="64"/>
      <c r="AH175" s="63"/>
      <c r="AI175" s="62"/>
    </row>
    <row r="176" spans="1:35" ht="18" customHeight="1">
      <c r="A176" s="58"/>
      <c r="B176" s="58" t="s">
        <v>179</v>
      </c>
      <c r="C176" s="93">
        <v>0.15850722311396467</v>
      </c>
      <c r="D176" s="93">
        <v>0.11250356023924808</v>
      </c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/>
      <c r="P176" s="60"/>
      <c r="Q176" s="60"/>
      <c r="R176" s="60"/>
      <c r="S176" s="60"/>
      <c r="T176" s="60"/>
      <c r="U176" s="62"/>
      <c r="V176" s="62"/>
      <c r="W176" s="62"/>
      <c r="X176" s="62"/>
      <c r="Y176" s="63"/>
      <c r="Z176" s="62"/>
      <c r="AA176" s="62"/>
      <c r="AB176" s="64"/>
      <c r="AC176" s="62"/>
      <c r="AD176" s="62"/>
      <c r="AE176" s="62"/>
      <c r="AF176" s="63"/>
      <c r="AG176" s="64"/>
      <c r="AH176" s="63"/>
      <c r="AI176" s="62"/>
    </row>
    <row r="177" spans="1:35" ht="18" customHeight="1">
      <c r="A177" s="58"/>
      <c r="B177" s="58" t="s">
        <v>176</v>
      </c>
      <c r="C177" s="93">
        <v>0.22928635702914099</v>
      </c>
      <c r="D177" s="93">
        <v>0.10786160501324459</v>
      </c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/>
      <c r="P177" s="60"/>
      <c r="Q177" s="60"/>
      <c r="R177" s="60"/>
      <c r="S177" s="60"/>
      <c r="T177" s="60"/>
      <c r="U177" s="62"/>
      <c r="V177" s="62"/>
      <c r="W177" s="62"/>
      <c r="X177" s="62"/>
      <c r="Y177" s="63"/>
      <c r="Z177" s="62"/>
      <c r="AA177" s="62"/>
      <c r="AB177" s="64"/>
      <c r="AC177" s="62"/>
      <c r="AD177" s="62"/>
      <c r="AE177" s="62"/>
      <c r="AF177" s="63"/>
      <c r="AG177" s="64"/>
      <c r="AH177" s="63"/>
      <c r="AI177" s="62"/>
    </row>
    <row r="178" spans="1:35" ht="18" customHeight="1">
      <c r="A178" s="58"/>
      <c r="B178" s="58" t="s">
        <v>185</v>
      </c>
      <c r="C178" s="93">
        <v>0.15659254619480112</v>
      </c>
      <c r="D178" s="93">
        <v>0.10651896037494674</v>
      </c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/>
      <c r="P178" s="60"/>
      <c r="Q178" s="60"/>
      <c r="R178" s="60"/>
      <c r="S178" s="60"/>
      <c r="T178" s="60"/>
      <c r="U178" s="62"/>
      <c r="V178" s="62"/>
      <c r="W178" s="62"/>
      <c r="X178" s="62"/>
      <c r="Y178" s="63"/>
      <c r="Z178" s="62"/>
      <c r="AA178" s="62"/>
      <c r="AB178" s="64"/>
      <c r="AC178" s="62"/>
      <c r="AD178" s="62"/>
      <c r="AE178" s="62"/>
      <c r="AF178" s="63"/>
      <c r="AG178" s="64"/>
      <c r="AH178" s="63"/>
      <c r="AI178" s="62"/>
    </row>
    <row r="179" spans="1:35" ht="18" customHeight="1">
      <c r="A179" s="58"/>
      <c r="B179" s="58" t="s">
        <v>182</v>
      </c>
      <c r="C179" s="93">
        <v>0.12277992277992278</v>
      </c>
      <c r="D179" s="93">
        <v>9.8757763975155274E-2</v>
      </c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/>
      <c r="P179" s="60"/>
      <c r="Q179" s="60"/>
      <c r="R179" s="60"/>
      <c r="S179" s="60"/>
      <c r="T179" s="60"/>
      <c r="U179" s="62"/>
      <c r="V179" s="62"/>
      <c r="W179" s="62"/>
      <c r="X179" s="62"/>
      <c r="Y179" s="63"/>
      <c r="Z179" s="62"/>
      <c r="AA179" s="62"/>
      <c r="AB179" s="64"/>
      <c r="AC179" s="62"/>
      <c r="AD179" s="62"/>
      <c r="AE179" s="62"/>
      <c r="AF179" s="63"/>
      <c r="AG179" s="64"/>
      <c r="AH179" s="63"/>
      <c r="AI179" s="62"/>
    </row>
    <row r="180" spans="1:35" ht="18" customHeight="1">
      <c r="A180" s="58"/>
      <c r="B180" s="58" t="s">
        <v>24</v>
      </c>
      <c r="C180" s="93">
        <v>0.12261224143657731</v>
      </c>
      <c r="D180" s="93">
        <v>8.8254518911137614E-2</v>
      </c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/>
      <c r="P180" s="60"/>
      <c r="Q180" s="60"/>
      <c r="R180" s="60"/>
      <c r="S180" s="60"/>
      <c r="T180" s="60"/>
      <c r="U180" s="62"/>
      <c r="V180" s="62"/>
      <c r="W180" s="62"/>
      <c r="X180" s="62"/>
      <c r="Y180" s="63"/>
      <c r="Z180" s="62"/>
      <c r="AA180" s="62"/>
      <c r="AB180" s="64"/>
      <c r="AC180" s="62"/>
      <c r="AD180" s="62"/>
      <c r="AE180" s="62"/>
      <c r="AF180" s="63"/>
      <c r="AG180" s="64"/>
      <c r="AH180" s="63"/>
      <c r="AI180" s="62"/>
    </row>
    <row r="181" spans="1:35" ht="18" customHeight="1">
      <c r="A181" s="58"/>
      <c r="B181" s="58" t="s">
        <v>174</v>
      </c>
      <c r="C181" s="93">
        <v>0.12302512302512303</v>
      </c>
      <c r="D181" s="93">
        <v>8.6300872093023256E-2</v>
      </c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/>
      <c r="P181" s="60"/>
      <c r="Q181" s="60"/>
      <c r="R181" s="60"/>
      <c r="S181" s="60"/>
      <c r="T181" s="60"/>
      <c r="U181" s="62"/>
      <c r="V181" s="62"/>
      <c r="W181" s="62"/>
      <c r="X181" s="62"/>
      <c r="Y181" s="63"/>
      <c r="Z181" s="62"/>
      <c r="AA181" s="62"/>
      <c r="AB181" s="64"/>
      <c r="AC181" s="62"/>
      <c r="AD181" s="62"/>
      <c r="AE181" s="62"/>
      <c r="AF181" s="63"/>
      <c r="AG181" s="64"/>
      <c r="AH181" s="63"/>
      <c r="AI181" s="62"/>
    </row>
    <row r="182" spans="1:35" ht="18" customHeight="1">
      <c r="A182" s="58"/>
      <c r="B182" s="58" t="s">
        <v>189</v>
      </c>
      <c r="C182" s="93">
        <v>0.15130527437400107</v>
      </c>
      <c r="D182" s="93">
        <v>7.877947295423024E-2</v>
      </c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/>
      <c r="P182" s="60"/>
      <c r="Q182" s="60"/>
      <c r="R182" s="60"/>
      <c r="S182" s="60"/>
      <c r="T182" s="60"/>
      <c r="U182" s="62"/>
      <c r="V182" s="62"/>
      <c r="W182" s="62"/>
      <c r="X182" s="62"/>
      <c r="Y182" s="63"/>
      <c r="Z182" s="62"/>
      <c r="AA182" s="62"/>
      <c r="AB182" s="64"/>
      <c r="AC182" s="62"/>
      <c r="AD182" s="62"/>
      <c r="AE182" s="62"/>
      <c r="AF182" s="63"/>
      <c r="AG182" s="64"/>
      <c r="AH182" s="63"/>
      <c r="AI182" s="62"/>
    </row>
    <row r="183" spans="1:35" ht="18" customHeight="1">
      <c r="A183" s="58"/>
      <c r="B183" s="58" t="s">
        <v>180</v>
      </c>
      <c r="C183" s="93">
        <v>0.14773230905599055</v>
      </c>
      <c r="D183" s="93">
        <v>7.7116971021645622E-2</v>
      </c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/>
      <c r="P183" s="60"/>
      <c r="Q183" s="60"/>
      <c r="R183" s="60"/>
      <c r="S183" s="60"/>
      <c r="T183" s="60"/>
      <c r="U183" s="62"/>
      <c r="V183" s="62"/>
      <c r="W183" s="62"/>
      <c r="X183" s="62"/>
      <c r="Y183" s="63"/>
      <c r="Z183" s="62"/>
      <c r="AA183" s="62"/>
      <c r="AB183" s="64"/>
      <c r="AC183" s="62"/>
      <c r="AD183" s="62"/>
      <c r="AE183" s="62"/>
      <c r="AF183" s="63"/>
      <c r="AG183" s="64"/>
      <c r="AH183" s="63"/>
      <c r="AI183" s="62"/>
    </row>
    <row r="184" spans="1:35" ht="18" customHeight="1">
      <c r="A184" s="58"/>
      <c r="B184" s="58" t="s">
        <v>188</v>
      </c>
      <c r="C184" s="93">
        <v>0.16309204647006256</v>
      </c>
      <c r="D184" s="93">
        <v>7.4081591231987015E-2</v>
      </c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/>
      <c r="P184" s="60"/>
      <c r="Q184" s="60"/>
      <c r="R184" s="60"/>
      <c r="S184" s="60"/>
      <c r="T184" s="60"/>
      <c r="U184" s="62"/>
      <c r="V184" s="62"/>
      <c r="W184" s="62"/>
      <c r="X184" s="62"/>
      <c r="Y184" s="63"/>
      <c r="Z184" s="62"/>
      <c r="AA184" s="62"/>
      <c r="AB184" s="64"/>
      <c r="AC184" s="62"/>
      <c r="AD184" s="62"/>
      <c r="AE184" s="62"/>
      <c r="AF184" s="63"/>
      <c r="AG184" s="64"/>
      <c r="AH184" s="63"/>
      <c r="AI184" s="62"/>
    </row>
    <row r="185" spans="1:35" ht="18" customHeight="1">
      <c r="A185" s="58"/>
      <c r="B185" s="58" t="s">
        <v>183</v>
      </c>
      <c r="C185" s="93">
        <v>0.10433456763232411</v>
      </c>
      <c r="D185" s="93">
        <v>6.4407691273362919E-2</v>
      </c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/>
      <c r="P185" s="60"/>
      <c r="Q185" s="60"/>
      <c r="R185" s="60"/>
      <c r="S185" s="60"/>
      <c r="T185" s="60"/>
      <c r="U185" s="62"/>
      <c r="V185" s="62"/>
      <c r="W185" s="62"/>
      <c r="X185" s="62"/>
      <c r="Y185" s="63"/>
      <c r="Z185" s="62"/>
      <c r="AA185" s="62"/>
      <c r="AB185" s="64"/>
      <c r="AC185" s="62"/>
      <c r="AD185" s="62"/>
      <c r="AE185" s="62"/>
      <c r="AF185" s="63"/>
      <c r="AG185" s="64"/>
      <c r="AH185" s="63"/>
      <c r="AI185" s="62"/>
    </row>
    <row r="186" spans="1:35" ht="18" customHeight="1">
      <c r="A186" s="58"/>
      <c r="B186" s="58" t="s">
        <v>190</v>
      </c>
      <c r="C186" s="93">
        <v>9.3992248062015504E-2</v>
      </c>
      <c r="D186" s="93">
        <v>6.25E-2</v>
      </c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/>
      <c r="P186" s="60"/>
      <c r="Q186" s="60"/>
      <c r="R186" s="60"/>
      <c r="S186" s="60"/>
      <c r="T186" s="60"/>
      <c r="U186" s="62"/>
      <c r="V186" s="62"/>
      <c r="W186" s="62"/>
      <c r="X186" s="62"/>
      <c r="Y186" s="63"/>
      <c r="Z186" s="62"/>
      <c r="AA186" s="62"/>
      <c r="AB186" s="64"/>
      <c r="AC186" s="62"/>
      <c r="AD186" s="62"/>
      <c r="AE186" s="62"/>
      <c r="AF186" s="63"/>
      <c r="AG186" s="64"/>
      <c r="AH186" s="63"/>
      <c r="AI186" s="62"/>
    </row>
    <row r="187" spans="1:35" ht="18" customHeight="1">
      <c r="A187" s="58"/>
      <c r="B187" s="58" t="s">
        <v>191</v>
      </c>
      <c r="C187" s="93">
        <v>0.15697310819262039</v>
      </c>
      <c r="D187" s="93">
        <v>5.9114460668864811E-2</v>
      </c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/>
      <c r="P187" s="60"/>
      <c r="Q187" s="60"/>
      <c r="R187" s="60"/>
      <c r="S187" s="60"/>
      <c r="T187" s="60"/>
      <c r="U187" s="62"/>
      <c r="V187" s="62"/>
      <c r="W187" s="62"/>
      <c r="X187" s="62"/>
      <c r="Y187" s="63"/>
      <c r="Z187" s="62"/>
      <c r="AA187" s="62"/>
      <c r="AB187" s="64"/>
      <c r="AC187" s="62"/>
      <c r="AD187" s="62"/>
      <c r="AE187" s="62"/>
      <c r="AF187" s="63"/>
      <c r="AG187" s="64"/>
      <c r="AH187" s="63"/>
      <c r="AI187" s="62"/>
    </row>
    <row r="188" spans="1:35" ht="18" customHeight="1">
      <c r="A188" s="58"/>
      <c r="B188" s="58" t="s">
        <v>177</v>
      </c>
      <c r="C188" s="93">
        <v>6.5574555158013137E-2</v>
      </c>
      <c r="D188" s="93">
        <v>4.8188589739230556E-2</v>
      </c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/>
      <c r="P188" s="60"/>
      <c r="Q188" s="60"/>
      <c r="R188" s="60"/>
      <c r="S188" s="60"/>
      <c r="T188" s="60"/>
      <c r="U188" s="62"/>
      <c r="V188" s="62"/>
      <c r="W188" s="62"/>
      <c r="X188" s="62"/>
      <c r="Y188" s="63"/>
      <c r="Z188" s="62"/>
      <c r="AA188" s="62"/>
      <c r="AB188" s="64"/>
      <c r="AC188" s="62"/>
      <c r="AD188" s="62"/>
      <c r="AE188" s="62"/>
      <c r="AF188" s="63"/>
      <c r="AG188" s="64"/>
      <c r="AH188" s="63"/>
      <c r="AI188" s="62"/>
    </row>
    <row r="189" spans="1:35" ht="18" customHeight="1">
      <c r="A189" s="58"/>
      <c r="B189" s="58" t="s">
        <v>175</v>
      </c>
      <c r="C189" s="93">
        <v>0.55704137066443793</v>
      </c>
      <c r="D189" s="93">
        <v>3.1077331965588789E-2</v>
      </c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1"/>
      <c r="P189" s="60"/>
      <c r="Q189" s="60"/>
      <c r="R189" s="60"/>
      <c r="S189" s="60"/>
      <c r="T189" s="60"/>
      <c r="U189" s="62"/>
      <c r="V189" s="62"/>
      <c r="W189" s="62"/>
      <c r="X189" s="62"/>
      <c r="Y189" s="63"/>
      <c r="Z189" s="62"/>
      <c r="AA189" s="62"/>
      <c r="AB189" s="64"/>
      <c r="AC189" s="62"/>
      <c r="AD189" s="62"/>
      <c r="AE189" s="62"/>
      <c r="AF189" s="63"/>
      <c r="AG189" s="64"/>
      <c r="AH189" s="63"/>
      <c r="AI189" s="62"/>
    </row>
    <row r="190" spans="1:35" ht="18" customHeight="1">
      <c r="A190" s="58"/>
      <c r="B190" s="58" t="s">
        <v>186</v>
      </c>
      <c r="C190" s="93">
        <v>0.11727288932253796</v>
      </c>
      <c r="D190" s="93">
        <v>2.9798372293711829E-2</v>
      </c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1"/>
      <c r="P190" s="60"/>
      <c r="Q190" s="60"/>
      <c r="R190" s="60"/>
      <c r="S190" s="60"/>
      <c r="T190" s="60"/>
      <c r="U190" s="62"/>
      <c r="V190" s="62"/>
      <c r="W190" s="62"/>
      <c r="X190" s="62"/>
      <c r="Y190" s="63"/>
      <c r="Z190" s="62"/>
      <c r="AA190" s="62"/>
      <c r="AB190" s="64"/>
      <c r="AC190" s="62"/>
      <c r="AD190" s="62"/>
      <c r="AE190" s="62"/>
      <c r="AF190" s="63"/>
      <c r="AG190" s="64"/>
      <c r="AH190" s="63"/>
      <c r="AI190" s="62"/>
    </row>
    <row r="191" spans="1:35" ht="18" customHeight="1">
      <c r="A191" s="58"/>
      <c r="B191" s="58" t="s">
        <v>173</v>
      </c>
      <c r="C191" s="93">
        <v>6.8307380757782199E-2</v>
      </c>
      <c r="D191" s="93">
        <v>2.1332906589989205E-2</v>
      </c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1"/>
      <c r="P191" s="60"/>
      <c r="Q191" s="60"/>
      <c r="R191" s="60"/>
      <c r="S191" s="60"/>
      <c r="T191" s="60"/>
      <c r="U191" s="62"/>
      <c r="V191" s="62"/>
      <c r="W191" s="62"/>
      <c r="X191" s="62"/>
      <c r="Y191" s="63"/>
      <c r="Z191" s="62"/>
      <c r="AA191" s="62"/>
      <c r="AB191" s="64"/>
      <c r="AC191" s="62"/>
      <c r="AD191" s="62"/>
      <c r="AE191" s="62"/>
      <c r="AF191" s="63"/>
      <c r="AG191" s="64"/>
      <c r="AH191" s="63"/>
      <c r="AI191" s="62"/>
    </row>
    <row r="192" spans="1:35" ht="18" customHeight="1">
      <c r="A192" s="58"/>
      <c r="B192" s="58" t="s">
        <v>184</v>
      </c>
      <c r="C192" s="93">
        <v>-2.4246746300588339E-2</v>
      </c>
      <c r="D192" s="93">
        <v>-1.3931571399303422E-2</v>
      </c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1"/>
      <c r="P192" s="60"/>
      <c r="Q192" s="60"/>
      <c r="R192" s="60"/>
      <c r="S192" s="60"/>
      <c r="T192" s="60"/>
      <c r="U192" s="62"/>
      <c r="V192" s="62"/>
      <c r="W192" s="62"/>
      <c r="X192" s="62"/>
      <c r="Y192" s="63"/>
      <c r="Z192" s="62"/>
      <c r="AA192" s="62"/>
      <c r="AB192" s="64"/>
      <c r="AC192" s="62"/>
      <c r="AD192" s="62"/>
      <c r="AE192" s="62"/>
      <c r="AF192" s="63"/>
      <c r="AG192" s="64"/>
      <c r="AH192" s="63"/>
      <c r="AI192" s="62"/>
    </row>
    <row r="193" spans="1:35" ht="18" customHeight="1" thickBot="1">
      <c r="A193" s="58"/>
      <c r="B193" s="106" t="s">
        <v>187</v>
      </c>
      <c r="C193" s="96">
        <v>-0.7671361502347418</v>
      </c>
      <c r="D193" s="96">
        <v>-0.18790248390064399</v>
      </c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1"/>
      <c r="P193" s="60"/>
      <c r="Q193" s="60"/>
      <c r="R193" s="60"/>
      <c r="S193" s="60"/>
      <c r="T193" s="60"/>
      <c r="U193" s="62"/>
      <c r="V193" s="62"/>
      <c r="W193" s="62"/>
      <c r="X193" s="62"/>
      <c r="Y193" s="63"/>
      <c r="Z193" s="62"/>
      <c r="AA193" s="62"/>
      <c r="AB193" s="64"/>
      <c r="AC193" s="62"/>
      <c r="AD193" s="62"/>
      <c r="AE193" s="62"/>
      <c r="AF193" s="63"/>
      <c r="AG193" s="64"/>
      <c r="AH193" s="63"/>
      <c r="AI193" s="62"/>
    </row>
    <row r="194" spans="1:35" ht="18" customHeight="1" thickTop="1" thickBot="1">
      <c r="A194" s="58"/>
      <c r="B194" s="58"/>
      <c r="C194" s="59"/>
      <c r="D194" s="59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1"/>
      <c r="P194" s="60"/>
      <c r="Q194" s="60"/>
      <c r="R194" s="60"/>
      <c r="S194" s="60"/>
      <c r="T194" s="60"/>
      <c r="U194" s="62"/>
      <c r="V194" s="62"/>
      <c r="W194" s="62"/>
      <c r="X194" s="62"/>
      <c r="Y194" s="63"/>
      <c r="Z194" s="62"/>
      <c r="AA194" s="62"/>
      <c r="AB194" s="64"/>
      <c r="AC194" s="62"/>
      <c r="AD194" s="62"/>
      <c r="AE194" s="62"/>
      <c r="AF194" s="63"/>
      <c r="AG194" s="64"/>
      <c r="AH194" s="63"/>
      <c r="AI194" s="62"/>
    </row>
    <row r="195" spans="1:35" ht="18" customHeight="1" thickTop="1">
      <c r="A195" s="58"/>
      <c r="B195" s="76" t="s">
        <v>146</v>
      </c>
      <c r="C195" s="107">
        <v>0.11600000000000001</v>
      </c>
      <c r="D195" s="107">
        <v>0.05</v>
      </c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1"/>
      <c r="P195" s="60"/>
      <c r="Q195" s="60"/>
      <c r="R195" s="60"/>
      <c r="S195" s="60"/>
      <c r="T195" s="60"/>
      <c r="U195" s="62"/>
      <c r="V195" s="62"/>
      <c r="W195" s="62"/>
      <c r="X195" s="62"/>
      <c r="Y195" s="63"/>
      <c r="Z195" s="62"/>
      <c r="AA195" s="62"/>
      <c r="AB195" s="64"/>
      <c r="AC195" s="62"/>
      <c r="AD195" s="62"/>
      <c r="AE195" s="62"/>
      <c r="AF195" s="63"/>
      <c r="AG195" s="64"/>
      <c r="AH195" s="63"/>
      <c r="AI195" s="62"/>
    </row>
    <row r="196" spans="1:35" ht="18" customHeight="1">
      <c r="A196" s="58"/>
      <c r="B196" s="58"/>
      <c r="C196" s="59"/>
      <c r="D196" s="59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1"/>
      <c r="P196" s="60"/>
      <c r="Q196" s="60"/>
      <c r="R196" s="60"/>
      <c r="S196" s="60"/>
      <c r="T196" s="60"/>
      <c r="U196" s="62"/>
      <c r="V196" s="62"/>
      <c r="W196" s="62"/>
      <c r="X196" s="62"/>
      <c r="Y196" s="63"/>
      <c r="Z196" s="62"/>
      <c r="AA196" s="62"/>
      <c r="AB196" s="64"/>
      <c r="AC196" s="62"/>
      <c r="AD196" s="62"/>
      <c r="AE196" s="62"/>
      <c r="AF196" s="63"/>
      <c r="AG196" s="64"/>
      <c r="AH196" s="63"/>
      <c r="AI196" s="62"/>
    </row>
    <row r="197" spans="1:35" ht="18" customHeight="1">
      <c r="A197" s="58"/>
      <c r="B197" s="66" t="s">
        <v>199</v>
      </c>
      <c r="C197" s="59"/>
      <c r="D197" s="59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1"/>
      <c r="P197" s="60"/>
      <c r="Q197" s="60"/>
      <c r="R197" s="60"/>
      <c r="S197" s="60"/>
      <c r="T197" s="60"/>
      <c r="U197" s="62"/>
      <c r="V197" s="62"/>
      <c r="W197" s="62"/>
      <c r="X197" s="62"/>
      <c r="Y197" s="63"/>
      <c r="Z197" s="62"/>
      <c r="AA197" s="62"/>
      <c r="AB197" s="64"/>
      <c r="AC197" s="62"/>
      <c r="AD197" s="62"/>
      <c r="AE197" s="62"/>
      <c r="AF197" s="63"/>
      <c r="AG197" s="64"/>
      <c r="AH197" s="63"/>
      <c r="AI197" s="62"/>
    </row>
    <row r="198" spans="1:35" ht="15.75" customHeight="1">
      <c r="A198" s="58"/>
      <c r="B198" s="58"/>
      <c r="C198" s="59"/>
      <c r="D198" s="59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1"/>
      <c r="P198" s="60"/>
      <c r="Q198" s="60"/>
      <c r="R198" s="60"/>
      <c r="S198" s="60"/>
      <c r="T198" s="60"/>
      <c r="U198" s="62"/>
      <c r="V198" s="62"/>
      <c r="W198" s="62"/>
      <c r="X198" s="62"/>
      <c r="Y198" s="63"/>
      <c r="Z198" s="62"/>
      <c r="AA198" s="62"/>
      <c r="AB198" s="64"/>
      <c r="AC198" s="62"/>
      <c r="AD198" s="62"/>
      <c r="AE198" s="62"/>
      <c r="AF198" s="63"/>
      <c r="AG198" s="64"/>
      <c r="AH198" s="63"/>
      <c r="AI198" s="62"/>
    </row>
    <row r="199" spans="1:35" ht="15.75" customHeight="1">
      <c r="A199" s="66" t="s">
        <v>200</v>
      </c>
      <c r="B199" s="66" t="s">
        <v>196</v>
      </c>
      <c r="C199" s="66" t="s">
        <v>5</v>
      </c>
      <c r="D199" s="66" t="s">
        <v>169</v>
      </c>
      <c r="E199" s="66" t="s">
        <v>201</v>
      </c>
      <c r="F199" s="66" t="s">
        <v>202</v>
      </c>
      <c r="G199" s="66" t="s">
        <v>203</v>
      </c>
      <c r="H199" s="66" t="s">
        <v>204</v>
      </c>
      <c r="I199" s="66" t="s">
        <v>205</v>
      </c>
      <c r="J199" s="66" t="s">
        <v>206</v>
      </c>
      <c r="K199" s="66" t="s">
        <v>207</v>
      </c>
      <c r="L199" s="66" t="s">
        <v>208</v>
      </c>
      <c r="M199" s="66" t="s">
        <v>209</v>
      </c>
      <c r="N199" s="66" t="s">
        <v>9</v>
      </c>
      <c r="O199" s="66" t="s">
        <v>210</v>
      </c>
      <c r="P199" s="66" t="s">
        <v>170</v>
      </c>
      <c r="Q199" s="66" t="s">
        <v>171</v>
      </c>
      <c r="R199" s="66" t="s">
        <v>211</v>
      </c>
      <c r="S199" s="66" t="s">
        <v>212</v>
      </c>
      <c r="T199" s="66" t="s">
        <v>213</v>
      </c>
      <c r="U199" s="108" t="s">
        <v>194</v>
      </c>
      <c r="V199" s="108" t="s">
        <v>195</v>
      </c>
      <c r="W199" s="108" t="s">
        <v>77</v>
      </c>
      <c r="X199" s="108" t="s">
        <v>38</v>
      </c>
      <c r="Y199" s="109" t="s">
        <v>197</v>
      </c>
      <c r="Z199" s="108" t="s">
        <v>198</v>
      </c>
      <c r="AA199" s="108" t="s">
        <v>36</v>
      </c>
      <c r="AB199" s="110" t="s">
        <v>37</v>
      </c>
      <c r="AC199" s="108" t="s">
        <v>39</v>
      </c>
      <c r="AD199" s="108" t="s">
        <v>214</v>
      </c>
      <c r="AE199" s="108" t="s">
        <v>40</v>
      </c>
      <c r="AF199" s="109" t="s">
        <v>41</v>
      </c>
      <c r="AG199" s="110" t="s">
        <v>42</v>
      </c>
      <c r="AH199" s="109" t="s">
        <v>43</v>
      </c>
      <c r="AI199" s="108" t="s">
        <v>44</v>
      </c>
    </row>
    <row r="200" spans="1:35" ht="15.75" customHeight="1">
      <c r="A200" s="111">
        <v>500530</v>
      </c>
      <c r="B200" s="112" t="s">
        <v>174</v>
      </c>
      <c r="C200" s="113">
        <f ca="1">IFERROR(__xludf.DUMMYFUNCTION("GOOGLEFINANCE(""bom:""&amp;A200,""price"")"),31181.75)</f>
        <v>31181.75</v>
      </c>
      <c r="D200" s="114">
        <f ca="1">IFERROR(__xludf.DUMMYFUNCTION("GOOGLEFINANCE(""bom:""&amp;A200,""marketcap"")/10000000"),91824.024094)</f>
        <v>91824.024093999993</v>
      </c>
      <c r="E200" s="115">
        <v>9322</v>
      </c>
      <c r="F200" s="115">
        <v>4628</v>
      </c>
      <c r="G200" s="115">
        <v>16512</v>
      </c>
      <c r="H200" s="115">
        <v>4928</v>
      </c>
      <c r="I200" s="115">
        <v>29</v>
      </c>
      <c r="J200" s="115">
        <v>11583</v>
      </c>
      <c r="L200" s="115">
        <v>1992</v>
      </c>
      <c r="M200" s="115">
        <v>10</v>
      </c>
      <c r="N200" s="113">
        <v>788.44</v>
      </c>
      <c r="O200" s="115">
        <v>11872</v>
      </c>
      <c r="P200" s="116">
        <v>14929</v>
      </c>
      <c r="Q200" s="116">
        <v>1425</v>
      </c>
      <c r="R200" s="83">
        <v>16557</v>
      </c>
      <c r="S200" s="115">
        <v>12</v>
      </c>
      <c r="T200" s="115">
        <v>13520</v>
      </c>
      <c r="U200" s="117">
        <f t="shared" ref="U200:U237" si="2">(P200/O200)^(1/5)-1</f>
        <v>4.6890758411812783E-2</v>
      </c>
      <c r="V200" s="117">
        <f t="shared" ref="V200:V219" si="3">(R200/P200)-1</f>
        <v>0.10904950097126398</v>
      </c>
      <c r="W200" s="117">
        <f t="shared" ref="W200:W246" si="4">Q200/P200</f>
        <v>9.5451805211333646E-2</v>
      </c>
      <c r="X200" s="118">
        <f t="shared" ref="X200:X246" si="5">(P200-T200+S200)/S200</f>
        <v>118.41666666666667</v>
      </c>
      <c r="Y200" s="118">
        <f t="shared" ref="Y200:Y246" si="6">E200/F200</f>
        <v>2.0142610198789974</v>
      </c>
      <c r="Z200" s="118">
        <f t="shared" ref="Z200:Z246" si="7">(L200/P200)*365</f>
        <v>48.70252528635541</v>
      </c>
      <c r="AA200" s="119">
        <f t="shared" ref="AA200:AA246" si="8">K200/J200</f>
        <v>0</v>
      </c>
      <c r="AB200" s="119">
        <f t="shared" ref="AB200:AB246" si="9">H200/G200</f>
        <v>0.29844961240310075</v>
      </c>
      <c r="AC200" s="117">
        <f t="shared" ref="AC200:AC246" si="10">Q200/J200</f>
        <v>0.12302512302512303</v>
      </c>
      <c r="AD200" s="120">
        <f t="shared" ref="AD200:AD246" si="11">Q200/I200</f>
        <v>49.137931034482762</v>
      </c>
      <c r="AE200" s="117">
        <f t="shared" ref="AE200:AE246" si="12">Q200/G200</f>
        <v>8.6300872093023256E-2</v>
      </c>
      <c r="AF200" s="118">
        <f t="shared" ref="AF200:AF246" ca="1" si="13">C200/N200</f>
        <v>39.548665719648923</v>
      </c>
      <c r="AG200" s="117">
        <f t="shared" ref="AG200:AG246" ca="1" si="14">N200/C200</f>
        <v>2.5285303101974715E-2</v>
      </c>
      <c r="AH200" s="120">
        <f t="shared" ref="AH200:AH240" si="15">J200/(I200/M200)</f>
        <v>3994.1379310344828</v>
      </c>
      <c r="AI200" s="121">
        <f t="shared" ref="AI200:AI240" ca="1" si="16">C200/AH200</f>
        <v>7.8068786152119483</v>
      </c>
    </row>
    <row r="201" spans="1:35" ht="15.75" customHeight="1">
      <c r="A201" s="111">
        <v>517334</v>
      </c>
      <c r="B201" s="112" t="s">
        <v>173</v>
      </c>
      <c r="C201" s="113">
        <f ca="1">IFERROR(__xludf.DUMMYFUNCTION("GOOGLEFINANCE(""bom:""&amp;A201,""price"")"),185.85)</f>
        <v>185.85</v>
      </c>
      <c r="D201" s="114">
        <f ca="1">IFERROR(__xludf.DUMMYFUNCTION("GOOGLEFINANCE(""bom:""&amp;A201,""marketcap"")/10000000"),126197.2481418)</f>
        <v>126197.2481418</v>
      </c>
      <c r="E201" s="115">
        <v>37245.61</v>
      </c>
      <c r="F201" s="115">
        <v>39169.14</v>
      </c>
      <c r="G201" s="115">
        <v>78235.94</v>
      </c>
      <c r="H201" s="115">
        <v>53802.27</v>
      </c>
      <c r="I201" s="115">
        <v>677.64</v>
      </c>
      <c r="J201" s="115">
        <v>24433.67</v>
      </c>
      <c r="K201" s="115">
        <v>19228.03</v>
      </c>
      <c r="L201" s="115">
        <v>16273.16</v>
      </c>
      <c r="M201" s="115">
        <v>1</v>
      </c>
      <c r="N201" s="113">
        <v>2.96</v>
      </c>
      <c r="O201" s="115">
        <v>56521</v>
      </c>
      <c r="P201" s="83">
        <v>77870</v>
      </c>
      <c r="Q201" s="83">
        <v>1669</v>
      </c>
      <c r="R201" s="83">
        <v>94110</v>
      </c>
      <c r="S201" s="115">
        <v>781</v>
      </c>
      <c r="T201" s="115">
        <v>76410</v>
      </c>
      <c r="U201" s="117">
        <f t="shared" si="2"/>
        <v>6.6183770863060376E-2</v>
      </c>
      <c r="V201" s="117">
        <f t="shared" si="3"/>
        <v>0.20855271606523695</v>
      </c>
      <c r="W201" s="117">
        <f t="shared" si="4"/>
        <v>2.143315782714781E-2</v>
      </c>
      <c r="X201" s="118">
        <f t="shared" si="5"/>
        <v>2.8693982074263764</v>
      </c>
      <c r="Y201" s="118">
        <f t="shared" si="6"/>
        <v>0.95089169688177988</v>
      </c>
      <c r="Z201" s="118">
        <f t="shared" si="7"/>
        <v>76.277172210093738</v>
      </c>
      <c r="AA201" s="119">
        <f t="shared" si="8"/>
        <v>0.78694809252969367</v>
      </c>
      <c r="AB201" s="119">
        <f t="shared" si="9"/>
        <v>0.68769251062874681</v>
      </c>
      <c r="AC201" s="117">
        <f t="shared" si="10"/>
        <v>6.8307380757782199E-2</v>
      </c>
      <c r="AD201" s="120">
        <f t="shared" si="11"/>
        <v>2.4629596836078154</v>
      </c>
      <c r="AE201" s="117">
        <f t="shared" si="12"/>
        <v>2.1332906589989205E-2</v>
      </c>
      <c r="AF201" s="118">
        <f t="shared" ca="1" si="13"/>
        <v>62.787162162162161</v>
      </c>
      <c r="AG201" s="117">
        <f t="shared" ca="1" si="14"/>
        <v>1.5926822706483722E-2</v>
      </c>
      <c r="AH201" s="120">
        <f t="shared" si="15"/>
        <v>36.057006670208366</v>
      </c>
      <c r="AI201" s="121">
        <f t="shared" ca="1" si="16"/>
        <v>5.1543380098036851</v>
      </c>
    </row>
    <row r="202" spans="1:35" ht="15.75" customHeight="1">
      <c r="A202" s="111">
        <v>540762</v>
      </c>
      <c r="B202" s="112" t="s">
        <v>176</v>
      </c>
      <c r="C202" s="113">
        <f ca="1">IFERROR(__xludf.DUMMYFUNCTION("GOOGLEFINANCE(""bom:""&amp;A202,""price"")"),3920)</f>
        <v>3920</v>
      </c>
      <c r="D202" s="114">
        <f ca="1">IFERROR(__xludf.DUMMYFUNCTION("GOOGLEFINANCE(""bom:""&amp;A202,""marketcap"")/10000000"),75839.3032034)</f>
        <v>75839.303203400006</v>
      </c>
      <c r="E202" s="115">
        <v>7206.56</v>
      </c>
      <c r="F202" s="115">
        <v>4342.24</v>
      </c>
      <c r="G202" s="115">
        <v>12284.26</v>
      </c>
      <c r="H202" s="115">
        <v>6505.46</v>
      </c>
      <c r="I202" s="115">
        <v>19.329999999999998</v>
      </c>
      <c r="J202" s="115">
        <v>5778.8</v>
      </c>
      <c r="K202" s="115">
        <v>821</v>
      </c>
      <c r="L202" s="115">
        <v>2396.19</v>
      </c>
      <c r="M202" s="115">
        <v>1</v>
      </c>
      <c r="N202" s="113">
        <v>52.4</v>
      </c>
      <c r="O202" s="115">
        <v>4840</v>
      </c>
      <c r="P202" s="83">
        <v>14431</v>
      </c>
      <c r="Q202" s="83">
        <v>1325</v>
      </c>
      <c r="R202" s="83">
        <v>16178</v>
      </c>
      <c r="S202" s="115">
        <v>42</v>
      </c>
      <c r="T202" s="115">
        <v>13515</v>
      </c>
      <c r="U202" s="117">
        <f t="shared" si="2"/>
        <v>0.24420004584416444</v>
      </c>
      <c r="V202" s="117">
        <f t="shared" si="3"/>
        <v>0.12105883168179621</v>
      </c>
      <c r="W202" s="117">
        <f t="shared" si="4"/>
        <v>9.1816228951562606E-2</v>
      </c>
      <c r="X202" s="118">
        <f t="shared" si="5"/>
        <v>22.80952380952381</v>
      </c>
      <c r="Y202" s="118">
        <f t="shared" si="6"/>
        <v>1.6596411068941377</v>
      </c>
      <c r="Z202" s="118">
        <f t="shared" si="7"/>
        <v>60.606288545492347</v>
      </c>
      <c r="AA202" s="119">
        <f t="shared" si="8"/>
        <v>0.14207101820447152</v>
      </c>
      <c r="AB202" s="119">
        <f t="shared" si="9"/>
        <v>0.52957687316940538</v>
      </c>
      <c r="AC202" s="117">
        <f t="shared" si="10"/>
        <v>0.22928635702914099</v>
      </c>
      <c r="AD202" s="120">
        <f t="shared" si="11"/>
        <v>68.546301086394209</v>
      </c>
      <c r="AE202" s="117">
        <f t="shared" si="12"/>
        <v>0.10786160501324459</v>
      </c>
      <c r="AF202" s="118">
        <f t="shared" ca="1" si="13"/>
        <v>74.809160305343511</v>
      </c>
      <c r="AG202" s="117">
        <f t="shared" ca="1" si="14"/>
        <v>1.3367346938775509E-2</v>
      </c>
      <c r="AH202" s="120">
        <f t="shared" si="15"/>
        <v>298.95499224004141</v>
      </c>
      <c r="AI202" s="121">
        <f t="shared" ca="1" si="16"/>
        <v>13.112341662628918</v>
      </c>
    </row>
    <row r="203" spans="1:35" ht="15.75" customHeight="1">
      <c r="A203" s="111">
        <v>505790</v>
      </c>
      <c r="B203" s="112" t="s">
        <v>178</v>
      </c>
      <c r="C203" s="113">
        <f ca="1">IFERROR(__xludf.DUMMYFUNCTION("GOOGLEFINANCE(""bom:""&amp;A203,""price"")"),3915.5)</f>
        <v>3915.5</v>
      </c>
      <c r="D203" s="114">
        <f ca="1">IFERROR(__xludf.DUMMYFUNCTION("GOOGLEFINANCE(""bom:""&amp;A203,""marketcap"")/10000000"),61192.8594)</f>
        <v>61192.859400000001</v>
      </c>
      <c r="E203" s="115">
        <v>4106</v>
      </c>
      <c r="F203" s="115">
        <v>1405</v>
      </c>
      <c r="G203" s="115">
        <v>6267</v>
      </c>
      <c r="H203" s="115">
        <v>1461</v>
      </c>
      <c r="I203" s="115">
        <v>31.3</v>
      </c>
      <c r="J203" s="115">
        <v>4805</v>
      </c>
      <c r="L203" s="115">
        <v>1056</v>
      </c>
      <c r="M203" s="115">
        <v>2</v>
      </c>
      <c r="N203" s="113">
        <v>57.5</v>
      </c>
      <c r="O203" s="115">
        <v>4561</v>
      </c>
      <c r="P203" s="83">
        <v>6867</v>
      </c>
      <c r="Q203" s="83">
        <v>879</v>
      </c>
      <c r="R203" s="83">
        <v>7226</v>
      </c>
      <c r="S203" s="115">
        <v>4</v>
      </c>
      <c r="T203" s="115">
        <v>6157</v>
      </c>
      <c r="U203" s="117">
        <f t="shared" si="2"/>
        <v>8.5278988699844405E-2</v>
      </c>
      <c r="V203" s="117">
        <f t="shared" si="3"/>
        <v>5.227901558176784E-2</v>
      </c>
      <c r="W203" s="117">
        <f t="shared" si="4"/>
        <v>0.12800349497597205</v>
      </c>
      <c r="X203" s="118">
        <f t="shared" si="5"/>
        <v>178.5</v>
      </c>
      <c r="Y203" s="118">
        <f t="shared" si="6"/>
        <v>2.9224199288256227</v>
      </c>
      <c r="Z203" s="118">
        <f t="shared" si="7"/>
        <v>56.129314110965481</v>
      </c>
      <c r="AA203" s="119">
        <f t="shared" si="8"/>
        <v>0</v>
      </c>
      <c r="AB203" s="119">
        <f t="shared" si="9"/>
        <v>0.23312589755864049</v>
      </c>
      <c r="AC203" s="117">
        <f t="shared" si="10"/>
        <v>0.18293444328824141</v>
      </c>
      <c r="AD203" s="120">
        <f t="shared" si="11"/>
        <v>28.083067092651756</v>
      </c>
      <c r="AE203" s="117">
        <f t="shared" si="12"/>
        <v>0.14025849688846337</v>
      </c>
      <c r="AF203" s="118">
        <f t="shared" ca="1" si="13"/>
        <v>68.095652173913038</v>
      </c>
      <c r="AG203" s="117">
        <f t="shared" ca="1" si="14"/>
        <v>1.4685225386285276E-2</v>
      </c>
      <c r="AH203" s="120">
        <f t="shared" si="15"/>
        <v>307.02875399361022</v>
      </c>
      <c r="AI203" s="121">
        <f t="shared" ca="1" si="16"/>
        <v>12.752877211238294</v>
      </c>
    </row>
    <row r="204" spans="1:35" ht="15.75" customHeight="1">
      <c r="A204" s="111">
        <v>543300</v>
      </c>
      <c r="B204" s="112" t="s">
        <v>179</v>
      </c>
      <c r="C204" s="113">
        <f ca="1">IFERROR(__xludf.DUMMYFUNCTION("GOOGLEFINANCE(""bom:""&amp;A204,""price"")"),651.3)</f>
        <v>651.29999999999995</v>
      </c>
      <c r="D204" s="114">
        <f ca="1">IFERROR(__xludf.DUMMYFUNCTION("GOOGLEFINANCE(""bom:""&amp;A204,""marketcap"")/10000000"),38235.0688339)</f>
        <v>38235.068833899997</v>
      </c>
      <c r="E204" s="115">
        <v>1346</v>
      </c>
      <c r="F204" s="115">
        <v>710</v>
      </c>
      <c r="G204" s="115">
        <v>3511</v>
      </c>
      <c r="H204" s="115">
        <v>1018</v>
      </c>
      <c r="I204" s="115">
        <v>585</v>
      </c>
      <c r="J204" s="115">
        <v>2492</v>
      </c>
      <c r="K204" s="115">
        <v>287</v>
      </c>
      <c r="L204" s="115">
        <v>676</v>
      </c>
      <c r="M204" s="115">
        <v>10</v>
      </c>
      <c r="N204" s="113">
        <v>8.33</v>
      </c>
      <c r="O204" s="115">
        <v>623</v>
      </c>
      <c r="P204" s="83">
        <v>2675</v>
      </c>
      <c r="Q204" s="83">
        <v>395</v>
      </c>
      <c r="R204" s="83">
        <v>3043</v>
      </c>
      <c r="S204" s="115">
        <v>17</v>
      </c>
      <c r="T204" s="115">
        <v>2175</v>
      </c>
      <c r="U204" s="117">
        <f t="shared" si="2"/>
        <v>0.33834212537965591</v>
      </c>
      <c r="V204" s="117">
        <f t="shared" si="3"/>
        <v>0.13757009345794402</v>
      </c>
      <c r="W204" s="117">
        <f t="shared" si="4"/>
        <v>0.14766355140186915</v>
      </c>
      <c r="X204" s="118">
        <f t="shared" si="5"/>
        <v>30.411764705882351</v>
      </c>
      <c r="Y204" s="118">
        <f t="shared" si="6"/>
        <v>1.8957746478873239</v>
      </c>
      <c r="Z204" s="118">
        <f t="shared" si="7"/>
        <v>92.239252336448587</v>
      </c>
      <c r="AA204" s="119">
        <f t="shared" si="8"/>
        <v>0.1151685393258427</v>
      </c>
      <c r="AB204" s="119">
        <f t="shared" si="9"/>
        <v>0.28994588436342922</v>
      </c>
      <c r="AC204" s="117">
        <f t="shared" si="10"/>
        <v>0.15850722311396467</v>
      </c>
      <c r="AD204" s="120">
        <f t="shared" si="11"/>
        <v>0.67521367521367526</v>
      </c>
      <c r="AE204" s="117">
        <f t="shared" si="12"/>
        <v>0.11250356023924808</v>
      </c>
      <c r="AF204" s="118">
        <f t="shared" ca="1" si="13"/>
        <v>78.187274909963975</v>
      </c>
      <c r="AG204" s="117">
        <f t="shared" ca="1" si="14"/>
        <v>1.2789805005373869E-2</v>
      </c>
      <c r="AH204" s="120">
        <f t="shared" si="15"/>
        <v>42.598290598290596</v>
      </c>
      <c r="AI204" s="121">
        <f t="shared" ca="1" si="16"/>
        <v>15.289345906902087</v>
      </c>
    </row>
    <row r="205" spans="1:35" ht="15.75" customHeight="1">
      <c r="A205" s="111">
        <v>532539</v>
      </c>
      <c r="B205" s="112" t="s">
        <v>180</v>
      </c>
      <c r="C205" s="113">
        <f ca="1">IFERROR(__xludf.DUMMYFUNCTION("GOOGLEFINANCE(""bom:""&amp;A205,""price"")"),1081.9)</f>
        <v>1081.9000000000001</v>
      </c>
      <c r="D205" s="114">
        <f ca="1">IFERROR(__xludf.DUMMYFUNCTION("GOOGLEFINANCE(""bom:""&amp;A205,""marketcap"")/10000000"),60002.99)</f>
        <v>60002.99</v>
      </c>
      <c r="E205" s="115">
        <v>4018.75</v>
      </c>
      <c r="F205" s="115">
        <v>3306.1</v>
      </c>
      <c r="G205" s="115">
        <v>9077.1200000000008</v>
      </c>
      <c r="H205" s="115">
        <v>4338.87</v>
      </c>
      <c r="I205" s="115">
        <v>114.63</v>
      </c>
      <c r="J205" s="115">
        <v>4738.3</v>
      </c>
      <c r="K205" s="115">
        <v>1434.44</v>
      </c>
      <c r="L205" s="115">
        <v>1906.68</v>
      </c>
      <c r="M205" s="115">
        <v>2</v>
      </c>
      <c r="N205" s="113">
        <v>11.97</v>
      </c>
      <c r="O205" s="115">
        <v>4548</v>
      </c>
      <c r="P205" s="83">
        <v>11236</v>
      </c>
      <c r="Q205" s="83">
        <v>700</v>
      </c>
      <c r="R205" s="83">
        <v>13126</v>
      </c>
      <c r="S205" s="115">
        <v>70</v>
      </c>
      <c r="T205" s="115">
        <v>10494</v>
      </c>
      <c r="U205" s="117">
        <f t="shared" si="2"/>
        <v>0.19827984591913617</v>
      </c>
      <c r="V205" s="117">
        <f t="shared" si="3"/>
        <v>0.16820932716269144</v>
      </c>
      <c r="W205" s="117">
        <f t="shared" si="4"/>
        <v>6.2299750800996798E-2</v>
      </c>
      <c r="X205" s="118">
        <f t="shared" si="5"/>
        <v>11.6</v>
      </c>
      <c r="Y205" s="118">
        <f t="shared" si="6"/>
        <v>1.215556093282115</v>
      </c>
      <c r="Z205" s="118">
        <f t="shared" si="7"/>
        <v>61.938252046991813</v>
      </c>
      <c r="AA205" s="119">
        <f t="shared" si="8"/>
        <v>0.30273304771753584</v>
      </c>
      <c r="AB205" s="119">
        <f t="shared" si="9"/>
        <v>0.47800073150955363</v>
      </c>
      <c r="AC205" s="117">
        <f t="shared" si="10"/>
        <v>0.14773230905599055</v>
      </c>
      <c r="AD205" s="120">
        <f t="shared" si="11"/>
        <v>6.1066038558841491</v>
      </c>
      <c r="AE205" s="117">
        <f t="shared" si="12"/>
        <v>7.7116971021645622E-2</v>
      </c>
      <c r="AF205" s="118">
        <f t="shared" ca="1" si="13"/>
        <v>90.384294068504602</v>
      </c>
      <c r="AG205" s="117">
        <f t="shared" ca="1" si="14"/>
        <v>1.1063869119142249E-2</v>
      </c>
      <c r="AH205" s="120">
        <f t="shared" si="15"/>
        <v>82.671203000959622</v>
      </c>
      <c r="AI205" s="121">
        <f t="shared" ca="1" si="16"/>
        <v>13.086781862693369</v>
      </c>
    </row>
    <row r="206" spans="1:35" ht="15.75" customHeight="1">
      <c r="A206" s="111">
        <v>543498</v>
      </c>
      <c r="B206" s="112" t="s">
        <v>181</v>
      </c>
      <c r="C206" s="113">
        <f ca="1">IFERROR(__xludf.DUMMYFUNCTION("GOOGLEFINANCE(""bom:""&amp;A206,""price"")"),68.5)</f>
        <v>68.5</v>
      </c>
      <c r="D206" s="114">
        <f ca="1">IFERROR(__xludf.DUMMYFUNCTION("GOOGLEFINANCE(""bom:""&amp;A206,""marketcap"")/10000000"),30280.1677475)</f>
        <v>30280.1677475</v>
      </c>
      <c r="E206" s="115">
        <v>2137.33</v>
      </c>
      <c r="F206" s="115">
        <v>1287.75</v>
      </c>
      <c r="G206" s="115">
        <v>2862.45</v>
      </c>
      <c r="H206" s="115">
        <v>1545.81</v>
      </c>
      <c r="I206" s="115">
        <v>442.11</v>
      </c>
      <c r="J206" s="115">
        <v>1316.64</v>
      </c>
      <c r="K206" s="115">
        <v>283</v>
      </c>
      <c r="L206" s="115">
        <v>911.16</v>
      </c>
      <c r="M206" s="115">
        <v>1</v>
      </c>
      <c r="N206" s="113">
        <v>1.32</v>
      </c>
      <c r="O206" s="115">
        <v>4483</v>
      </c>
      <c r="P206" s="83">
        <v>7057</v>
      </c>
      <c r="Q206" s="83">
        <v>487</v>
      </c>
      <c r="R206" s="83">
        <v>7945</v>
      </c>
      <c r="S206" s="115">
        <v>28</v>
      </c>
      <c r="T206" s="115">
        <v>6427</v>
      </c>
      <c r="U206" s="117">
        <f t="shared" si="2"/>
        <v>9.4990309403052864E-2</v>
      </c>
      <c r="V206" s="117">
        <f t="shared" si="3"/>
        <v>0.1258325067309054</v>
      </c>
      <c r="W206" s="117">
        <f t="shared" si="4"/>
        <v>6.900949411931416E-2</v>
      </c>
      <c r="X206" s="118">
        <f t="shared" si="5"/>
        <v>23.5</v>
      </c>
      <c r="Y206" s="118">
        <f t="shared" si="6"/>
        <v>1.659739856338575</v>
      </c>
      <c r="Z206" s="118">
        <f t="shared" si="7"/>
        <v>47.126739407680311</v>
      </c>
      <c r="AA206" s="119">
        <f t="shared" si="8"/>
        <v>0.21494106209746019</v>
      </c>
      <c r="AB206" s="119">
        <f t="shared" si="9"/>
        <v>0.54003039354399207</v>
      </c>
      <c r="AC206" s="117">
        <f t="shared" si="10"/>
        <v>0.36988090898043502</v>
      </c>
      <c r="AD206" s="120">
        <f t="shared" si="11"/>
        <v>1.1015358168781524</v>
      </c>
      <c r="AE206" s="117">
        <f t="shared" si="12"/>
        <v>0.17013397613932121</v>
      </c>
      <c r="AF206" s="118">
        <f t="shared" ca="1" si="13"/>
        <v>51.893939393939391</v>
      </c>
      <c r="AG206" s="117">
        <f t="shared" ca="1" si="14"/>
        <v>1.927007299270073E-2</v>
      </c>
      <c r="AH206" s="120">
        <f t="shared" si="15"/>
        <v>2.9780823776888106</v>
      </c>
      <c r="AI206" s="121">
        <f t="shared" ca="1" si="16"/>
        <v>23.001378508931825</v>
      </c>
    </row>
    <row r="207" spans="1:35" ht="15.75" customHeight="1">
      <c r="A207" s="111">
        <v>533023</v>
      </c>
      <c r="B207" s="112" t="s">
        <v>182</v>
      </c>
      <c r="C207" s="113">
        <f ca="1">IFERROR(__xludf.DUMMYFUNCTION("GOOGLEFINANCE(""bom:""&amp;A207,""price"")"),15279)</f>
        <v>15279</v>
      </c>
      <c r="D207" s="114">
        <f ca="1">IFERROR(__xludf.DUMMYFUNCTION("GOOGLEFINANCE(""bom:""&amp;A207,""marketcap"")/10000000"),29065.919592)</f>
        <v>29065.919591999998</v>
      </c>
      <c r="E207" s="115">
        <v>2407</v>
      </c>
      <c r="F207" s="115">
        <v>550</v>
      </c>
      <c r="G207" s="115">
        <v>3220</v>
      </c>
      <c r="H207" s="115">
        <v>629</v>
      </c>
      <c r="I207" s="115">
        <v>9</v>
      </c>
      <c r="J207" s="115">
        <v>2590</v>
      </c>
      <c r="K207" s="115">
        <v>0</v>
      </c>
      <c r="L207" s="115">
        <v>821</v>
      </c>
      <c r="M207" s="115">
        <v>5</v>
      </c>
      <c r="N207" s="113">
        <v>206</v>
      </c>
      <c r="O207" s="115">
        <v>2609</v>
      </c>
      <c r="P207" s="83">
        <v>3445</v>
      </c>
      <c r="Q207" s="83">
        <v>318</v>
      </c>
      <c r="R207" s="83">
        <v>3805</v>
      </c>
      <c r="S207" s="115">
        <v>6</v>
      </c>
      <c r="T207" s="115">
        <v>3084</v>
      </c>
      <c r="U207" s="117">
        <f t="shared" si="2"/>
        <v>5.716561609565729E-2</v>
      </c>
      <c r="V207" s="117">
        <f t="shared" si="3"/>
        <v>0.10449927431059503</v>
      </c>
      <c r="W207" s="117">
        <f t="shared" si="4"/>
        <v>9.2307692307692313E-2</v>
      </c>
      <c r="X207" s="118">
        <f t="shared" si="5"/>
        <v>61.166666666666664</v>
      </c>
      <c r="Y207" s="118">
        <f t="shared" si="6"/>
        <v>4.376363636363636</v>
      </c>
      <c r="Z207" s="118">
        <f t="shared" si="7"/>
        <v>86.985486211901303</v>
      </c>
      <c r="AA207" s="119">
        <f t="shared" si="8"/>
        <v>0</v>
      </c>
      <c r="AB207" s="119">
        <f t="shared" si="9"/>
        <v>0.1953416149068323</v>
      </c>
      <c r="AC207" s="117">
        <f t="shared" si="10"/>
        <v>0.12277992277992278</v>
      </c>
      <c r="AD207" s="120">
        <f t="shared" si="11"/>
        <v>35.333333333333336</v>
      </c>
      <c r="AE207" s="117">
        <f t="shared" si="12"/>
        <v>9.8757763975155274E-2</v>
      </c>
      <c r="AF207" s="118">
        <f t="shared" ca="1" si="13"/>
        <v>74.169902912621353</v>
      </c>
      <c r="AG207" s="117">
        <f t="shared" ca="1" si="14"/>
        <v>1.3482557759015643E-2</v>
      </c>
      <c r="AH207" s="120">
        <f t="shared" si="15"/>
        <v>1438.8888888888889</v>
      </c>
      <c r="AI207" s="121">
        <f t="shared" ca="1" si="16"/>
        <v>10.618610038610038</v>
      </c>
    </row>
    <row r="208" spans="1:35" ht="15.75" customHeight="1">
      <c r="A208" s="111">
        <v>500086</v>
      </c>
      <c r="B208" s="112" t="s">
        <v>177</v>
      </c>
      <c r="C208" s="113">
        <f ca="1">IFERROR(__xludf.DUMMYFUNCTION("GOOGLEFINANCE(""bom:""&amp;A208,""price"")"),488)</f>
        <v>488</v>
      </c>
      <c r="D208" s="114">
        <f ca="1">IFERROR(__xludf.DUMMYFUNCTION("GOOGLEFINANCE(""bom:""&amp;A208,""marketcap"")/10000000"),41505.4989624)</f>
        <v>41505.498962400001</v>
      </c>
      <c r="E208" s="115">
        <v>6318.83</v>
      </c>
      <c r="F208" s="115">
        <v>3798.76</v>
      </c>
      <c r="G208" s="115">
        <v>17057.98</v>
      </c>
      <c r="H208" s="115">
        <v>4522.63</v>
      </c>
      <c r="I208" s="115">
        <v>85</v>
      </c>
      <c r="J208" s="115">
        <v>12535.35</v>
      </c>
      <c r="K208" s="115">
        <v>313.48</v>
      </c>
      <c r="L208" s="115">
        <v>1360.98</v>
      </c>
      <c r="M208" s="115">
        <v>1</v>
      </c>
      <c r="N208" s="115">
        <v>10.26</v>
      </c>
      <c r="O208" s="115">
        <v>13082</v>
      </c>
      <c r="P208" s="83">
        <v>15078</v>
      </c>
      <c r="Q208" s="83">
        <v>822</v>
      </c>
      <c r="R208" s="83">
        <v>16274</v>
      </c>
      <c r="S208" s="115">
        <v>74</v>
      </c>
      <c r="T208" s="115">
        <v>14066</v>
      </c>
      <c r="U208" s="117">
        <f t="shared" si="2"/>
        <v>2.8807019679515822E-2</v>
      </c>
      <c r="V208" s="117">
        <f t="shared" si="3"/>
        <v>7.9320864836185168E-2</v>
      </c>
      <c r="W208" s="117">
        <f t="shared" si="4"/>
        <v>5.451651412654198E-2</v>
      </c>
      <c r="X208" s="118">
        <f t="shared" si="5"/>
        <v>14.675675675675675</v>
      </c>
      <c r="Y208" s="118">
        <f t="shared" si="6"/>
        <v>1.6633927913319082</v>
      </c>
      <c r="Z208" s="118">
        <f t="shared" si="7"/>
        <v>32.945861520095505</v>
      </c>
      <c r="AA208" s="119">
        <f t="shared" si="8"/>
        <v>2.5007678285807737E-2</v>
      </c>
      <c r="AB208" s="119">
        <f t="shared" si="9"/>
        <v>0.26513280001500766</v>
      </c>
      <c r="AC208" s="117">
        <f t="shared" si="10"/>
        <v>6.5574555158013137E-2</v>
      </c>
      <c r="AD208" s="120">
        <f t="shared" si="11"/>
        <v>9.670588235294117</v>
      </c>
      <c r="AE208" s="117">
        <f t="shared" si="12"/>
        <v>4.8188589739230556E-2</v>
      </c>
      <c r="AF208" s="118">
        <f t="shared" ca="1" si="13"/>
        <v>47.563352826510723</v>
      </c>
      <c r="AG208" s="117">
        <f t="shared" ca="1" si="14"/>
        <v>2.1024590163934424E-2</v>
      </c>
      <c r="AH208" s="120">
        <f t="shared" si="15"/>
        <v>147.47470588235294</v>
      </c>
      <c r="AI208" s="121">
        <f t="shared" ca="1" si="16"/>
        <v>3.3090420291415876</v>
      </c>
    </row>
    <row r="209" spans="1:35" ht="15.75" customHeight="1">
      <c r="A209" s="111">
        <v>532605</v>
      </c>
      <c r="B209" s="112" t="s">
        <v>186</v>
      </c>
      <c r="C209" s="113">
        <f ca="1">IFERROR(__xludf.DUMMYFUNCTION("GOOGLEFINANCE(""bom:""&amp;A209,""price"")"),1892.7)</f>
        <v>1892.7</v>
      </c>
      <c r="D209" s="114">
        <f ca="1">IFERROR(__xludf.DUMMYFUNCTION("GOOGLEFINANCE(""bom:""&amp;A209,""marketcap"")/10000000"),22372.35132)</f>
        <v>22372.351320000002</v>
      </c>
      <c r="E209" s="115">
        <v>2186.37</v>
      </c>
      <c r="F209" s="115">
        <v>2158.4</v>
      </c>
      <c r="G209" s="115">
        <v>4194.8599999999997</v>
      </c>
      <c r="H209" s="115">
        <v>3112.64</v>
      </c>
      <c r="I209" s="115">
        <v>23.65</v>
      </c>
      <c r="J209" s="115">
        <v>1065.8900000000001</v>
      </c>
      <c r="K209" s="115">
        <v>2028.67</v>
      </c>
      <c r="L209" s="115">
        <v>498.91</v>
      </c>
      <c r="M209" s="115">
        <v>2</v>
      </c>
      <c r="N209" s="113">
        <v>12.76</v>
      </c>
      <c r="O209" s="115">
        <v>1687</v>
      </c>
      <c r="P209" s="83">
        <v>3857</v>
      </c>
      <c r="Q209" s="83">
        <v>125</v>
      </c>
      <c r="R209" s="83">
        <v>4533</v>
      </c>
      <c r="S209" s="115">
        <v>126</v>
      </c>
      <c r="T209" s="115">
        <v>3715</v>
      </c>
      <c r="U209" s="117">
        <f t="shared" si="2"/>
        <v>0.17985031074799696</v>
      </c>
      <c r="V209" s="117">
        <f t="shared" si="3"/>
        <v>0.17526575058335503</v>
      </c>
      <c r="W209" s="117">
        <f t="shared" si="4"/>
        <v>3.2408607726212083E-2</v>
      </c>
      <c r="X209" s="118">
        <f t="shared" si="5"/>
        <v>2.126984126984127</v>
      </c>
      <c r="Y209" s="118">
        <f t="shared" si="6"/>
        <v>1.0129586730911786</v>
      </c>
      <c r="Z209" s="118">
        <f t="shared" si="7"/>
        <v>47.213417163598656</v>
      </c>
      <c r="AA209" s="119">
        <f t="shared" si="8"/>
        <v>1.9032639390556247</v>
      </c>
      <c r="AB209" s="119">
        <f t="shared" si="9"/>
        <v>0.74201284429039349</v>
      </c>
      <c r="AC209" s="117">
        <f t="shared" si="10"/>
        <v>0.11727288932253796</v>
      </c>
      <c r="AD209" s="120">
        <f t="shared" si="11"/>
        <v>5.2854122621564485</v>
      </c>
      <c r="AE209" s="117">
        <f t="shared" si="12"/>
        <v>2.9798372293711829E-2</v>
      </c>
      <c r="AF209" s="118">
        <f t="shared" ca="1" si="13"/>
        <v>148.33072100313481</v>
      </c>
      <c r="AG209" s="117">
        <f t="shared" ca="1" si="14"/>
        <v>6.741691763089766E-3</v>
      </c>
      <c r="AH209" s="120">
        <f t="shared" si="15"/>
        <v>90.138689217758994</v>
      </c>
      <c r="AI209" s="121">
        <f t="shared" ca="1" si="16"/>
        <v>20.997642814924614</v>
      </c>
    </row>
    <row r="210" spans="1:35" ht="15.75" customHeight="1">
      <c r="A210" s="111">
        <v>540153</v>
      </c>
      <c r="B210" s="112" t="s">
        <v>183</v>
      </c>
      <c r="C210" s="113">
        <f ca="1">IFERROR(__xludf.DUMMYFUNCTION("GOOGLEFINANCE(""bom:""&amp;A210,""price"")"),2498.7)</f>
        <v>2498.6999999999998</v>
      </c>
      <c r="D210" s="114">
        <f ca="1">IFERROR(__xludf.DUMMYFUNCTION("GOOGLEFINANCE(""bom:""&amp;A210,""marketcap"")/10000000"),35163.9795298)</f>
        <v>35163.979529800003</v>
      </c>
      <c r="E210" s="115">
        <v>3682</v>
      </c>
      <c r="F210" s="115">
        <v>2220</v>
      </c>
      <c r="G210" s="115">
        <v>7437</v>
      </c>
      <c r="H210" s="115">
        <v>2845</v>
      </c>
      <c r="I210" s="115">
        <v>140</v>
      </c>
      <c r="J210" s="115">
        <v>4591</v>
      </c>
      <c r="K210" s="115">
        <v>662</v>
      </c>
      <c r="L210" s="115">
        <v>1298</v>
      </c>
      <c r="M210" s="115">
        <v>10</v>
      </c>
      <c r="N210" s="113">
        <v>43.14</v>
      </c>
      <c r="O210" s="115">
        <v>6666</v>
      </c>
      <c r="P210" s="115">
        <v>8804</v>
      </c>
      <c r="Q210" s="115">
        <v>479</v>
      </c>
      <c r="R210" s="115">
        <v>9790</v>
      </c>
      <c r="S210" s="115">
        <v>21</v>
      </c>
      <c r="T210" s="115">
        <v>8210</v>
      </c>
      <c r="U210" s="117">
        <f t="shared" si="2"/>
        <v>5.7214095749748006E-2</v>
      </c>
      <c r="V210" s="117">
        <f t="shared" si="3"/>
        <v>0.11199454793275776</v>
      </c>
      <c r="W210" s="117">
        <f t="shared" si="4"/>
        <v>5.4407087687414812E-2</v>
      </c>
      <c r="X210" s="118">
        <f t="shared" si="5"/>
        <v>29.285714285714285</v>
      </c>
      <c r="Y210" s="118">
        <f t="shared" si="6"/>
        <v>1.6585585585585585</v>
      </c>
      <c r="Z210" s="118">
        <f t="shared" si="7"/>
        <v>53.813039527487511</v>
      </c>
      <c r="AA210" s="119">
        <f t="shared" si="8"/>
        <v>0.14419516445218908</v>
      </c>
      <c r="AB210" s="119">
        <f t="shared" si="9"/>
        <v>0.38254672583030791</v>
      </c>
      <c r="AC210" s="117">
        <f t="shared" si="10"/>
        <v>0.10433456763232411</v>
      </c>
      <c r="AD210" s="120">
        <f t="shared" si="11"/>
        <v>3.4214285714285713</v>
      </c>
      <c r="AE210" s="117">
        <f t="shared" si="12"/>
        <v>6.4407691273362919E-2</v>
      </c>
      <c r="AF210" s="118">
        <f t="shared" ca="1" si="13"/>
        <v>57.92072322670375</v>
      </c>
      <c r="AG210" s="117">
        <f t="shared" ca="1" si="14"/>
        <v>1.7264977788449997E-2</v>
      </c>
      <c r="AH210" s="120">
        <f t="shared" si="15"/>
        <v>327.92857142857144</v>
      </c>
      <c r="AI210" s="121">
        <f t="shared" ca="1" si="16"/>
        <v>7.6196471357002826</v>
      </c>
    </row>
    <row r="211" spans="1:35" ht="15.75" customHeight="1">
      <c r="A211" s="111">
        <v>500403</v>
      </c>
      <c r="B211" s="112" t="s">
        <v>185</v>
      </c>
      <c r="C211" s="113">
        <f ca="1">IFERROR(__xludf.DUMMYFUNCTION("GOOGLEFINANCE(""bom:""&amp;A211,""price"")"),1336.65)</f>
        <v>1336.65</v>
      </c>
      <c r="D211" s="114">
        <f ca="1">IFERROR(__xludf.DUMMYFUNCTION("GOOGLEFINANCE(""bom:""&amp;A211,""marketcap"")/10000000"),28099.4069175)</f>
        <v>28099.4069175</v>
      </c>
      <c r="E211" s="115">
        <v>2235</v>
      </c>
      <c r="F211" s="115">
        <v>1186</v>
      </c>
      <c r="G211" s="115">
        <v>4694</v>
      </c>
      <c r="H211" s="115">
        <v>1480</v>
      </c>
      <c r="I211" s="115">
        <v>21</v>
      </c>
      <c r="J211" s="115">
        <v>3193</v>
      </c>
      <c r="K211" s="115">
        <v>593</v>
      </c>
      <c r="L211" s="115">
        <v>1124</v>
      </c>
      <c r="M211" s="115">
        <v>1</v>
      </c>
      <c r="N211" s="113">
        <v>24.48</v>
      </c>
      <c r="O211" s="115">
        <v>3887</v>
      </c>
      <c r="P211" s="115">
        <v>5662</v>
      </c>
      <c r="Q211" s="115">
        <v>500</v>
      </c>
      <c r="R211" s="115">
        <v>5648</v>
      </c>
      <c r="S211" s="115">
        <v>40</v>
      </c>
      <c r="T211" s="115">
        <v>5047</v>
      </c>
      <c r="U211" s="117">
        <f t="shared" si="2"/>
        <v>7.8129836184553714E-2</v>
      </c>
      <c r="V211" s="117">
        <f t="shared" si="3"/>
        <v>-2.4726245143058545E-3</v>
      </c>
      <c r="W211" s="117">
        <f t="shared" si="4"/>
        <v>8.8308018368067814E-2</v>
      </c>
      <c r="X211" s="118">
        <f t="shared" si="5"/>
        <v>16.375</v>
      </c>
      <c r="Y211" s="118">
        <f t="shared" si="6"/>
        <v>1.884485666104553</v>
      </c>
      <c r="Z211" s="118">
        <f t="shared" si="7"/>
        <v>72.45849523136701</v>
      </c>
      <c r="AA211" s="119">
        <f t="shared" si="8"/>
        <v>0.18571875978703414</v>
      </c>
      <c r="AB211" s="119">
        <f t="shared" si="9"/>
        <v>0.31529612270984236</v>
      </c>
      <c r="AC211" s="117">
        <f t="shared" si="10"/>
        <v>0.15659254619480112</v>
      </c>
      <c r="AD211" s="120">
        <f t="shared" si="11"/>
        <v>23.80952380952381</v>
      </c>
      <c r="AE211" s="117">
        <f t="shared" si="12"/>
        <v>0.10651896037494674</v>
      </c>
      <c r="AF211" s="118">
        <f t="shared" ca="1" si="13"/>
        <v>54.60171568627451</v>
      </c>
      <c r="AG211" s="117">
        <f t="shared" ca="1" si="14"/>
        <v>1.83144428234766E-2</v>
      </c>
      <c r="AH211" s="120">
        <f t="shared" si="15"/>
        <v>152.04761904761904</v>
      </c>
      <c r="AI211" s="121">
        <f t="shared" ca="1" si="16"/>
        <v>8.7909959285937997</v>
      </c>
    </row>
    <row r="212" spans="1:35" ht="15.75" customHeight="1">
      <c r="A212" s="111">
        <v>520056</v>
      </c>
      <c r="B212" s="112" t="s">
        <v>175</v>
      </c>
      <c r="C212" s="113">
        <f ca="1">IFERROR(__xludf.DUMMYFUNCTION("GOOGLEFINANCE(""bom:""&amp;A212,""price"")"),13355.15)</f>
        <v>13355.15</v>
      </c>
      <c r="D212" s="114">
        <f ca="1">IFERROR(__xludf.DUMMYFUNCTION("GOOGLEFINANCE(""bom:""&amp;A212,""marketcap"")/10000000"),30724.98)</f>
        <v>30724.98</v>
      </c>
      <c r="E212" s="115">
        <v>23559</v>
      </c>
      <c r="F212" s="115">
        <v>23192</v>
      </c>
      <c r="G212" s="115">
        <v>42893</v>
      </c>
      <c r="H212" s="115">
        <v>40500</v>
      </c>
      <c r="I212" s="115">
        <v>10</v>
      </c>
      <c r="J212" s="115">
        <v>2393</v>
      </c>
      <c r="K212" s="115">
        <v>25789</v>
      </c>
      <c r="L212" s="115">
        <v>1465</v>
      </c>
      <c r="M212" s="115">
        <v>5</v>
      </c>
      <c r="N212" s="113">
        <v>138.82</v>
      </c>
      <c r="O212" s="115">
        <v>17518</v>
      </c>
      <c r="P212" s="115">
        <v>33564</v>
      </c>
      <c r="Q212" s="115">
        <v>1333</v>
      </c>
      <c r="R212" s="115">
        <v>38398</v>
      </c>
      <c r="S212" s="115">
        <v>1424</v>
      </c>
      <c r="T212" s="115">
        <v>29356</v>
      </c>
      <c r="U212" s="117">
        <f t="shared" si="2"/>
        <v>0.13887966370438187</v>
      </c>
      <c r="V212" s="117">
        <f t="shared" si="3"/>
        <v>0.14402335836014779</v>
      </c>
      <c r="W212" s="117">
        <f t="shared" si="4"/>
        <v>3.9715171016565368E-2</v>
      </c>
      <c r="X212" s="118">
        <f t="shared" si="5"/>
        <v>3.9550561797752808</v>
      </c>
      <c r="Y212" s="118">
        <f t="shared" si="6"/>
        <v>1.0158244222145567</v>
      </c>
      <c r="Z212" s="118">
        <f t="shared" si="7"/>
        <v>15.931503992372781</v>
      </c>
      <c r="AA212" s="119">
        <f t="shared" si="8"/>
        <v>10.776849143334726</v>
      </c>
      <c r="AB212" s="119">
        <f t="shared" si="9"/>
        <v>0.9442100109574989</v>
      </c>
      <c r="AC212" s="117">
        <f t="shared" si="10"/>
        <v>0.55704137066443793</v>
      </c>
      <c r="AD212" s="120">
        <f t="shared" si="11"/>
        <v>133.30000000000001</v>
      </c>
      <c r="AE212" s="117">
        <f t="shared" si="12"/>
        <v>3.1077331965588789E-2</v>
      </c>
      <c r="AF212" s="118">
        <f t="shared" ca="1" si="13"/>
        <v>96.204797579599486</v>
      </c>
      <c r="AG212" s="117">
        <f t="shared" ca="1" si="14"/>
        <v>1.0394492012444637E-2</v>
      </c>
      <c r="AH212" s="120">
        <f t="shared" si="15"/>
        <v>1196.5</v>
      </c>
      <c r="AI212" s="121">
        <f t="shared" ca="1" si="16"/>
        <v>11.161847053907229</v>
      </c>
    </row>
    <row r="213" spans="1:35" ht="15.75" customHeight="1">
      <c r="A213" s="111">
        <v>532756</v>
      </c>
      <c r="B213" s="112" t="s">
        <v>184</v>
      </c>
      <c r="C213" s="113">
        <f ca="1">IFERROR(__xludf.DUMMYFUNCTION("GOOGLEFINANCE(""bom:""&amp;A213,""price"")"),523.1)</f>
        <v>523.1</v>
      </c>
      <c r="D213" s="114">
        <f ca="1">IFERROR(__xludf.DUMMYFUNCTION("GOOGLEFINANCE(""bom:""&amp;A213,""marketcap"")/10000000"),19876.6881715)</f>
        <v>19876.688171500002</v>
      </c>
      <c r="E213" s="115">
        <v>3147</v>
      </c>
      <c r="F213" s="115">
        <v>3103</v>
      </c>
      <c r="G213" s="115">
        <v>9762</v>
      </c>
      <c r="H213" s="115">
        <v>3774</v>
      </c>
      <c r="I213" s="115">
        <v>379</v>
      </c>
      <c r="J213" s="115">
        <v>5609</v>
      </c>
      <c r="K213" s="115">
        <v>855</v>
      </c>
      <c r="L213" s="115">
        <v>663</v>
      </c>
      <c r="M213" s="115">
        <v>10</v>
      </c>
      <c r="N213" s="113">
        <v>21.03</v>
      </c>
      <c r="O213" s="115">
        <v>8070</v>
      </c>
      <c r="P213" s="115">
        <v>8753</v>
      </c>
      <c r="Q213" s="115">
        <v>-136</v>
      </c>
      <c r="R213" s="115">
        <v>9280</v>
      </c>
      <c r="S213" s="115">
        <v>23</v>
      </c>
      <c r="T213" s="115">
        <v>7900</v>
      </c>
      <c r="U213" s="117">
        <f t="shared" si="2"/>
        <v>1.6381329746904871E-2</v>
      </c>
      <c r="V213" s="117">
        <f t="shared" si="3"/>
        <v>6.0207928710156455E-2</v>
      </c>
      <c r="W213" s="117">
        <f t="shared" si="4"/>
        <v>-1.5537529989717811E-2</v>
      </c>
      <c r="X213" s="118">
        <f t="shared" si="5"/>
        <v>38.086956521739133</v>
      </c>
      <c r="Y213" s="118">
        <f t="shared" si="6"/>
        <v>1.0141798259748631</v>
      </c>
      <c r="Z213" s="118">
        <f t="shared" si="7"/>
        <v>27.647092425454129</v>
      </c>
      <c r="AA213" s="119">
        <f t="shared" si="8"/>
        <v>0.15243358887502229</v>
      </c>
      <c r="AB213" s="119">
        <f t="shared" si="9"/>
        <v>0.38660110633066996</v>
      </c>
      <c r="AC213" s="117">
        <f t="shared" si="10"/>
        <v>-2.4246746300588339E-2</v>
      </c>
      <c r="AD213" s="120">
        <f t="shared" si="11"/>
        <v>-0.35883905013192613</v>
      </c>
      <c r="AE213" s="117">
        <f t="shared" si="12"/>
        <v>-1.3931571399303422E-2</v>
      </c>
      <c r="AF213" s="118">
        <f t="shared" ca="1" si="13"/>
        <v>24.873989538754159</v>
      </c>
      <c r="AG213" s="117">
        <f t="shared" ca="1" si="14"/>
        <v>4.0202638118906522E-2</v>
      </c>
      <c r="AH213" s="120">
        <f t="shared" si="15"/>
        <v>147.99472295514514</v>
      </c>
      <c r="AI213" s="121">
        <f t="shared" ca="1" si="16"/>
        <v>3.5345854876091991</v>
      </c>
    </row>
    <row r="214" spans="1:35" ht="15.75" customHeight="1">
      <c r="A214" s="111">
        <v>500008</v>
      </c>
      <c r="B214" s="112" t="s">
        <v>24</v>
      </c>
      <c r="C214" s="113">
        <f ca="1">IFERROR(__xludf.DUMMYFUNCTION("GOOGLEFINANCE(""bom:""&amp;A214,""price"")"),1544.55)</f>
        <v>1544.55</v>
      </c>
      <c r="D214" s="114">
        <f ca="1">IFERROR(__xludf.DUMMYFUNCTION("GOOGLEFINANCE(""bom:""&amp;A214,""marketcap"")/10000000"),29241.96)</f>
        <v>29241.96</v>
      </c>
      <c r="E214" s="115">
        <v>3976.27</v>
      </c>
      <c r="F214" s="115">
        <v>1823.86</v>
      </c>
      <c r="G214" s="115">
        <v>7863.62</v>
      </c>
      <c r="H214" s="115">
        <v>2203.5</v>
      </c>
      <c r="I214" s="115">
        <v>17.079999999999998</v>
      </c>
      <c r="J214" s="115">
        <v>5660.12</v>
      </c>
      <c r="K214" s="115">
        <v>16.52</v>
      </c>
      <c r="L214" s="115">
        <v>1126.19</v>
      </c>
      <c r="M214" s="115">
        <v>1</v>
      </c>
      <c r="N214" s="115">
        <v>44.94</v>
      </c>
      <c r="O214" s="115">
        <v>6232</v>
      </c>
      <c r="P214" s="115">
        <v>10388</v>
      </c>
      <c r="Q214" s="115">
        <v>694</v>
      </c>
      <c r="R214" s="115">
        <v>10891</v>
      </c>
      <c r="S214" s="115">
        <v>22</v>
      </c>
      <c r="T214" s="115">
        <v>9485</v>
      </c>
      <c r="U214" s="117">
        <f t="shared" si="2"/>
        <v>0.10759477738118961</v>
      </c>
      <c r="V214" s="117">
        <f t="shared" si="3"/>
        <v>4.8421255294570642E-2</v>
      </c>
      <c r="W214" s="117">
        <f t="shared" si="4"/>
        <v>6.680785521755872E-2</v>
      </c>
      <c r="X214" s="118">
        <f t="shared" si="5"/>
        <v>42.045454545454547</v>
      </c>
      <c r="Y214" s="118">
        <f t="shared" si="6"/>
        <v>2.1801399230204073</v>
      </c>
      <c r="Z214" s="118">
        <f t="shared" si="7"/>
        <v>39.570595879861379</v>
      </c>
      <c r="AA214" s="119">
        <f t="shared" si="8"/>
        <v>2.9186660353490738E-3</v>
      </c>
      <c r="AB214" s="119">
        <f t="shared" si="9"/>
        <v>0.2802144559375962</v>
      </c>
      <c r="AC214" s="117">
        <f t="shared" si="10"/>
        <v>0.12261224143657731</v>
      </c>
      <c r="AD214" s="120">
        <f t="shared" si="11"/>
        <v>40.632318501170964</v>
      </c>
      <c r="AE214" s="117">
        <f t="shared" si="12"/>
        <v>8.8254518911137614E-2</v>
      </c>
      <c r="AF214" s="118">
        <f t="shared" ca="1" si="13"/>
        <v>34.36915887850467</v>
      </c>
      <c r="AG214" s="117">
        <f t="shared" ca="1" si="14"/>
        <v>2.9095853161114887E-2</v>
      </c>
      <c r="AH214" s="120">
        <f t="shared" si="15"/>
        <v>331.38875878220142</v>
      </c>
      <c r="AI214" s="121">
        <f t="shared" ca="1" si="16"/>
        <v>4.6608400528610696</v>
      </c>
    </row>
    <row r="215" spans="1:35" ht="15.75" customHeight="1">
      <c r="A215" s="111">
        <v>517271</v>
      </c>
      <c r="B215" s="112" t="s">
        <v>190</v>
      </c>
      <c r="C215" s="113">
        <f ca="1">IFERROR(__xludf.DUMMYFUNCTION("GOOGLEFINANCE(""bom:""&amp;A215,""price"")"),618.9)</f>
        <v>618.9</v>
      </c>
      <c r="D215" s="114">
        <f ca="1">IFERROR(__xludf.DUMMYFUNCTION("GOOGLEFINANCE(""bom:""&amp;A215,""marketcap"")/10000000"),17145.8902011)</f>
        <v>17145.890201099999</v>
      </c>
      <c r="G215" s="115">
        <v>1552</v>
      </c>
      <c r="H215" s="115">
        <v>492</v>
      </c>
      <c r="I215" s="115">
        <v>28</v>
      </c>
      <c r="J215" s="115">
        <v>1032</v>
      </c>
      <c r="K215" s="115">
        <v>107</v>
      </c>
      <c r="L215" s="115">
        <v>454</v>
      </c>
      <c r="M215" s="115">
        <v>1</v>
      </c>
      <c r="N215" s="113">
        <v>8.52</v>
      </c>
      <c r="O215" s="115">
        <v>1634</v>
      </c>
      <c r="P215" s="115">
        <v>1368</v>
      </c>
      <c r="Q215" s="115">
        <v>97</v>
      </c>
      <c r="R215" s="115">
        <v>2026</v>
      </c>
      <c r="S215" s="115">
        <v>6</v>
      </c>
      <c r="T215" s="115">
        <v>1259</v>
      </c>
      <c r="U215" s="117">
        <f t="shared" si="2"/>
        <v>-3.4912236790558437E-2</v>
      </c>
      <c r="V215" s="117">
        <f t="shared" si="3"/>
        <v>0.48099415204678353</v>
      </c>
      <c r="W215" s="117">
        <f t="shared" si="4"/>
        <v>7.0906432748538015E-2</v>
      </c>
      <c r="X215" s="118">
        <f t="shared" si="5"/>
        <v>19.166666666666668</v>
      </c>
      <c r="Y215" s="118" t="e">
        <f t="shared" si="6"/>
        <v>#DIV/0!</v>
      </c>
      <c r="Z215" s="118">
        <f t="shared" si="7"/>
        <v>121.13304093567251</v>
      </c>
      <c r="AA215" s="119">
        <f t="shared" si="8"/>
        <v>0.10368217054263566</v>
      </c>
      <c r="AB215" s="119">
        <f t="shared" si="9"/>
        <v>0.3170103092783505</v>
      </c>
      <c r="AC215" s="117">
        <f t="shared" si="10"/>
        <v>9.3992248062015504E-2</v>
      </c>
      <c r="AD215" s="120">
        <f t="shared" si="11"/>
        <v>3.4642857142857144</v>
      </c>
      <c r="AE215" s="117">
        <f t="shared" si="12"/>
        <v>6.25E-2</v>
      </c>
      <c r="AF215" s="118">
        <f t="shared" ca="1" si="13"/>
        <v>72.640845070422543</v>
      </c>
      <c r="AG215" s="117">
        <f t="shared" ca="1" si="14"/>
        <v>1.3766359670382937E-2</v>
      </c>
      <c r="AH215" s="120">
        <f t="shared" si="15"/>
        <v>36.857142857142854</v>
      </c>
      <c r="AI215" s="121">
        <f t="shared" ca="1" si="16"/>
        <v>16.791860465116279</v>
      </c>
    </row>
    <row r="216" spans="1:35" ht="15.75" customHeight="1">
      <c r="A216" s="111">
        <v>515030</v>
      </c>
      <c r="B216" s="112" t="s">
        <v>188</v>
      </c>
      <c r="C216" s="113">
        <f ca="1">IFERROR(__xludf.DUMMYFUNCTION("GOOGLEFINANCE(""bom:""&amp;A216,""price"")"),611.95)</f>
        <v>611.95000000000005</v>
      </c>
      <c r="D216" s="114">
        <f ca="1">IFERROR(__xludf.DUMMYFUNCTION("GOOGLEFINANCE(""bom:""&amp;A216,""marketcap"")/10000000"),14877.10188)</f>
        <v>14877.10188</v>
      </c>
      <c r="E216" s="115">
        <v>1820</v>
      </c>
      <c r="F216" s="115">
        <v>1660</v>
      </c>
      <c r="G216" s="115">
        <v>4927</v>
      </c>
      <c r="H216" s="115">
        <v>1071</v>
      </c>
      <c r="I216" s="115">
        <v>24</v>
      </c>
      <c r="J216" s="115">
        <v>2238</v>
      </c>
      <c r="K216" s="115">
        <v>1505</v>
      </c>
      <c r="L216" s="115">
        <v>420</v>
      </c>
      <c r="M216" s="115">
        <v>1</v>
      </c>
      <c r="N216" s="113">
        <v>13.29</v>
      </c>
      <c r="O216" s="115">
        <v>2679</v>
      </c>
      <c r="P216" s="115">
        <v>4018</v>
      </c>
      <c r="Q216" s="115">
        <v>365</v>
      </c>
      <c r="R216" s="115">
        <v>4324</v>
      </c>
      <c r="S216" s="115">
        <v>105</v>
      </c>
      <c r="T216" s="115">
        <v>3488</v>
      </c>
      <c r="U216" s="117">
        <f t="shared" si="2"/>
        <v>8.444478287496171E-2</v>
      </c>
      <c r="V216" s="117">
        <f t="shared" si="3"/>
        <v>7.6157292185166758E-2</v>
      </c>
      <c r="W216" s="117">
        <f t="shared" si="4"/>
        <v>9.0841214534594331E-2</v>
      </c>
      <c r="X216" s="118">
        <f t="shared" si="5"/>
        <v>6.0476190476190474</v>
      </c>
      <c r="Y216" s="118">
        <f t="shared" si="6"/>
        <v>1.0963855421686748</v>
      </c>
      <c r="Z216" s="118">
        <f t="shared" si="7"/>
        <v>38.153310104529616</v>
      </c>
      <c r="AA216" s="119">
        <f t="shared" si="8"/>
        <v>0.67247542448614839</v>
      </c>
      <c r="AB216" s="119">
        <f t="shared" si="9"/>
        <v>0.21737365536837833</v>
      </c>
      <c r="AC216" s="117">
        <f t="shared" si="10"/>
        <v>0.16309204647006256</v>
      </c>
      <c r="AD216" s="120">
        <f t="shared" si="11"/>
        <v>15.208333333333334</v>
      </c>
      <c r="AE216" s="117">
        <f t="shared" si="12"/>
        <v>7.4081591231987015E-2</v>
      </c>
      <c r="AF216" s="118">
        <f t="shared" ca="1" si="13"/>
        <v>46.045899172310016</v>
      </c>
      <c r="AG216" s="117">
        <f t="shared" ca="1" si="14"/>
        <v>2.1717460576844511E-2</v>
      </c>
      <c r="AH216" s="120">
        <f t="shared" si="15"/>
        <v>93.25</v>
      </c>
      <c r="AI216" s="121">
        <f t="shared" ca="1" si="16"/>
        <v>6.5624664879356569</v>
      </c>
    </row>
    <row r="217" spans="1:35" ht="15.75" customHeight="1">
      <c r="A217" s="111">
        <v>538962</v>
      </c>
      <c r="B217" s="112" t="s">
        <v>189</v>
      </c>
      <c r="C217" s="113">
        <f ca="1">IFERROR(__xludf.DUMMYFUNCTION("GOOGLEFINANCE(""bom:""&amp;A217,""price"")"),512.2)</f>
        <v>512.20000000000005</v>
      </c>
      <c r="D217" s="114">
        <f ca="1">IFERROR(__xludf.DUMMYFUNCTION("GOOGLEFINANCE(""bom:""&amp;A217,""marketcap"")/10000000"),12075.78706)</f>
        <v>12075.787060000001</v>
      </c>
      <c r="E217" s="115">
        <v>1669</v>
      </c>
      <c r="F217" s="115">
        <v>1341</v>
      </c>
      <c r="G217" s="115">
        <v>3605</v>
      </c>
      <c r="H217" s="115">
        <v>1728</v>
      </c>
      <c r="I217" s="115">
        <v>48</v>
      </c>
      <c r="J217" s="115">
        <v>1877</v>
      </c>
      <c r="K217" s="115">
        <v>595</v>
      </c>
      <c r="L217" s="115">
        <v>806</v>
      </c>
      <c r="M217" s="115">
        <v>2</v>
      </c>
      <c r="N217" s="113">
        <v>11.66</v>
      </c>
      <c r="O217" s="115">
        <v>2635</v>
      </c>
      <c r="P217" s="115">
        <v>4300</v>
      </c>
      <c r="Q217" s="115">
        <v>284</v>
      </c>
      <c r="R217" s="115">
        <v>4511</v>
      </c>
      <c r="S217" s="115">
        <v>41</v>
      </c>
      <c r="T217" s="115">
        <v>4017</v>
      </c>
      <c r="U217" s="117">
        <f t="shared" si="2"/>
        <v>0.1029036327504369</v>
      </c>
      <c r="V217" s="117">
        <f t="shared" si="3"/>
        <v>4.9069767441860535E-2</v>
      </c>
      <c r="W217" s="117">
        <f t="shared" si="4"/>
        <v>6.6046511627906979E-2</v>
      </c>
      <c r="X217" s="118">
        <f t="shared" si="5"/>
        <v>7.9024390243902438</v>
      </c>
      <c r="Y217" s="118">
        <f t="shared" si="6"/>
        <v>1.2445935868754661</v>
      </c>
      <c r="Z217" s="118">
        <f t="shared" si="7"/>
        <v>68.416279069767441</v>
      </c>
      <c r="AA217" s="119">
        <f t="shared" si="8"/>
        <v>0.31699520511454449</v>
      </c>
      <c r="AB217" s="119">
        <f t="shared" si="9"/>
        <v>0.47933425797503465</v>
      </c>
      <c r="AC217" s="117">
        <f t="shared" si="10"/>
        <v>0.15130527437400107</v>
      </c>
      <c r="AD217" s="120">
        <f t="shared" si="11"/>
        <v>5.916666666666667</v>
      </c>
      <c r="AE217" s="117">
        <f t="shared" si="12"/>
        <v>7.877947295423024E-2</v>
      </c>
      <c r="AF217" s="118">
        <f t="shared" ca="1" si="13"/>
        <v>43.927958833619215</v>
      </c>
      <c r="AG217" s="117">
        <f t="shared" ca="1" si="14"/>
        <v>2.2764545099570477E-2</v>
      </c>
      <c r="AH217" s="120">
        <f t="shared" si="15"/>
        <v>78.208333333333329</v>
      </c>
      <c r="AI217" s="121">
        <f t="shared" ca="1" si="16"/>
        <v>6.5491742141715514</v>
      </c>
    </row>
    <row r="218" spans="1:35" ht="15.75" customHeight="1">
      <c r="A218" s="111">
        <v>543276</v>
      </c>
      <c r="B218" s="112" t="s">
        <v>191</v>
      </c>
      <c r="C218" s="113">
        <f ca="1">IFERROR(__xludf.DUMMYFUNCTION("GOOGLEFINANCE(""bom:""&amp;A218,""price"")"),5289)</f>
        <v>5289</v>
      </c>
      <c r="D218" s="114">
        <f ca="1">IFERROR(__xludf.DUMMYFUNCTION("GOOGLEFINANCE(""bom:""&amp;A218,""marketcap"")/10000000"),12628.6611806)</f>
        <v>12628.6611806</v>
      </c>
      <c r="E218" s="115">
        <v>1693</v>
      </c>
      <c r="F218" s="115">
        <v>1419</v>
      </c>
      <c r="G218" s="115">
        <v>4246</v>
      </c>
      <c r="H218" s="115">
        <v>2646</v>
      </c>
      <c r="I218" s="115">
        <v>10</v>
      </c>
      <c r="J218" s="115">
        <v>1599</v>
      </c>
      <c r="K218" s="115">
        <v>1374</v>
      </c>
      <c r="L218" s="115">
        <v>615</v>
      </c>
      <c r="M218" s="115">
        <v>5</v>
      </c>
      <c r="N218" s="113">
        <v>151.97</v>
      </c>
      <c r="O218" s="115">
        <v>1511</v>
      </c>
      <c r="P218" s="115">
        <v>3182</v>
      </c>
      <c r="Q218" s="115">
        <v>251</v>
      </c>
      <c r="R218" s="115">
        <v>4327</v>
      </c>
      <c r="S218" s="115">
        <v>120</v>
      </c>
      <c r="T218" s="115">
        <v>2841</v>
      </c>
      <c r="U218" s="117">
        <f t="shared" si="2"/>
        <v>0.16061222878508286</v>
      </c>
      <c r="V218" s="117">
        <f t="shared" si="3"/>
        <v>0.35983658076681335</v>
      </c>
      <c r="W218" s="117">
        <f t="shared" si="4"/>
        <v>7.8881206788183528E-2</v>
      </c>
      <c r="X218" s="118">
        <f t="shared" si="5"/>
        <v>3.8416666666666668</v>
      </c>
      <c r="Y218" s="118">
        <f t="shared" si="6"/>
        <v>1.1930937279774489</v>
      </c>
      <c r="Z218" s="118">
        <f t="shared" si="7"/>
        <v>70.545254556882469</v>
      </c>
      <c r="AA218" s="119">
        <f t="shared" si="8"/>
        <v>0.85928705440900566</v>
      </c>
      <c r="AB218" s="119">
        <f t="shared" si="9"/>
        <v>0.62317475270843148</v>
      </c>
      <c r="AC218" s="117">
        <f t="shared" si="10"/>
        <v>0.15697310819262039</v>
      </c>
      <c r="AD218" s="120">
        <f t="shared" si="11"/>
        <v>25.1</v>
      </c>
      <c r="AE218" s="117">
        <f t="shared" si="12"/>
        <v>5.9114460668864811E-2</v>
      </c>
      <c r="AF218" s="118">
        <f t="shared" ca="1" si="13"/>
        <v>34.802921629268937</v>
      </c>
      <c r="AG218" s="117">
        <f t="shared" ca="1" si="14"/>
        <v>2.8733219890338439E-2</v>
      </c>
      <c r="AH218" s="120">
        <f t="shared" si="15"/>
        <v>799.5</v>
      </c>
      <c r="AI218" s="121">
        <f t="shared" ca="1" si="16"/>
        <v>6.615384615384615</v>
      </c>
    </row>
    <row r="219" spans="1:35" ht="15.75" customHeight="1">
      <c r="A219" s="111">
        <v>541578</v>
      </c>
      <c r="B219" s="112" t="s">
        <v>187</v>
      </c>
      <c r="C219" s="113">
        <f ca="1">IFERROR(__xludf.DUMMYFUNCTION("GOOGLEFINANCE(""bom:""&amp;A219,""price"")"),524.6)</f>
        <v>524.6</v>
      </c>
      <c r="D219" s="114">
        <f ca="1">IFERROR(__xludf.DUMMYFUNCTION("GOOGLEFINANCE(""bom:""&amp;A219,""marketcap"")/10000000"),8022.0444949)</f>
        <v>8022.0444949000002</v>
      </c>
      <c r="E219" s="115">
        <v>1672</v>
      </c>
      <c r="F219" s="115">
        <v>2414</v>
      </c>
      <c r="G219" s="115">
        <v>4348</v>
      </c>
      <c r="H219" s="115">
        <v>3282</v>
      </c>
      <c r="I219" s="115">
        <v>15</v>
      </c>
      <c r="J219" s="115">
        <v>1065</v>
      </c>
      <c r="K219" s="115">
        <v>1259</v>
      </c>
      <c r="L219" s="115">
        <v>545</v>
      </c>
      <c r="M219" s="115">
        <v>1</v>
      </c>
      <c r="N219" s="113">
        <v>33.299999999999997</v>
      </c>
      <c r="O219" s="115">
        <v>10378</v>
      </c>
      <c r="P219" s="115">
        <v>6863</v>
      </c>
      <c r="Q219" s="115">
        <v>-817</v>
      </c>
      <c r="R219" s="115">
        <v>7267</v>
      </c>
      <c r="S219" s="115">
        <v>190</v>
      </c>
      <c r="T219" s="115">
        <v>6843</v>
      </c>
      <c r="U219" s="117">
        <f t="shared" si="2"/>
        <v>-7.9380718571995579E-2</v>
      </c>
      <c r="V219" s="117">
        <f t="shared" si="3"/>
        <v>5.8866384962844132E-2</v>
      </c>
      <c r="W219" s="117">
        <f t="shared" si="4"/>
        <v>-0.11904414978872213</v>
      </c>
      <c r="X219" s="118">
        <f t="shared" si="5"/>
        <v>1.1052631578947369</v>
      </c>
      <c r="Y219" s="118">
        <f t="shared" si="6"/>
        <v>0.6926263463131731</v>
      </c>
      <c r="Z219" s="118">
        <f t="shared" si="7"/>
        <v>28.985137694885619</v>
      </c>
      <c r="AA219" s="119">
        <f t="shared" si="8"/>
        <v>1.1821596244131456</v>
      </c>
      <c r="AB219" s="119">
        <f t="shared" si="9"/>
        <v>0.75482980680772771</v>
      </c>
      <c r="AC219" s="117">
        <f t="shared" si="10"/>
        <v>-0.7671361502347418</v>
      </c>
      <c r="AD219" s="120">
        <f t="shared" si="11"/>
        <v>-54.466666666666669</v>
      </c>
      <c r="AE219" s="117">
        <f t="shared" si="12"/>
        <v>-0.18790248390064399</v>
      </c>
      <c r="AF219" s="118">
        <f t="shared" ca="1" si="13"/>
        <v>15.753753753753756</v>
      </c>
      <c r="AG219" s="117">
        <f t="shared" ca="1" si="14"/>
        <v>6.3476934807472352E-2</v>
      </c>
      <c r="AH219" s="120">
        <f t="shared" si="15"/>
        <v>71</v>
      </c>
      <c r="AI219" s="121">
        <f t="shared" ca="1" si="16"/>
        <v>7.3887323943661976</v>
      </c>
    </row>
    <row r="220" spans="1:35" ht="15.75" customHeight="1">
      <c r="A220" s="111">
        <v>532509</v>
      </c>
      <c r="B220" s="112" t="s">
        <v>215</v>
      </c>
      <c r="C220" s="113">
        <f ca="1">IFERROR(__xludf.DUMMYFUNCTION("GOOGLEFINANCE(""bom:""&amp;A220,""price"")"),529.25)</f>
        <v>529.25</v>
      </c>
      <c r="D220" s="114">
        <f ca="1">IFERROR(__xludf.DUMMYFUNCTION("GOOGLEFINANCE(""bom:""&amp;A220,""marketcap"")/10000000"),7335.1655571)</f>
        <v>7335.1655571000001</v>
      </c>
      <c r="E220" s="115">
        <v>1659</v>
      </c>
      <c r="F220" s="115">
        <v>891</v>
      </c>
      <c r="G220" s="115">
        <v>2540</v>
      </c>
      <c r="H220" s="115">
        <v>1267</v>
      </c>
      <c r="I220" s="115">
        <v>14</v>
      </c>
      <c r="J220" s="115">
        <v>1272</v>
      </c>
      <c r="K220" s="115">
        <v>628</v>
      </c>
      <c r="L220" s="115">
        <v>483</v>
      </c>
      <c r="M220" s="115">
        <v>1</v>
      </c>
      <c r="N220" s="113">
        <v>10.76</v>
      </c>
      <c r="O220" s="115">
        <v>1454</v>
      </c>
      <c r="P220" s="115">
        <v>2752</v>
      </c>
      <c r="Q220" s="115">
        <v>152</v>
      </c>
      <c r="R220" s="115"/>
      <c r="S220" s="115">
        <v>36</v>
      </c>
      <c r="T220" s="115">
        <v>2571</v>
      </c>
      <c r="U220" s="117">
        <f t="shared" si="2"/>
        <v>0.13610064030413205</v>
      </c>
      <c r="V220" s="117"/>
      <c r="W220" s="117">
        <f t="shared" si="4"/>
        <v>5.5232558139534885E-2</v>
      </c>
      <c r="X220" s="118">
        <f t="shared" si="5"/>
        <v>6.0277777777777777</v>
      </c>
      <c r="Y220" s="118">
        <f t="shared" si="6"/>
        <v>1.861952861952862</v>
      </c>
      <c r="Z220" s="118">
        <f t="shared" si="7"/>
        <v>64.060683139534888</v>
      </c>
      <c r="AA220" s="119">
        <f t="shared" si="8"/>
        <v>0.49371069182389937</v>
      </c>
      <c r="AB220" s="119">
        <f t="shared" si="9"/>
        <v>0.4988188976377953</v>
      </c>
      <c r="AC220" s="117">
        <f t="shared" si="10"/>
        <v>0.11949685534591195</v>
      </c>
      <c r="AD220" s="120">
        <f t="shared" si="11"/>
        <v>10.857142857142858</v>
      </c>
      <c r="AE220" s="117">
        <f t="shared" si="12"/>
        <v>5.9842519685039369E-2</v>
      </c>
      <c r="AF220" s="118">
        <f t="shared" ca="1" si="13"/>
        <v>49.186802973977699</v>
      </c>
      <c r="AG220" s="117">
        <f t="shared" ca="1" si="14"/>
        <v>2.0330656589513461E-2</v>
      </c>
      <c r="AH220" s="120">
        <f t="shared" si="15"/>
        <v>90.857142857142861</v>
      </c>
      <c r="AI220" s="121">
        <f t="shared" ca="1" si="16"/>
        <v>5.8250786163522008</v>
      </c>
    </row>
    <row r="221" spans="1:35" ht="15.75" customHeight="1">
      <c r="A221" s="111">
        <v>544022</v>
      </c>
      <c r="B221" s="112" t="s">
        <v>216</v>
      </c>
      <c r="C221" s="113">
        <f ca="1">IFERROR(__xludf.DUMMYFUNCTION("GOOGLEFINANCE(""bom:""&amp;A221,""price"")"),403.25)</f>
        <v>403.25</v>
      </c>
      <c r="D221" s="114">
        <f ca="1">IFERROR(__xludf.DUMMYFUNCTION("GOOGLEFINANCE(""bom:""&amp;A221,""marketcap"")/10000000"),7953.7184376)</f>
        <v>7953.7184375999996</v>
      </c>
      <c r="G221" s="115">
        <v>1587</v>
      </c>
      <c r="H221" s="115">
        <v>868</v>
      </c>
      <c r="I221" s="115">
        <v>39</v>
      </c>
      <c r="J221" s="115">
        <v>680</v>
      </c>
      <c r="K221" s="115">
        <v>438</v>
      </c>
      <c r="L221" s="115">
        <v>305</v>
      </c>
      <c r="M221" s="115">
        <v>2</v>
      </c>
      <c r="N221" s="113">
        <v>6.24</v>
      </c>
      <c r="O221" s="115">
        <v>1700</v>
      </c>
      <c r="P221" s="115">
        <v>2555</v>
      </c>
      <c r="Q221" s="115">
        <v>123</v>
      </c>
      <c r="R221" s="115"/>
      <c r="S221" s="115">
        <v>11</v>
      </c>
      <c r="T221" s="115">
        <v>2325</v>
      </c>
      <c r="U221" s="117">
        <f t="shared" si="2"/>
        <v>8.4896721081775928E-2</v>
      </c>
      <c r="V221" s="117"/>
      <c r="W221" s="117">
        <f t="shared" si="4"/>
        <v>4.8140900195694718E-2</v>
      </c>
      <c r="X221" s="118">
        <f t="shared" si="5"/>
        <v>21.90909090909091</v>
      </c>
      <c r="Y221" s="118" t="e">
        <f t="shared" si="6"/>
        <v>#DIV/0!</v>
      </c>
      <c r="Z221" s="118">
        <f t="shared" si="7"/>
        <v>43.571428571428569</v>
      </c>
      <c r="AA221" s="119">
        <f t="shared" si="8"/>
        <v>0.64411764705882357</v>
      </c>
      <c r="AB221" s="119">
        <f t="shared" si="9"/>
        <v>0.54694391934467546</v>
      </c>
      <c r="AC221" s="117">
        <f t="shared" si="10"/>
        <v>0.18088235294117647</v>
      </c>
      <c r="AD221" s="120">
        <f t="shared" si="11"/>
        <v>3.1538461538461537</v>
      </c>
      <c r="AE221" s="117">
        <f t="shared" si="12"/>
        <v>7.7504725897920609E-2</v>
      </c>
      <c r="AF221" s="118">
        <f t="shared" ca="1" si="13"/>
        <v>64.623397435897431</v>
      </c>
      <c r="AG221" s="117">
        <f t="shared" ca="1" si="14"/>
        <v>1.5474271543707377E-2</v>
      </c>
      <c r="AH221" s="120">
        <f t="shared" si="15"/>
        <v>34.871794871794869</v>
      </c>
      <c r="AI221" s="121">
        <f t="shared" ca="1" si="16"/>
        <v>11.563786764705883</v>
      </c>
    </row>
    <row r="222" spans="1:35" ht="15.75" customHeight="1">
      <c r="A222" s="111">
        <v>543325</v>
      </c>
      <c r="B222" s="112" t="s">
        <v>217</v>
      </c>
      <c r="C222" s="113">
        <f ca="1">IFERROR(__xludf.DUMMYFUNCTION("GOOGLEFINANCE(""bom:""&amp;A222,""price"")"),2237.8)</f>
        <v>2237.8000000000002</v>
      </c>
      <c r="D222" s="114">
        <f ca="1">IFERROR(__xludf.DUMMYFUNCTION("GOOGLEFINANCE(""bom:""&amp;A222,""marketcap"")/10000000"),6114.9671614)</f>
        <v>6114.9671613999999</v>
      </c>
      <c r="E222" s="115">
        <v>572</v>
      </c>
      <c r="F222" s="115">
        <v>154</v>
      </c>
      <c r="G222" s="115">
        <v>1058</v>
      </c>
      <c r="H222" s="115">
        <v>220</v>
      </c>
      <c r="I222" s="115">
        <v>27</v>
      </c>
      <c r="J222" s="115">
        <v>838</v>
      </c>
      <c r="K222" s="115">
        <v>40</v>
      </c>
      <c r="L222" s="115">
        <v>220</v>
      </c>
      <c r="M222" s="115">
        <v>10</v>
      </c>
      <c r="N222" s="113">
        <v>65.66</v>
      </c>
      <c r="O222" s="115">
        <v>783</v>
      </c>
      <c r="P222" s="115">
        <v>1179</v>
      </c>
      <c r="Q222" s="115">
        <v>198</v>
      </c>
      <c r="R222" s="115"/>
      <c r="S222" s="115">
        <v>10</v>
      </c>
      <c r="T222" s="115">
        <v>955</v>
      </c>
      <c r="U222" s="117">
        <f t="shared" si="2"/>
        <v>8.530151338622427E-2</v>
      </c>
      <c r="V222" s="117"/>
      <c r="W222" s="117">
        <f t="shared" si="4"/>
        <v>0.16793893129770993</v>
      </c>
      <c r="X222" s="118">
        <f t="shared" si="5"/>
        <v>23.4</v>
      </c>
      <c r="Y222" s="118">
        <f t="shared" si="6"/>
        <v>3.7142857142857144</v>
      </c>
      <c r="Z222" s="118">
        <f t="shared" si="7"/>
        <v>68.108566581849018</v>
      </c>
      <c r="AA222" s="119">
        <f t="shared" si="8"/>
        <v>4.77326968973747E-2</v>
      </c>
      <c r="AB222" s="119">
        <f t="shared" si="9"/>
        <v>0.20793950850661624</v>
      </c>
      <c r="AC222" s="117">
        <f t="shared" si="10"/>
        <v>0.23627684964200477</v>
      </c>
      <c r="AD222" s="120">
        <f t="shared" si="11"/>
        <v>7.333333333333333</v>
      </c>
      <c r="AE222" s="117">
        <f t="shared" si="12"/>
        <v>0.18714555765595464</v>
      </c>
      <c r="AF222" s="118">
        <f t="shared" ca="1" si="13"/>
        <v>34.081632653061227</v>
      </c>
      <c r="AG222" s="117">
        <f t="shared" ca="1" si="14"/>
        <v>2.9341317365269456E-2</v>
      </c>
      <c r="AH222" s="120">
        <f t="shared" si="15"/>
        <v>310.37037037037032</v>
      </c>
      <c r="AI222" s="121">
        <f t="shared" ca="1" si="16"/>
        <v>7.2100954653937963</v>
      </c>
    </row>
    <row r="223" spans="1:35" ht="15.75" customHeight="1">
      <c r="A223" s="111">
        <v>543358</v>
      </c>
      <c r="B223" s="112" t="s">
        <v>218</v>
      </c>
      <c r="C223" s="113">
        <f ca="1">IFERROR(__xludf.DUMMYFUNCTION("GOOGLEFINANCE(""bom:""&amp;A223,""price"")"),1389.9)</f>
        <v>1389.9</v>
      </c>
      <c r="D223" s="114">
        <f ca="1">IFERROR(__xludf.DUMMYFUNCTION("GOOGLEFINANCE(""bom:""&amp;A223,""marketcap"")/10000000"),7507.116438)</f>
        <v>7507.116438</v>
      </c>
      <c r="G223" s="115">
        <v>2365</v>
      </c>
      <c r="H223" s="115">
        <v>1102</v>
      </c>
      <c r="I223" s="115">
        <v>11</v>
      </c>
      <c r="J223" s="115">
        <v>1252</v>
      </c>
      <c r="K223" s="115">
        <v>631</v>
      </c>
      <c r="L223" s="115">
        <v>352</v>
      </c>
      <c r="M223" s="115">
        <v>2</v>
      </c>
      <c r="N223" s="113">
        <v>32.42</v>
      </c>
      <c r="O223" s="115">
        <v>1641</v>
      </c>
      <c r="P223" s="115">
        <v>2338</v>
      </c>
      <c r="Q223" s="115">
        <v>148</v>
      </c>
      <c r="R223" s="115">
        <v>2412</v>
      </c>
      <c r="S223" s="115">
        <v>61</v>
      </c>
      <c r="T223" s="115">
        <v>2153</v>
      </c>
      <c r="U223" s="117">
        <f t="shared" si="2"/>
        <v>7.3364395298310514E-2</v>
      </c>
      <c r="V223" s="117"/>
      <c r="W223" s="117">
        <f t="shared" si="4"/>
        <v>6.3301967493584257E-2</v>
      </c>
      <c r="X223" s="118">
        <f t="shared" si="5"/>
        <v>4.0327868852459012</v>
      </c>
      <c r="Y223" s="118" t="e">
        <f t="shared" si="6"/>
        <v>#DIV/0!</v>
      </c>
      <c r="Z223" s="118">
        <f t="shared" si="7"/>
        <v>54.952951240376386</v>
      </c>
      <c r="AA223" s="119">
        <f t="shared" si="8"/>
        <v>0.5039936102236422</v>
      </c>
      <c r="AB223" s="119">
        <f t="shared" si="9"/>
        <v>0.46596194503171245</v>
      </c>
      <c r="AC223" s="117">
        <f t="shared" si="10"/>
        <v>0.1182108626198083</v>
      </c>
      <c r="AD223" s="120">
        <f t="shared" si="11"/>
        <v>13.454545454545455</v>
      </c>
      <c r="AE223" s="117">
        <f t="shared" si="12"/>
        <v>6.2579281183932342E-2</v>
      </c>
      <c r="AF223" s="118">
        <f t="shared" ca="1" si="13"/>
        <v>42.871684145589143</v>
      </c>
      <c r="AG223" s="117">
        <f t="shared" ca="1" si="14"/>
        <v>2.3325419094898912E-2</v>
      </c>
      <c r="AH223" s="120">
        <f t="shared" si="15"/>
        <v>227.63636363636363</v>
      </c>
      <c r="AI223" s="121">
        <f t="shared" ca="1" si="16"/>
        <v>6.1057907348242821</v>
      </c>
    </row>
    <row r="224" spans="1:35" ht="15.75" customHeight="1">
      <c r="A224" s="111">
        <v>540293</v>
      </c>
      <c r="B224" s="112" t="s">
        <v>219</v>
      </c>
      <c r="C224" s="113">
        <f ca="1">IFERROR(__xludf.DUMMYFUNCTION("GOOGLEFINANCE(""bom:""&amp;A224,""price"")"),500.85)</f>
        <v>500.85</v>
      </c>
      <c r="D224" s="114">
        <f ca="1">IFERROR(__xludf.DUMMYFUNCTION("GOOGLEFINANCE(""bom:""&amp;A224,""marketcap"")/10000000"),6117.8246526)</f>
        <v>6117.8246526000003</v>
      </c>
      <c r="E224" s="115">
        <v>697</v>
      </c>
      <c r="F224" s="115">
        <v>532</v>
      </c>
      <c r="G224" s="115">
        <v>1389</v>
      </c>
      <c r="H224" s="115">
        <v>621</v>
      </c>
      <c r="I224" s="115">
        <v>12</v>
      </c>
      <c r="J224" s="115">
        <v>768</v>
      </c>
      <c r="K224" s="115">
        <v>80</v>
      </c>
      <c r="L224" s="115">
        <v>274</v>
      </c>
      <c r="M224" s="115">
        <v>1</v>
      </c>
      <c r="N224" s="113">
        <v>10.58</v>
      </c>
      <c r="O224" s="115">
        <v>1746</v>
      </c>
      <c r="P224" s="115">
        <v>1903</v>
      </c>
      <c r="Q224" s="115">
        <v>125</v>
      </c>
      <c r="R224" s="115"/>
      <c r="S224" s="115">
        <v>18</v>
      </c>
      <c r="T224" s="115">
        <v>1826</v>
      </c>
      <c r="U224" s="117">
        <f t="shared" si="2"/>
        <v>1.736995944254871E-2</v>
      </c>
      <c r="V224" s="117"/>
      <c r="W224" s="117">
        <f t="shared" si="4"/>
        <v>6.568575932737783E-2</v>
      </c>
      <c r="X224" s="118">
        <f t="shared" si="5"/>
        <v>5.2777777777777777</v>
      </c>
      <c r="Y224" s="118">
        <f t="shared" si="6"/>
        <v>1.3101503759398496</v>
      </c>
      <c r="Z224" s="118">
        <f t="shared" si="7"/>
        <v>52.553862322648456</v>
      </c>
      <c r="AA224" s="119">
        <f t="shared" si="8"/>
        <v>0.10416666666666667</v>
      </c>
      <c r="AB224" s="119">
        <f t="shared" si="9"/>
        <v>0.44708423326133911</v>
      </c>
      <c r="AC224" s="117">
        <f t="shared" si="10"/>
        <v>0.16276041666666666</v>
      </c>
      <c r="AD224" s="120">
        <f t="shared" si="11"/>
        <v>10.416666666666666</v>
      </c>
      <c r="AE224" s="117">
        <f t="shared" si="12"/>
        <v>8.9992800575953921E-2</v>
      </c>
      <c r="AF224" s="118">
        <f t="shared" ca="1" si="13"/>
        <v>47.339319470699436</v>
      </c>
      <c r="AG224" s="117">
        <f t="shared" ca="1" si="14"/>
        <v>2.1124089048617348E-2</v>
      </c>
      <c r="AH224" s="120">
        <f t="shared" si="15"/>
        <v>64</v>
      </c>
      <c r="AI224" s="121">
        <f t="shared" ca="1" si="16"/>
        <v>7.8257812500000004</v>
      </c>
    </row>
    <row r="225" spans="1:35" ht="15.75" customHeight="1">
      <c r="A225" s="111">
        <v>505714</v>
      </c>
      <c r="B225" s="112" t="s">
        <v>220</v>
      </c>
      <c r="C225" s="113">
        <f ca="1">IFERROR(__xludf.DUMMYFUNCTION("GOOGLEFINANCE(""bom:""&amp;A225,""price"")"),476.55)</f>
        <v>476.55</v>
      </c>
      <c r="D225" s="114">
        <f ca="1">IFERROR(__xludf.DUMMYFUNCTION("GOOGLEFINANCE(""bom:""&amp;A225,""marketcap"")/10000000"),7200.8499205)</f>
        <v>7200.8499204999998</v>
      </c>
      <c r="E225" s="115">
        <v>1022</v>
      </c>
      <c r="F225" s="115">
        <v>589</v>
      </c>
      <c r="G225" s="115">
        <v>1595</v>
      </c>
      <c r="H225" s="115">
        <v>661</v>
      </c>
      <c r="I225" s="115">
        <v>14</v>
      </c>
      <c r="J225" s="115">
        <v>933</v>
      </c>
      <c r="K225" s="115">
        <v>10</v>
      </c>
      <c r="L225" s="115">
        <v>449</v>
      </c>
      <c r="M225" s="115">
        <v>1</v>
      </c>
      <c r="N225" s="113">
        <v>11.37</v>
      </c>
      <c r="O225" s="115">
        <v>1879</v>
      </c>
      <c r="P225" s="115">
        <v>2972</v>
      </c>
      <c r="Q225" s="115">
        <v>132</v>
      </c>
      <c r="R225" s="115">
        <v>3221</v>
      </c>
      <c r="S225" s="115">
        <v>5</v>
      </c>
      <c r="T225" s="115">
        <v>2811</v>
      </c>
      <c r="U225" s="117">
        <f t="shared" si="2"/>
        <v>9.6034955021281343E-2</v>
      </c>
      <c r="V225" s="117"/>
      <c r="W225" s="117">
        <f t="shared" si="4"/>
        <v>4.4414535666218037E-2</v>
      </c>
      <c r="X225" s="118">
        <f t="shared" si="5"/>
        <v>33.200000000000003</v>
      </c>
      <c r="Y225" s="118">
        <f t="shared" si="6"/>
        <v>1.7351443123938879</v>
      </c>
      <c r="Z225" s="118">
        <f t="shared" si="7"/>
        <v>55.143001345895023</v>
      </c>
      <c r="AA225" s="119">
        <f t="shared" si="8"/>
        <v>1.0718113612004287E-2</v>
      </c>
      <c r="AB225" s="119">
        <f t="shared" si="9"/>
        <v>0.41442006269592474</v>
      </c>
      <c r="AC225" s="117">
        <f t="shared" si="10"/>
        <v>0.14147909967845659</v>
      </c>
      <c r="AD225" s="120">
        <f t="shared" si="11"/>
        <v>9.4285714285714288</v>
      </c>
      <c r="AE225" s="117">
        <f t="shared" si="12"/>
        <v>8.2758620689655171E-2</v>
      </c>
      <c r="AF225" s="118">
        <f t="shared" ca="1" si="13"/>
        <v>41.912928759894463</v>
      </c>
      <c r="AG225" s="117">
        <f t="shared" ca="1" si="14"/>
        <v>2.3858986465218758E-2</v>
      </c>
      <c r="AH225" s="120">
        <f t="shared" si="15"/>
        <v>66.642857142857139</v>
      </c>
      <c r="AI225" s="121">
        <f t="shared" ca="1" si="16"/>
        <v>7.1508038585209013</v>
      </c>
    </row>
    <row r="226" spans="1:35" ht="15.75" customHeight="1">
      <c r="A226" s="111">
        <v>520051</v>
      </c>
      <c r="B226" s="112" t="s">
        <v>221</v>
      </c>
      <c r="C226" s="113">
        <f ca="1">IFERROR(__xludf.DUMMYFUNCTION("GOOGLEFINANCE(""bom:""&amp;A226,""price"")"),126.3)</f>
        <v>126.3</v>
      </c>
      <c r="D226" s="114">
        <f ca="1">IFERROR(__xludf.DUMMYFUNCTION("GOOGLEFINANCE(""bom:""&amp;A226,""marketcap"")/10000000"),5039.4467625)</f>
        <v>5039.4467624999997</v>
      </c>
      <c r="E226" s="115">
        <v>583</v>
      </c>
      <c r="F226" s="115">
        <v>329</v>
      </c>
      <c r="G226" s="115">
        <v>1207</v>
      </c>
      <c r="H226" s="115">
        <v>371</v>
      </c>
      <c r="I226" s="115">
        <v>39</v>
      </c>
      <c r="J226" s="115">
        <v>835</v>
      </c>
      <c r="K226" s="115">
        <v>59</v>
      </c>
      <c r="L226" s="115">
        <v>126</v>
      </c>
      <c r="M226" s="115">
        <v>1</v>
      </c>
      <c r="N226" s="113">
        <v>5.07</v>
      </c>
      <c r="O226" s="115">
        <v>1670</v>
      </c>
      <c r="P226" s="115">
        <v>2325</v>
      </c>
      <c r="Q226" s="115">
        <v>168</v>
      </c>
      <c r="R226" s="115"/>
      <c r="S226" s="115">
        <v>3</v>
      </c>
      <c r="T226" s="115">
        <v>2107</v>
      </c>
      <c r="U226" s="117">
        <f t="shared" si="2"/>
        <v>6.8418248714671392E-2</v>
      </c>
      <c r="V226" s="117"/>
      <c r="W226" s="117">
        <f t="shared" si="4"/>
        <v>7.2258064516129039E-2</v>
      </c>
      <c r="X226" s="118">
        <f t="shared" si="5"/>
        <v>73.666666666666671</v>
      </c>
      <c r="Y226" s="118">
        <f t="shared" si="6"/>
        <v>1.7720364741641337</v>
      </c>
      <c r="Z226" s="118">
        <f t="shared" si="7"/>
        <v>19.780645161290323</v>
      </c>
      <c r="AA226" s="119">
        <f t="shared" si="8"/>
        <v>7.0658682634730532E-2</v>
      </c>
      <c r="AB226" s="119">
        <f t="shared" si="9"/>
        <v>0.30737365368682684</v>
      </c>
      <c r="AC226" s="117">
        <f t="shared" si="10"/>
        <v>0.20119760479041915</v>
      </c>
      <c r="AD226" s="120">
        <f t="shared" si="11"/>
        <v>4.3076923076923075</v>
      </c>
      <c r="AE226" s="117">
        <f t="shared" si="12"/>
        <v>0.13918806959403479</v>
      </c>
      <c r="AF226" s="118">
        <f t="shared" ca="1" si="13"/>
        <v>24.911242603550296</v>
      </c>
      <c r="AG226" s="117">
        <f t="shared" ca="1" si="14"/>
        <v>4.0142517814726844E-2</v>
      </c>
      <c r="AH226" s="120">
        <f t="shared" si="15"/>
        <v>21.410256410256409</v>
      </c>
      <c r="AI226" s="121">
        <f t="shared" ca="1" si="16"/>
        <v>5.8990419161676648</v>
      </c>
    </row>
    <row r="227" spans="1:35" ht="15.75" customHeight="1">
      <c r="A227" s="111">
        <v>500039</v>
      </c>
      <c r="B227" s="112" t="s">
        <v>222</v>
      </c>
      <c r="C227" s="113">
        <f ca="1">IFERROR(__xludf.DUMMYFUNCTION("GOOGLEFINANCE(""bom:""&amp;A227,""price"")"),650.95)</f>
        <v>650.95000000000005</v>
      </c>
      <c r="D227" s="114">
        <f ca="1">IFERROR(__xludf.DUMMYFUNCTION("GOOGLEFINANCE(""bom:""&amp;A227,""marketcap"")/10000000"),4655.863464)</f>
        <v>4655.863464</v>
      </c>
      <c r="E227" s="115">
        <v>1504</v>
      </c>
      <c r="F227" s="115">
        <v>696</v>
      </c>
      <c r="G227" s="115">
        <v>1948</v>
      </c>
      <c r="H227" s="115">
        <v>1948</v>
      </c>
      <c r="I227" s="115">
        <v>14</v>
      </c>
      <c r="J227" s="115">
        <v>1047</v>
      </c>
      <c r="K227" s="115">
        <v>281.69</v>
      </c>
      <c r="L227" s="115">
        <v>506</v>
      </c>
      <c r="M227" s="115">
        <v>2</v>
      </c>
      <c r="N227" s="113">
        <v>35.549999999999997</v>
      </c>
      <c r="O227" s="115">
        <v>1414</v>
      </c>
      <c r="P227" s="115">
        <v>2347</v>
      </c>
      <c r="Q227" s="115">
        <v>236</v>
      </c>
      <c r="R227" s="115"/>
      <c r="S227" s="115">
        <v>13</v>
      </c>
      <c r="T227" s="115">
        <v>2037</v>
      </c>
      <c r="U227" s="117">
        <f t="shared" si="2"/>
        <v>0.10665623706707872</v>
      </c>
      <c r="V227" s="117"/>
      <c r="W227" s="117">
        <f t="shared" si="4"/>
        <v>0.10055389859394973</v>
      </c>
      <c r="X227" s="118">
        <f t="shared" si="5"/>
        <v>24.846153846153847</v>
      </c>
      <c r="Y227" s="118">
        <f t="shared" si="6"/>
        <v>2.1609195402298851</v>
      </c>
      <c r="Z227" s="118">
        <f t="shared" si="7"/>
        <v>78.691947166595654</v>
      </c>
      <c r="AA227" s="119">
        <f t="shared" si="8"/>
        <v>0.26904489016236866</v>
      </c>
      <c r="AB227" s="119">
        <f t="shared" si="9"/>
        <v>1</v>
      </c>
      <c r="AC227" s="117">
        <f t="shared" si="10"/>
        <v>0.22540592168099333</v>
      </c>
      <c r="AD227" s="120">
        <f t="shared" si="11"/>
        <v>16.857142857142858</v>
      </c>
      <c r="AE227" s="117">
        <f t="shared" si="12"/>
        <v>0.12114989733059549</v>
      </c>
      <c r="AF227" s="118">
        <f t="shared" ca="1" si="13"/>
        <v>18.310829817158933</v>
      </c>
      <c r="AG227" s="117">
        <f t="shared" ca="1" si="14"/>
        <v>5.4612489438512934E-2</v>
      </c>
      <c r="AH227" s="120">
        <f t="shared" si="15"/>
        <v>149.57142857142858</v>
      </c>
      <c r="AI227" s="121">
        <f t="shared" ca="1" si="16"/>
        <v>4.3521012416427887</v>
      </c>
    </row>
    <row r="228" spans="1:35" ht="15.75" customHeight="1">
      <c r="A228" s="111">
        <v>535602</v>
      </c>
      <c r="B228" s="112" t="s">
        <v>223</v>
      </c>
      <c r="C228" s="113">
        <f ca="1">IFERROR(__xludf.DUMMYFUNCTION("GOOGLEFINANCE(""bom:""&amp;A228,""price"")"),2568)</f>
        <v>2568</v>
      </c>
      <c r="D228" s="114">
        <f ca="1">IFERROR(__xludf.DUMMYFUNCTION("GOOGLEFINANCE(""bom:""&amp;A228,""marketcap"")/10000000"),7349.9081113)</f>
        <v>7349.9081113000002</v>
      </c>
      <c r="E228" s="115">
        <v>1183</v>
      </c>
      <c r="F228" s="115">
        <v>634</v>
      </c>
      <c r="G228" s="115">
        <v>1509</v>
      </c>
      <c r="H228" s="115">
        <v>666</v>
      </c>
      <c r="I228" s="115">
        <v>6</v>
      </c>
      <c r="J228" s="115">
        <v>842</v>
      </c>
      <c r="K228" s="115" t="s">
        <v>224</v>
      </c>
      <c r="L228" s="115">
        <v>293</v>
      </c>
      <c r="M228" s="115">
        <v>2</v>
      </c>
      <c r="N228" s="113">
        <v>81.98</v>
      </c>
      <c r="O228" s="115">
        <v>1204</v>
      </c>
      <c r="P228" s="115">
        <v>2742</v>
      </c>
      <c r="Q228" s="115">
        <v>208</v>
      </c>
      <c r="R228" s="115"/>
      <c r="S228" s="115">
        <v>2</v>
      </c>
      <c r="T228" s="115">
        <v>2466</v>
      </c>
      <c r="U228" s="117">
        <f t="shared" si="2"/>
        <v>0.17893047087360303</v>
      </c>
      <c r="V228" s="117"/>
      <c r="W228" s="117">
        <f t="shared" si="4"/>
        <v>7.5857038657913933E-2</v>
      </c>
      <c r="X228" s="118">
        <f t="shared" si="5"/>
        <v>139</v>
      </c>
      <c r="Y228" s="118">
        <f t="shared" si="6"/>
        <v>1.8659305993690851</v>
      </c>
      <c r="Z228" s="118">
        <f t="shared" si="7"/>
        <v>39.002552881108677</v>
      </c>
      <c r="AA228" s="119" t="e">
        <f t="shared" si="8"/>
        <v>#VALUE!</v>
      </c>
      <c r="AB228" s="119">
        <f t="shared" si="9"/>
        <v>0.44135188866799202</v>
      </c>
      <c r="AC228" s="117">
        <f t="shared" si="10"/>
        <v>0.24703087885985747</v>
      </c>
      <c r="AD228" s="120">
        <f t="shared" si="11"/>
        <v>34.666666666666664</v>
      </c>
      <c r="AE228" s="117">
        <f t="shared" si="12"/>
        <v>0.13783962889330684</v>
      </c>
      <c r="AF228" s="118">
        <f t="shared" ca="1" si="13"/>
        <v>31.324713344718223</v>
      </c>
      <c r="AG228" s="117">
        <f t="shared" ca="1" si="14"/>
        <v>3.1923676012461058E-2</v>
      </c>
      <c r="AH228" s="120">
        <f t="shared" si="15"/>
        <v>280.66666666666669</v>
      </c>
      <c r="AI228" s="121">
        <f t="shared" ca="1" si="16"/>
        <v>9.1496437054631823</v>
      </c>
    </row>
    <row r="229" spans="1:35" ht="15.75" customHeight="1">
      <c r="A229" s="111">
        <v>513262</v>
      </c>
      <c r="B229" s="112" t="s">
        <v>225</v>
      </c>
      <c r="C229" s="113">
        <f ca="1">IFERROR(__xludf.DUMMYFUNCTION("GOOGLEFINANCE(""bom:""&amp;A229,""price"")"),212.2)</f>
        <v>212.2</v>
      </c>
      <c r="D229" s="114">
        <f ca="1">IFERROR(__xludf.DUMMYFUNCTION("GOOGLEFINANCE(""bom:""&amp;A229,""marketcap"")/10000000"),3328.7842349)</f>
        <v>3328.7842348999998</v>
      </c>
      <c r="E229" s="115">
        <v>1249</v>
      </c>
      <c r="F229" s="115">
        <v>1242</v>
      </c>
      <c r="G229" s="115">
        <v>2999</v>
      </c>
      <c r="H229" s="115">
        <v>1776</v>
      </c>
      <c r="I229" s="115">
        <v>16</v>
      </c>
      <c r="J229" s="115">
        <v>1223</v>
      </c>
      <c r="K229" s="115">
        <v>836</v>
      </c>
      <c r="L229" s="115">
        <v>465</v>
      </c>
      <c r="M229" s="115">
        <v>1</v>
      </c>
      <c r="N229" s="113">
        <v>13.15</v>
      </c>
      <c r="O229" s="115">
        <v>1557</v>
      </c>
      <c r="P229" s="115">
        <v>4040</v>
      </c>
      <c r="Q229" s="115">
        <v>194</v>
      </c>
      <c r="R229" s="115"/>
      <c r="S229" s="115">
        <v>83</v>
      </c>
      <c r="T229" s="115">
        <v>3762</v>
      </c>
      <c r="U229" s="117">
        <f t="shared" si="2"/>
        <v>0.21009244779233427</v>
      </c>
      <c r="V229" s="117"/>
      <c r="W229" s="117">
        <f t="shared" si="4"/>
        <v>4.8019801980198021E-2</v>
      </c>
      <c r="X229" s="118">
        <f t="shared" si="5"/>
        <v>4.3493975903614457</v>
      </c>
      <c r="Y229" s="118">
        <f t="shared" si="6"/>
        <v>1.0056360708534622</v>
      </c>
      <c r="Z229" s="118">
        <f t="shared" si="7"/>
        <v>42.011138613861391</v>
      </c>
      <c r="AA229" s="119">
        <f t="shared" si="8"/>
        <v>0.68356500408830745</v>
      </c>
      <c r="AB229" s="119">
        <f t="shared" si="9"/>
        <v>0.59219739913304437</v>
      </c>
      <c r="AC229" s="117">
        <f t="shared" si="10"/>
        <v>0.15862632869991825</v>
      </c>
      <c r="AD229" s="120">
        <f t="shared" si="11"/>
        <v>12.125</v>
      </c>
      <c r="AE229" s="117">
        <f t="shared" si="12"/>
        <v>6.4688229409803275E-2</v>
      </c>
      <c r="AF229" s="118">
        <f t="shared" ca="1" si="13"/>
        <v>16.136882129277566</v>
      </c>
      <c r="AG229" s="117">
        <f t="shared" ca="1" si="14"/>
        <v>6.1969839773798309E-2</v>
      </c>
      <c r="AH229" s="120">
        <f t="shared" si="15"/>
        <v>76.4375</v>
      </c>
      <c r="AI229" s="121">
        <f t="shared" ca="1" si="16"/>
        <v>2.7761242845461975</v>
      </c>
    </row>
    <row r="230" spans="1:35" ht="15.75" customHeight="1">
      <c r="A230" s="111">
        <v>517168</v>
      </c>
      <c r="B230" s="112" t="s">
        <v>226</v>
      </c>
      <c r="C230" s="113">
        <f ca="1">IFERROR(__xludf.DUMMYFUNCTION("GOOGLEFINANCE(""bom:""&amp;A230,""price"")"),688.45)</f>
        <v>688.45</v>
      </c>
      <c r="D230" s="114">
        <f ca="1">IFERROR(__xludf.DUMMYFUNCTION("GOOGLEFINANCE(""bom:""&amp;A230,""marketcap"")/10000000"),4484.6317133)</f>
        <v>4484.6317133000002</v>
      </c>
      <c r="E230" s="115">
        <v>847</v>
      </c>
      <c r="F230" s="115">
        <v>717</v>
      </c>
      <c r="G230" s="115">
        <v>1683</v>
      </c>
      <c r="H230" s="115">
        <v>784</v>
      </c>
      <c r="I230" s="115">
        <v>13</v>
      </c>
      <c r="J230" s="115">
        <v>898</v>
      </c>
      <c r="K230" s="115">
        <v>38</v>
      </c>
      <c r="L230" s="115">
        <v>337</v>
      </c>
      <c r="M230" s="115">
        <v>2</v>
      </c>
      <c r="N230" s="113">
        <v>13.11</v>
      </c>
      <c r="O230" s="115">
        <v>1969</v>
      </c>
      <c r="P230" s="115">
        <v>2806</v>
      </c>
      <c r="Q230" s="115">
        <v>48</v>
      </c>
      <c r="R230" s="115"/>
      <c r="S230" s="115">
        <v>7</v>
      </c>
      <c r="T230" s="115">
        <v>2756</v>
      </c>
      <c r="U230" s="117">
        <f t="shared" si="2"/>
        <v>7.3416804899884447E-2</v>
      </c>
      <c r="V230" s="117"/>
      <c r="W230" s="117">
        <f t="shared" si="4"/>
        <v>1.7106200997861726E-2</v>
      </c>
      <c r="X230" s="118">
        <f t="shared" si="5"/>
        <v>8.1428571428571423</v>
      </c>
      <c r="Y230" s="118">
        <f t="shared" si="6"/>
        <v>1.1813110181311017</v>
      </c>
      <c r="Z230" s="118">
        <f t="shared" si="7"/>
        <v>43.836421952957949</v>
      </c>
      <c r="AA230" s="119">
        <f t="shared" si="8"/>
        <v>4.2316258351893093E-2</v>
      </c>
      <c r="AB230" s="119">
        <f t="shared" si="9"/>
        <v>0.46583481877599525</v>
      </c>
      <c r="AC230" s="117">
        <f t="shared" si="10"/>
        <v>5.3452115812917596E-2</v>
      </c>
      <c r="AD230" s="120">
        <f t="shared" si="11"/>
        <v>3.6923076923076925</v>
      </c>
      <c r="AE230" s="117">
        <f t="shared" si="12"/>
        <v>2.8520499108734401E-2</v>
      </c>
      <c r="AF230" s="118">
        <f t="shared" ca="1" si="13"/>
        <v>52.513348588863465</v>
      </c>
      <c r="AG230" s="117">
        <f t="shared" ca="1" si="14"/>
        <v>1.9042777253250053E-2</v>
      </c>
      <c r="AH230" s="120">
        <f t="shared" si="15"/>
        <v>138.15384615384616</v>
      </c>
      <c r="AI230" s="121">
        <f t="shared" ca="1" si="16"/>
        <v>4.9832126948775057</v>
      </c>
    </row>
    <row r="231" spans="1:35" ht="15.75" customHeight="1">
      <c r="A231" s="111">
        <v>520057</v>
      </c>
      <c r="B231" s="112" t="s">
        <v>227</v>
      </c>
      <c r="C231" s="113">
        <f ca="1">IFERROR(__xludf.DUMMYFUNCTION("GOOGLEFINANCE(""bom:""&amp;A231,""price"")"),172.7)</f>
        <v>172.7</v>
      </c>
      <c r="D231" s="114">
        <f ca="1">IFERROR(__xludf.DUMMYFUNCTION("GOOGLEFINANCE(""bom:""&amp;A231,""marketcap"")/10000000"),4398.7967792)</f>
        <v>4398.7967791999999</v>
      </c>
      <c r="E231" s="115">
        <v>596</v>
      </c>
      <c r="F231" s="115">
        <v>375</v>
      </c>
      <c r="G231" s="115">
        <v>1177</v>
      </c>
      <c r="H231" s="115">
        <v>412</v>
      </c>
      <c r="I231" s="115">
        <v>24</v>
      </c>
      <c r="J231" s="115">
        <v>764</v>
      </c>
      <c r="K231" s="115">
        <v>64</v>
      </c>
      <c r="L231" s="115">
        <v>334</v>
      </c>
      <c r="M231" s="115">
        <v>1</v>
      </c>
      <c r="N231" s="113">
        <v>3.97</v>
      </c>
      <c r="O231" s="115">
        <v>1296</v>
      </c>
      <c r="P231" s="115">
        <v>2044</v>
      </c>
      <c r="Q231" s="115">
        <v>87</v>
      </c>
      <c r="R231" s="115"/>
      <c r="S231" s="115">
        <v>5</v>
      </c>
      <c r="T231" s="115">
        <v>1935</v>
      </c>
      <c r="U231" s="117">
        <f t="shared" si="2"/>
        <v>9.5406157824610371E-2</v>
      </c>
      <c r="V231" s="117"/>
      <c r="W231" s="117">
        <f t="shared" si="4"/>
        <v>4.2563600782778863E-2</v>
      </c>
      <c r="X231" s="118">
        <f t="shared" si="5"/>
        <v>22.8</v>
      </c>
      <c r="Y231" s="118">
        <f t="shared" si="6"/>
        <v>1.5893333333333333</v>
      </c>
      <c r="Z231" s="118">
        <f t="shared" si="7"/>
        <v>59.642857142857139</v>
      </c>
      <c r="AA231" s="119">
        <f t="shared" si="8"/>
        <v>8.3769633507853408E-2</v>
      </c>
      <c r="AB231" s="119">
        <f t="shared" si="9"/>
        <v>0.3500424808836024</v>
      </c>
      <c r="AC231" s="117">
        <f t="shared" si="10"/>
        <v>0.11387434554973822</v>
      </c>
      <c r="AD231" s="120">
        <f t="shared" si="11"/>
        <v>3.625</v>
      </c>
      <c r="AE231" s="117">
        <f t="shared" si="12"/>
        <v>7.3916737468139343E-2</v>
      </c>
      <c r="AF231" s="118">
        <f t="shared" ca="1" si="13"/>
        <v>43.501259445843822</v>
      </c>
      <c r="AG231" s="117">
        <f t="shared" ca="1" si="14"/>
        <v>2.2987840185292416E-2</v>
      </c>
      <c r="AH231" s="120">
        <f t="shared" si="15"/>
        <v>31.833333333333332</v>
      </c>
      <c r="AI231" s="121">
        <f t="shared" ca="1" si="16"/>
        <v>5.4251308900523556</v>
      </c>
    </row>
    <row r="232" spans="1:35" ht="15.75" customHeight="1">
      <c r="A232" s="111">
        <v>500250</v>
      </c>
      <c r="B232" s="112" t="s">
        <v>228</v>
      </c>
      <c r="C232" s="113">
        <f ca="1">IFERROR(__xludf.DUMMYFUNCTION("GOOGLEFINANCE(""bom:""&amp;A232,""price"")"),1287.3)</f>
        <v>1287.3</v>
      </c>
      <c r="D232" s="114">
        <f ca="1">IFERROR(__xludf.DUMMYFUNCTION("GOOGLEFINANCE(""bom:""&amp;A232,""marketcap"")/10000000"),4046.481649)</f>
        <v>4046.4816489999998</v>
      </c>
      <c r="E232" s="115">
        <v>1279</v>
      </c>
      <c r="F232" s="115">
        <v>544</v>
      </c>
      <c r="G232" s="115">
        <v>2072</v>
      </c>
      <c r="H232" s="115">
        <v>599</v>
      </c>
      <c r="I232" s="115">
        <v>31</v>
      </c>
      <c r="J232" s="115">
        <v>1472</v>
      </c>
      <c r="K232" s="115">
        <v>70</v>
      </c>
      <c r="L232" s="115">
        <v>290</v>
      </c>
      <c r="M232" s="115">
        <v>10</v>
      </c>
      <c r="N232" s="113">
        <v>82.15</v>
      </c>
      <c r="O232" s="115">
        <v>1459</v>
      </c>
      <c r="P232" s="115">
        <v>2225</v>
      </c>
      <c r="Q232" s="115">
        <v>252</v>
      </c>
      <c r="R232" s="115"/>
      <c r="S232" s="115">
        <v>7</v>
      </c>
      <c r="T232" s="115">
        <v>1905</v>
      </c>
      <c r="U232" s="117">
        <f t="shared" si="2"/>
        <v>8.8065261047739707E-2</v>
      </c>
      <c r="V232" s="117"/>
      <c r="W232" s="117">
        <f t="shared" si="4"/>
        <v>0.11325842696629214</v>
      </c>
      <c r="X232" s="118">
        <f t="shared" si="5"/>
        <v>46.714285714285715</v>
      </c>
      <c r="Y232" s="118">
        <f t="shared" si="6"/>
        <v>2.3511029411764706</v>
      </c>
      <c r="Z232" s="118">
        <f t="shared" si="7"/>
        <v>47.573033707865171</v>
      </c>
      <c r="AA232" s="119">
        <f t="shared" si="8"/>
        <v>4.755434782608696E-2</v>
      </c>
      <c r="AB232" s="119">
        <f t="shared" si="9"/>
        <v>0.2890926640926641</v>
      </c>
      <c r="AC232" s="117">
        <f t="shared" si="10"/>
        <v>0.17119565217391305</v>
      </c>
      <c r="AD232" s="120">
        <f t="shared" si="11"/>
        <v>8.129032258064516</v>
      </c>
      <c r="AE232" s="117">
        <f t="shared" si="12"/>
        <v>0.12162162162162163</v>
      </c>
      <c r="AF232" s="118">
        <f t="shared" ca="1" si="13"/>
        <v>15.670115642118075</v>
      </c>
      <c r="AG232" s="117">
        <f t="shared" ca="1" si="14"/>
        <v>6.3815738367124994E-2</v>
      </c>
      <c r="AH232" s="120">
        <f t="shared" si="15"/>
        <v>474.83870967741933</v>
      </c>
      <c r="AI232" s="121">
        <f t="shared" ca="1" si="16"/>
        <v>2.7110258152173912</v>
      </c>
    </row>
    <row r="233" spans="1:35" ht="15.75" customHeight="1">
      <c r="A233" s="111">
        <v>517522</v>
      </c>
      <c r="B233" s="112" t="s">
        <v>229</v>
      </c>
      <c r="C233" s="113">
        <f ca="1">IFERROR(__xludf.DUMMYFUNCTION("GOOGLEFINANCE(""bom:""&amp;A233,""price"")"),576.05)</f>
        <v>576.04999999999995</v>
      </c>
      <c r="D233" s="114">
        <f ca="1">IFERROR(__xludf.DUMMYFUNCTION("GOOGLEFINANCE(""bom:""&amp;A233,""marketcap"")/10000000"),2928.2168482)</f>
        <v>2928.2168482000002</v>
      </c>
      <c r="E233" s="115">
        <v>284</v>
      </c>
      <c r="F233" s="115">
        <v>233</v>
      </c>
      <c r="G233" s="115">
        <v>809</v>
      </c>
      <c r="H233" s="115">
        <v>357</v>
      </c>
      <c r="I233" s="115">
        <v>10</v>
      </c>
      <c r="J233" s="115">
        <v>452</v>
      </c>
      <c r="K233" s="115">
        <v>224</v>
      </c>
      <c r="L233" s="115">
        <v>164</v>
      </c>
      <c r="M233" s="115">
        <v>2</v>
      </c>
      <c r="N233" s="115">
        <v>11.3</v>
      </c>
      <c r="O233" s="115">
        <v>2225</v>
      </c>
      <c r="P233" s="115">
        <v>895</v>
      </c>
      <c r="Q233" s="115">
        <v>100</v>
      </c>
      <c r="R233" s="115"/>
      <c r="S233" s="115">
        <v>17</v>
      </c>
      <c r="T233" s="115">
        <v>768</v>
      </c>
      <c r="U233" s="117">
        <f t="shared" si="2"/>
        <v>-0.1665134346396463</v>
      </c>
      <c r="V233" s="117"/>
      <c r="W233" s="117">
        <f t="shared" si="4"/>
        <v>0.11173184357541899</v>
      </c>
      <c r="X233" s="118">
        <f t="shared" si="5"/>
        <v>8.4705882352941178</v>
      </c>
      <c r="Y233" s="118">
        <f t="shared" si="6"/>
        <v>1.2188841201716738</v>
      </c>
      <c r="Z233" s="118">
        <f t="shared" si="7"/>
        <v>66.882681564245814</v>
      </c>
      <c r="AA233" s="119">
        <f t="shared" si="8"/>
        <v>0.49557522123893805</v>
      </c>
      <c r="AB233" s="119">
        <f t="shared" si="9"/>
        <v>0.44128553770086526</v>
      </c>
      <c r="AC233" s="117">
        <f t="shared" si="10"/>
        <v>0.22123893805309736</v>
      </c>
      <c r="AD233" s="120">
        <f t="shared" si="11"/>
        <v>10</v>
      </c>
      <c r="AE233" s="117">
        <f t="shared" si="12"/>
        <v>0.12360939431396786</v>
      </c>
      <c r="AF233" s="118">
        <f t="shared" ca="1" si="13"/>
        <v>50.977876106194685</v>
      </c>
      <c r="AG233" s="117">
        <f t="shared" ca="1" si="14"/>
        <v>1.9616352747157367E-2</v>
      </c>
      <c r="AH233" s="120">
        <f t="shared" si="15"/>
        <v>90.4</v>
      </c>
      <c r="AI233" s="121">
        <f t="shared" ca="1" si="16"/>
        <v>6.3722345132743357</v>
      </c>
    </row>
    <row r="234" spans="1:35" ht="15.75" customHeight="1">
      <c r="A234" s="111">
        <v>541163</v>
      </c>
      <c r="B234" s="112" t="s">
        <v>230</v>
      </c>
      <c r="C234" s="113">
        <f ca="1">IFERROR(__xludf.DUMMYFUNCTION("GOOGLEFINANCE(""bom:""&amp;A234,""price"")"),641.6)</f>
        <v>641.6</v>
      </c>
      <c r="D234" s="114">
        <f ca="1">IFERROR(__xludf.DUMMYFUNCTION("GOOGLEFINANCE(""bom:""&amp;A234,""marketcap"")/10000000"),3850.0982724)</f>
        <v>3850.0982724</v>
      </c>
      <c r="E234" s="115">
        <v>562</v>
      </c>
      <c r="F234" s="115">
        <v>409</v>
      </c>
      <c r="G234" s="115">
        <v>1464</v>
      </c>
      <c r="H234" s="115">
        <v>499</v>
      </c>
      <c r="I234" s="115">
        <v>60</v>
      </c>
      <c r="J234" s="115">
        <v>965</v>
      </c>
      <c r="K234" s="115">
        <v>102</v>
      </c>
      <c r="L234" s="115">
        <v>348</v>
      </c>
      <c r="M234" s="115">
        <v>10</v>
      </c>
      <c r="N234" s="113">
        <v>16.36</v>
      </c>
      <c r="O234" s="115">
        <v>1984</v>
      </c>
      <c r="P234" s="115">
        <v>2909</v>
      </c>
      <c r="Q234" s="115">
        <v>73</v>
      </c>
      <c r="R234" s="115"/>
      <c r="S234" s="115">
        <v>36</v>
      </c>
      <c r="T234" s="115">
        <v>2817</v>
      </c>
      <c r="U234" s="117">
        <f t="shared" si="2"/>
        <v>7.9544155861412058E-2</v>
      </c>
      <c r="V234" s="117"/>
      <c r="W234" s="117">
        <f t="shared" si="4"/>
        <v>2.5094534204193882E-2</v>
      </c>
      <c r="X234" s="118">
        <f t="shared" si="5"/>
        <v>3.5555555555555554</v>
      </c>
      <c r="Y234" s="118">
        <f t="shared" si="6"/>
        <v>1.3740831295843521</v>
      </c>
      <c r="Z234" s="118">
        <f t="shared" si="7"/>
        <v>43.664489515297355</v>
      </c>
      <c r="AA234" s="119">
        <f t="shared" si="8"/>
        <v>0.10569948186528498</v>
      </c>
      <c r="AB234" s="119">
        <f t="shared" si="9"/>
        <v>0.34084699453551914</v>
      </c>
      <c r="AC234" s="117">
        <f t="shared" si="10"/>
        <v>7.5647668393782383E-2</v>
      </c>
      <c r="AD234" s="120">
        <f t="shared" si="11"/>
        <v>1.2166666666666666</v>
      </c>
      <c r="AE234" s="117">
        <f t="shared" si="12"/>
        <v>4.9863387978142076E-2</v>
      </c>
      <c r="AF234" s="118">
        <f t="shared" ca="1" si="13"/>
        <v>39.21760391198044</v>
      </c>
      <c r="AG234" s="117">
        <f t="shared" ca="1" si="14"/>
        <v>2.5498753117206979E-2</v>
      </c>
      <c r="AH234" s="120">
        <f t="shared" si="15"/>
        <v>160.83333333333334</v>
      </c>
      <c r="AI234" s="121">
        <f t="shared" ca="1" si="16"/>
        <v>3.9892227979274613</v>
      </c>
    </row>
    <row r="235" spans="1:35" ht="15.75" customHeight="1">
      <c r="A235" s="111">
        <v>530367</v>
      </c>
      <c r="B235" s="112" t="s">
        <v>231</v>
      </c>
      <c r="C235" s="113">
        <f ca="1">IFERROR(__xludf.DUMMYFUNCTION("GOOGLEFINANCE(""bom:""&amp;A235,""price"")"),299.9)</f>
        <v>299.89999999999998</v>
      </c>
      <c r="D235" s="114">
        <f ca="1">IFERROR(__xludf.DUMMYFUNCTION("GOOGLEFINANCE(""bom:""&amp;A235,""marketcap"")/10000000"),2908.6475852)</f>
        <v>2908.6475851999999</v>
      </c>
      <c r="E235" s="115">
        <v>800</v>
      </c>
      <c r="F235" s="115">
        <v>494</v>
      </c>
      <c r="G235" s="115">
        <v>1251</v>
      </c>
      <c r="H235" s="115">
        <v>566</v>
      </c>
      <c r="I235" s="115">
        <v>19</v>
      </c>
      <c r="J235" s="115">
        <v>685</v>
      </c>
      <c r="K235" s="115">
        <v>299</v>
      </c>
      <c r="L235" s="115">
        <v>209</v>
      </c>
      <c r="M235" s="115">
        <v>2</v>
      </c>
      <c r="N235" s="113">
        <v>25.04</v>
      </c>
      <c r="O235" s="115">
        <v>874</v>
      </c>
      <c r="P235" s="115">
        <v>1057</v>
      </c>
      <c r="Q235" s="115">
        <v>96</v>
      </c>
      <c r="R235" s="115"/>
      <c r="S235" s="115">
        <v>20</v>
      </c>
      <c r="T235" s="115">
        <v>943</v>
      </c>
      <c r="U235" s="117">
        <f t="shared" si="2"/>
        <v>3.8754004238784834E-2</v>
      </c>
      <c r="V235" s="117"/>
      <c r="W235" s="117">
        <f t="shared" si="4"/>
        <v>9.0823084200567644E-2</v>
      </c>
      <c r="X235" s="118">
        <f t="shared" si="5"/>
        <v>6.7</v>
      </c>
      <c r="Y235" s="118">
        <f t="shared" si="6"/>
        <v>1.6194331983805668</v>
      </c>
      <c r="Z235" s="118">
        <f t="shared" si="7"/>
        <v>72.171239356669815</v>
      </c>
      <c r="AA235" s="119">
        <f t="shared" si="8"/>
        <v>0.43649635036496348</v>
      </c>
      <c r="AB235" s="119">
        <f t="shared" si="9"/>
        <v>0.45243804956035172</v>
      </c>
      <c r="AC235" s="117">
        <f t="shared" si="10"/>
        <v>0.14014598540145987</v>
      </c>
      <c r="AD235" s="120">
        <f t="shared" si="11"/>
        <v>5.0526315789473681</v>
      </c>
      <c r="AE235" s="117">
        <f t="shared" si="12"/>
        <v>7.6738609112709827E-2</v>
      </c>
      <c r="AF235" s="118">
        <f t="shared" ca="1" si="13"/>
        <v>11.976837060702875</v>
      </c>
      <c r="AG235" s="117">
        <f t="shared" ca="1" si="14"/>
        <v>8.349449816605535E-2</v>
      </c>
      <c r="AH235" s="120">
        <f t="shared" si="15"/>
        <v>72.10526315789474</v>
      </c>
      <c r="AI235" s="121">
        <f t="shared" ca="1" si="16"/>
        <v>4.1591970802919702</v>
      </c>
    </row>
    <row r="236" spans="1:35" ht="15.75" customHeight="1">
      <c r="A236" s="111">
        <v>532796</v>
      </c>
      <c r="B236" s="112" t="s">
        <v>232</v>
      </c>
      <c r="C236" s="113">
        <f ca="1">IFERROR(__xludf.DUMMYFUNCTION("GOOGLEFINANCE(""bom:""&amp;A236,""price"")"),525.55)</f>
        <v>525.54999999999995</v>
      </c>
      <c r="D236" s="114">
        <f ca="1">IFERROR(__xludf.DUMMYFUNCTION("GOOGLEFINANCE(""bom:""&amp;A236,""marketcap"")/10000000"),3582.7096669)</f>
        <v>3582.7096668999998</v>
      </c>
      <c r="E236" s="115">
        <v>1134</v>
      </c>
      <c r="F236" s="115">
        <v>901</v>
      </c>
      <c r="G236" s="115">
        <v>2352</v>
      </c>
      <c r="H236" s="115">
        <v>1441</v>
      </c>
      <c r="I236" s="115">
        <v>14</v>
      </c>
      <c r="J236" s="115">
        <v>911</v>
      </c>
      <c r="K236" s="115">
        <v>614</v>
      </c>
      <c r="L236" s="115">
        <v>522</v>
      </c>
      <c r="M236" s="115">
        <v>2</v>
      </c>
      <c r="N236" s="113">
        <v>15.36</v>
      </c>
      <c r="O236" s="115">
        <v>1273</v>
      </c>
      <c r="P236" s="115">
        <v>1848</v>
      </c>
      <c r="Q236" s="115">
        <v>139</v>
      </c>
      <c r="R236" s="115"/>
      <c r="S236" s="115">
        <v>16</v>
      </c>
      <c r="T236" s="115">
        <v>172</v>
      </c>
      <c r="U236" s="117">
        <f t="shared" si="2"/>
        <v>7.7394396957673806E-2</v>
      </c>
      <c r="V236" s="117"/>
      <c r="W236" s="117">
        <f t="shared" si="4"/>
        <v>7.5216450216450223E-2</v>
      </c>
      <c r="X236" s="118">
        <f t="shared" si="5"/>
        <v>105.75</v>
      </c>
      <c r="Y236" s="118">
        <f t="shared" si="6"/>
        <v>1.2586015538290789</v>
      </c>
      <c r="Z236" s="118">
        <f t="shared" si="7"/>
        <v>103.10064935064935</v>
      </c>
      <c r="AA236" s="119">
        <f t="shared" si="8"/>
        <v>0.67398463227222827</v>
      </c>
      <c r="AB236" s="119">
        <f t="shared" si="9"/>
        <v>0.61267006802721091</v>
      </c>
      <c r="AC236" s="117">
        <f t="shared" si="10"/>
        <v>0.15257958287596049</v>
      </c>
      <c r="AD236" s="120">
        <f t="shared" si="11"/>
        <v>9.9285714285714288</v>
      </c>
      <c r="AE236" s="117">
        <f t="shared" si="12"/>
        <v>5.9098639455782316E-2</v>
      </c>
      <c r="AF236" s="118">
        <f t="shared" ca="1" si="13"/>
        <v>34.215494791666664</v>
      </c>
      <c r="AG236" s="117">
        <f t="shared" ca="1" si="14"/>
        <v>2.9226524593283228E-2</v>
      </c>
      <c r="AH236" s="120">
        <f t="shared" si="15"/>
        <v>130.14285714285714</v>
      </c>
      <c r="AI236" s="121">
        <f t="shared" ca="1" si="16"/>
        <v>4.0382546652030733</v>
      </c>
    </row>
    <row r="237" spans="1:35" ht="15.75" customHeight="1">
      <c r="A237" s="111">
        <v>505010</v>
      </c>
      <c r="B237" s="112" t="s">
        <v>233</v>
      </c>
      <c r="C237" s="113">
        <f ca="1">IFERROR(__xludf.DUMMYFUNCTION("GOOGLEFINANCE(""bom:""&amp;A237,""price"")"),1871.85)</f>
        <v>1871.85</v>
      </c>
      <c r="D237" s="114">
        <f ca="1">IFERROR(__xludf.DUMMYFUNCTION("GOOGLEFINANCE(""bom:""&amp;A237,""marketcap"")/10000000"),2825.93839)</f>
        <v>2825.9383899999998</v>
      </c>
      <c r="E237" s="115">
        <v>889</v>
      </c>
      <c r="F237" s="115">
        <v>334</v>
      </c>
      <c r="G237" s="115">
        <v>1154</v>
      </c>
      <c r="H237" s="115">
        <v>361</v>
      </c>
      <c r="I237" s="115">
        <v>15</v>
      </c>
      <c r="J237" s="115">
        <v>793</v>
      </c>
      <c r="K237" s="115">
        <v>8</v>
      </c>
      <c r="L237" s="115">
        <v>391</v>
      </c>
      <c r="M237" s="115">
        <v>10</v>
      </c>
      <c r="N237" s="113">
        <v>114.4</v>
      </c>
      <c r="O237" s="115">
        <v>1553</v>
      </c>
      <c r="P237" s="115">
        <v>2324</v>
      </c>
      <c r="Q237" s="115">
        <v>162</v>
      </c>
      <c r="R237" s="115"/>
      <c r="S237" s="115">
        <v>3</v>
      </c>
      <c r="T237" s="115">
        <v>211</v>
      </c>
      <c r="U237" s="117">
        <f t="shared" si="2"/>
        <v>8.3959194614775523E-2</v>
      </c>
      <c r="V237" s="117"/>
      <c r="W237" s="117">
        <f t="shared" si="4"/>
        <v>6.9707401032702232E-2</v>
      </c>
      <c r="X237" s="118">
        <f t="shared" si="5"/>
        <v>705.33333333333337</v>
      </c>
      <c r="Y237" s="118">
        <f t="shared" si="6"/>
        <v>2.6616766467065869</v>
      </c>
      <c r="Z237" s="118">
        <f t="shared" si="7"/>
        <v>61.409208261617898</v>
      </c>
      <c r="AA237" s="119">
        <f t="shared" si="8"/>
        <v>1.0088272383354351E-2</v>
      </c>
      <c r="AB237" s="119">
        <f t="shared" si="9"/>
        <v>0.3128249566724437</v>
      </c>
      <c r="AC237" s="117">
        <f t="shared" si="10"/>
        <v>0.20428751576292559</v>
      </c>
      <c r="AD237" s="120">
        <f t="shared" si="11"/>
        <v>10.8</v>
      </c>
      <c r="AE237" s="117">
        <f t="shared" si="12"/>
        <v>0.14038128249566725</v>
      </c>
      <c r="AF237" s="118">
        <f t="shared" ca="1" si="13"/>
        <v>16.362325174825173</v>
      </c>
      <c r="AG237" s="117">
        <f t="shared" ca="1" si="14"/>
        <v>6.1116008227154961E-2</v>
      </c>
      <c r="AH237" s="120">
        <f t="shared" si="15"/>
        <v>528.66666666666663</v>
      </c>
      <c r="AI237" s="121">
        <f t="shared" ca="1" si="16"/>
        <v>3.5406998738965951</v>
      </c>
    </row>
    <row r="238" spans="1:35" ht="15.75" customHeight="1">
      <c r="A238" s="111">
        <v>543812</v>
      </c>
      <c r="B238" s="112" t="s">
        <v>234</v>
      </c>
      <c r="C238" s="113">
        <f ca="1">IFERROR(__xludf.DUMMYFUNCTION("GOOGLEFINANCE(""bom:""&amp;A238,""price"")"),647.95)</f>
        <v>647.95000000000005</v>
      </c>
      <c r="D238" s="114">
        <f ca="1">IFERROR(__xludf.DUMMYFUNCTION("GOOGLEFINANCE(""bom:""&amp;A238,""marketcap"")/10000000"),1987.8898)</f>
        <v>1987.8897999999999</v>
      </c>
      <c r="E238" s="115">
        <v>406</v>
      </c>
      <c r="F238" s="115">
        <v>85</v>
      </c>
      <c r="G238" s="115">
        <v>653</v>
      </c>
      <c r="H238" s="115">
        <v>91</v>
      </c>
      <c r="I238" s="115">
        <v>15</v>
      </c>
      <c r="J238" s="115">
        <v>562</v>
      </c>
      <c r="K238" s="115">
        <v>0</v>
      </c>
      <c r="L238" s="115">
        <v>81</v>
      </c>
      <c r="M238" s="115">
        <v>5</v>
      </c>
      <c r="N238" s="113">
        <v>14.38</v>
      </c>
      <c r="P238" s="115">
        <v>271</v>
      </c>
      <c r="Q238" s="115">
        <v>51</v>
      </c>
      <c r="R238" s="115"/>
      <c r="S238" s="115">
        <v>0</v>
      </c>
      <c r="T238" s="115">
        <v>210</v>
      </c>
      <c r="U238" s="117"/>
      <c r="V238" s="117"/>
      <c r="W238" s="117">
        <f t="shared" si="4"/>
        <v>0.18819188191881919</v>
      </c>
      <c r="X238" s="118" t="e">
        <f t="shared" si="5"/>
        <v>#DIV/0!</v>
      </c>
      <c r="Y238" s="118">
        <f t="shared" si="6"/>
        <v>4.776470588235294</v>
      </c>
      <c r="Z238" s="118">
        <f t="shared" si="7"/>
        <v>109.09594095940959</v>
      </c>
      <c r="AA238" s="119">
        <f t="shared" si="8"/>
        <v>0</v>
      </c>
      <c r="AB238" s="119">
        <f t="shared" si="9"/>
        <v>0.13935681470137826</v>
      </c>
      <c r="AC238" s="117">
        <f t="shared" si="10"/>
        <v>9.0747330960854092E-2</v>
      </c>
      <c r="AD238" s="120">
        <f t="shared" si="11"/>
        <v>3.4</v>
      </c>
      <c r="AE238" s="117">
        <f t="shared" si="12"/>
        <v>7.8101071975497705E-2</v>
      </c>
      <c r="AF238" s="118">
        <f t="shared" ca="1" si="13"/>
        <v>45.059109874826149</v>
      </c>
      <c r="AG238" s="117">
        <f t="shared" ca="1" si="14"/>
        <v>2.2193070452967048E-2</v>
      </c>
      <c r="AH238" s="120">
        <f t="shared" si="15"/>
        <v>187.33333333333334</v>
      </c>
      <c r="AI238" s="121">
        <f t="shared" ca="1" si="16"/>
        <v>3.4588078291814948</v>
      </c>
    </row>
    <row r="239" spans="1:35" ht="15.75" customHeight="1">
      <c r="A239" s="111">
        <v>517206</v>
      </c>
      <c r="B239" s="112" t="s">
        <v>235</v>
      </c>
      <c r="C239" s="113">
        <f ca="1">IFERROR(__xludf.DUMMYFUNCTION("GOOGLEFINANCE(""bom:""&amp;A239,""price"")"),2622.45)</f>
        <v>2622.45</v>
      </c>
      <c r="D239" s="114">
        <f ca="1">IFERROR(__xludf.DUMMYFUNCTION("GOOGLEFINANCE(""bom:""&amp;A239,""marketcap"")/10000000"),2449.0589996)</f>
        <v>2449.0589995999999</v>
      </c>
      <c r="E239" s="115">
        <v>943</v>
      </c>
      <c r="F239" s="115">
        <v>1206</v>
      </c>
      <c r="G239" s="115">
        <v>2115</v>
      </c>
      <c r="H239" s="115">
        <v>1508</v>
      </c>
      <c r="I239" s="115">
        <v>9</v>
      </c>
      <c r="J239" s="115">
        <v>608</v>
      </c>
      <c r="K239" s="115">
        <v>551</v>
      </c>
      <c r="L239" s="115">
        <v>301</v>
      </c>
      <c r="M239" s="115">
        <v>10</v>
      </c>
      <c r="N239" s="115">
        <v>102.37</v>
      </c>
      <c r="O239" s="115">
        <v>1697</v>
      </c>
      <c r="P239" s="115">
        <v>2319</v>
      </c>
      <c r="Q239" s="115">
        <v>103</v>
      </c>
      <c r="R239" s="115"/>
      <c r="S239" s="115">
        <v>29</v>
      </c>
      <c r="T239" s="115">
        <v>222</v>
      </c>
      <c r="U239" s="117">
        <f t="shared" ref="U239:U241" si="17">(P239/O239)^(1/5)-1</f>
        <v>6.4446360188265439E-2</v>
      </c>
      <c r="V239" s="117"/>
      <c r="W239" s="117">
        <f t="shared" si="4"/>
        <v>4.4415696420871065E-2</v>
      </c>
      <c r="X239" s="118">
        <f t="shared" si="5"/>
        <v>73.310344827586206</v>
      </c>
      <c r="Y239" s="118">
        <f t="shared" si="6"/>
        <v>0.7819237147595357</v>
      </c>
      <c r="Z239" s="118">
        <f t="shared" si="7"/>
        <v>47.376024148339802</v>
      </c>
      <c r="AA239" s="119">
        <f t="shared" si="8"/>
        <v>0.90625</v>
      </c>
      <c r="AB239" s="119">
        <f t="shared" si="9"/>
        <v>0.71300236406619388</v>
      </c>
      <c r="AC239" s="117">
        <f t="shared" si="10"/>
        <v>0.16940789473684212</v>
      </c>
      <c r="AD239" s="120">
        <f t="shared" si="11"/>
        <v>11.444444444444445</v>
      </c>
      <c r="AE239" s="117">
        <f t="shared" si="12"/>
        <v>4.8699763593380616E-2</v>
      </c>
      <c r="AF239" s="118">
        <f t="shared" ca="1" si="13"/>
        <v>25.617368369639539</v>
      </c>
      <c r="AG239" s="117">
        <f t="shared" ca="1" si="14"/>
        <v>3.9036015939293414E-2</v>
      </c>
      <c r="AH239" s="120">
        <f t="shared" si="15"/>
        <v>675.55555555555554</v>
      </c>
      <c r="AI239" s="121">
        <f t="shared" ca="1" si="16"/>
        <v>3.8819161184210524</v>
      </c>
    </row>
    <row r="240" spans="1:35" ht="15.75" customHeight="1">
      <c r="A240" s="111">
        <v>539636</v>
      </c>
      <c r="B240" s="112" t="s">
        <v>236</v>
      </c>
      <c r="C240" s="113">
        <f ca="1">IFERROR(__xludf.DUMMYFUNCTION("GOOGLEFINANCE(""bom:""&amp;A240,""price"")"),182.3)</f>
        <v>182.3</v>
      </c>
      <c r="D240" s="114">
        <f ca="1">IFERROR(__xludf.DUMMYFUNCTION("GOOGLEFINANCE(""bom:""&amp;A240,""marketcap"")/10000000"),1728.742288)</f>
        <v>1728.7422879999999</v>
      </c>
      <c r="E240" s="115">
        <v>700</v>
      </c>
      <c r="F240" s="115">
        <v>354</v>
      </c>
      <c r="G240" s="115">
        <v>1104</v>
      </c>
      <c r="H240" s="115">
        <v>383</v>
      </c>
      <c r="I240" s="115">
        <v>95</v>
      </c>
      <c r="J240" s="115">
        <v>720</v>
      </c>
      <c r="K240" s="115">
        <v>101</v>
      </c>
      <c r="L240" s="115">
        <v>192</v>
      </c>
      <c r="M240" s="115">
        <v>10</v>
      </c>
      <c r="N240" s="113">
        <v>5.07</v>
      </c>
      <c r="O240" s="115">
        <v>1360</v>
      </c>
      <c r="P240" s="115">
        <v>1634</v>
      </c>
      <c r="Q240" s="115">
        <v>107</v>
      </c>
      <c r="R240" s="115"/>
      <c r="S240" s="115">
        <v>8</v>
      </c>
      <c r="T240" s="115">
        <v>105</v>
      </c>
      <c r="U240" s="117">
        <f t="shared" si="17"/>
        <v>3.7391365136208998E-2</v>
      </c>
      <c r="V240" s="117"/>
      <c r="W240" s="117">
        <f t="shared" si="4"/>
        <v>6.5483476132190938E-2</v>
      </c>
      <c r="X240" s="118">
        <f t="shared" si="5"/>
        <v>192.125</v>
      </c>
      <c r="Y240" s="118">
        <f t="shared" si="6"/>
        <v>1.9774011299435028</v>
      </c>
      <c r="Z240" s="118">
        <f t="shared" si="7"/>
        <v>42.888616891064871</v>
      </c>
      <c r="AA240" s="119">
        <f t="shared" si="8"/>
        <v>0.14027777777777778</v>
      </c>
      <c r="AB240" s="119">
        <f t="shared" si="9"/>
        <v>0.34692028985507245</v>
      </c>
      <c r="AC240" s="117">
        <f t="shared" si="10"/>
        <v>0.14861111111111111</v>
      </c>
      <c r="AD240" s="120">
        <f t="shared" si="11"/>
        <v>1.1263157894736842</v>
      </c>
      <c r="AE240" s="117">
        <f t="shared" si="12"/>
        <v>9.6920289855072464E-2</v>
      </c>
      <c r="AF240" s="118">
        <f t="shared" ca="1" si="13"/>
        <v>35.956607495069036</v>
      </c>
      <c r="AG240" s="117">
        <f t="shared" ca="1" si="14"/>
        <v>2.7811300054854635E-2</v>
      </c>
      <c r="AH240" s="120">
        <f t="shared" si="15"/>
        <v>75.78947368421052</v>
      </c>
      <c r="AI240" s="121">
        <f t="shared" ca="1" si="16"/>
        <v>2.4053472222222227</v>
      </c>
    </row>
    <row r="241" spans="1:35" ht="15.75" customHeight="1">
      <c r="A241" s="111">
        <v>505744</v>
      </c>
      <c r="B241" s="112" t="s">
        <v>237</v>
      </c>
      <c r="C241" s="113">
        <f ca="1">IFERROR(__xludf.DUMMYFUNCTION("GOOGLEFINANCE(""bom:""&amp;A241,""price"")"),455.45)</f>
        <v>455.45</v>
      </c>
      <c r="D241" s="114">
        <f ca="1">IFERROR(__xludf.DUMMYFUNCTION("GOOGLEFINANCE(""bom:""&amp;A241,""marketcap"")/10000000"),2547.6734612)</f>
        <v>2547.6734612</v>
      </c>
      <c r="M241" s="115">
        <v>10</v>
      </c>
      <c r="N241" s="113">
        <v>20.95</v>
      </c>
      <c r="O241" s="115">
        <v>440</v>
      </c>
      <c r="P241" s="115">
        <v>1080</v>
      </c>
      <c r="Q241" s="115">
        <v>46</v>
      </c>
      <c r="R241" s="115"/>
      <c r="S241" s="115">
        <v>4</v>
      </c>
      <c r="T241" s="115">
        <v>151</v>
      </c>
      <c r="U241" s="117">
        <f t="shared" si="17"/>
        <v>0.1967245924901726</v>
      </c>
      <c r="V241" s="117"/>
      <c r="W241" s="117">
        <f t="shared" si="4"/>
        <v>4.2592592592592592E-2</v>
      </c>
      <c r="X241" s="118">
        <f t="shared" si="5"/>
        <v>233.25</v>
      </c>
      <c r="Y241" s="118" t="e">
        <f t="shared" si="6"/>
        <v>#DIV/0!</v>
      </c>
      <c r="Z241" s="118">
        <f t="shared" si="7"/>
        <v>0</v>
      </c>
      <c r="AA241" s="119" t="e">
        <f t="shared" si="8"/>
        <v>#DIV/0!</v>
      </c>
      <c r="AB241" s="119" t="e">
        <f t="shared" si="9"/>
        <v>#DIV/0!</v>
      </c>
      <c r="AC241" s="117" t="e">
        <f t="shared" si="10"/>
        <v>#DIV/0!</v>
      </c>
      <c r="AD241" s="120" t="e">
        <f t="shared" si="11"/>
        <v>#DIV/0!</v>
      </c>
      <c r="AE241" s="117" t="e">
        <f t="shared" si="12"/>
        <v>#DIV/0!</v>
      </c>
      <c r="AF241" s="118">
        <f t="shared" ca="1" si="13"/>
        <v>21.739856801909308</v>
      </c>
      <c r="AG241" s="117">
        <f t="shared" ca="1" si="14"/>
        <v>4.5998463058513558E-2</v>
      </c>
      <c r="AH241" s="120"/>
      <c r="AI241" s="121"/>
    </row>
    <row r="242" spans="1:35" ht="15.75" customHeight="1">
      <c r="A242" s="111">
        <v>543387</v>
      </c>
      <c r="B242" s="112" t="s">
        <v>238</v>
      </c>
      <c r="C242" s="113">
        <f ca="1">IFERROR(__xludf.DUMMYFUNCTION("GOOGLEFINANCE(""bom:""&amp;A242,""price"")"),976.95)</f>
        <v>976.95</v>
      </c>
      <c r="D242" s="114">
        <f ca="1">IFERROR(__xludf.DUMMYFUNCTION("GOOGLEFINANCE(""bom:""&amp;A242,""marketcap"")/10000000"),3030.0749875)</f>
        <v>3030.0749875000001</v>
      </c>
      <c r="E242" s="115">
        <v>234</v>
      </c>
      <c r="F242" s="115">
        <v>138</v>
      </c>
      <c r="G242" s="115">
        <v>739</v>
      </c>
      <c r="H242" s="115">
        <v>231</v>
      </c>
      <c r="I242" s="115">
        <v>31</v>
      </c>
      <c r="J242" s="115">
        <v>508</v>
      </c>
      <c r="K242" s="115">
        <v>84</v>
      </c>
      <c r="L242" s="115">
        <v>140</v>
      </c>
      <c r="M242" s="115">
        <v>10</v>
      </c>
      <c r="N242" s="113">
        <v>23.46</v>
      </c>
      <c r="P242" s="115">
        <v>433</v>
      </c>
      <c r="Q242" s="115">
        <v>67</v>
      </c>
      <c r="R242" s="115"/>
      <c r="S242" s="115">
        <v>2</v>
      </c>
      <c r="T242" s="115">
        <v>352</v>
      </c>
      <c r="U242" s="117"/>
      <c r="V242" s="117"/>
      <c r="W242" s="117">
        <f t="shared" si="4"/>
        <v>0.15473441108545036</v>
      </c>
      <c r="X242" s="118">
        <f t="shared" si="5"/>
        <v>41.5</v>
      </c>
      <c r="Y242" s="118">
        <f t="shared" si="6"/>
        <v>1.6956521739130435</v>
      </c>
      <c r="Z242" s="118">
        <f t="shared" si="7"/>
        <v>118.01385681293303</v>
      </c>
      <c r="AA242" s="119">
        <f t="shared" si="8"/>
        <v>0.16535433070866143</v>
      </c>
      <c r="AB242" s="119">
        <f t="shared" si="9"/>
        <v>0.3125845737483085</v>
      </c>
      <c r="AC242" s="117">
        <f t="shared" si="10"/>
        <v>0.13188976377952755</v>
      </c>
      <c r="AD242" s="120">
        <f t="shared" si="11"/>
        <v>2.161290322580645</v>
      </c>
      <c r="AE242" s="117">
        <f t="shared" si="12"/>
        <v>9.0663058186738837E-2</v>
      </c>
      <c r="AF242" s="118">
        <f t="shared" ca="1" si="13"/>
        <v>41.643222506393862</v>
      </c>
      <c r="AG242" s="117">
        <f t="shared" ca="1" si="14"/>
        <v>2.401351143866114E-2</v>
      </c>
      <c r="AH242" s="120">
        <f t="shared" ref="AH242:AH246" si="18">J242/(I242/M242)</f>
        <v>163.87096774193549</v>
      </c>
      <c r="AI242" s="121">
        <f t="shared" ref="AI242:AI246" ca="1" si="19">C242/AH242</f>
        <v>5.9617027559055122</v>
      </c>
    </row>
    <row r="243" spans="1:35" ht="15.75" customHeight="1">
      <c r="A243" s="111">
        <v>540124</v>
      </c>
      <c r="B243" s="112" t="s">
        <v>239</v>
      </c>
      <c r="C243" s="113">
        <f ca="1">IFERROR(__xludf.DUMMYFUNCTION("GOOGLEFINANCE(""bom:""&amp;A243,""price"")"),405.7)</f>
        <v>405.7</v>
      </c>
      <c r="D243" s="114">
        <f ca="1">IFERROR(__xludf.DUMMYFUNCTION("GOOGLEFINANCE(""bom:""&amp;A243,""marketcap"")/10000000"),1744.2779452)</f>
        <v>1744.2779452</v>
      </c>
      <c r="E243" s="115">
        <v>927</v>
      </c>
      <c r="F243" s="115">
        <v>502</v>
      </c>
      <c r="G243" s="115">
        <v>1303</v>
      </c>
      <c r="H243" s="115">
        <v>527</v>
      </c>
      <c r="I243" s="115">
        <v>43</v>
      </c>
      <c r="J243" s="115">
        <v>775</v>
      </c>
      <c r="K243" s="115">
        <v>198</v>
      </c>
      <c r="L243" s="115">
        <v>596</v>
      </c>
      <c r="M243" s="115">
        <v>10</v>
      </c>
      <c r="N243" s="113">
        <v>27.3</v>
      </c>
      <c r="O243" s="115">
        <v>673</v>
      </c>
      <c r="P243" s="115">
        <v>1584</v>
      </c>
      <c r="Q243" s="115">
        <v>130</v>
      </c>
      <c r="R243" s="115"/>
      <c r="S243" s="115">
        <v>11</v>
      </c>
      <c r="T243" s="115">
        <v>1410</v>
      </c>
      <c r="U243" s="117">
        <f t="shared" ref="U243:U246" si="20">(P243/O243)^(1/5)-1</f>
        <v>0.18671934675807234</v>
      </c>
      <c r="V243" s="117"/>
      <c r="W243" s="117">
        <f t="shared" si="4"/>
        <v>8.2070707070707072E-2</v>
      </c>
      <c r="X243" s="118">
        <f t="shared" si="5"/>
        <v>16.818181818181817</v>
      </c>
      <c r="Y243" s="118">
        <f t="shared" si="6"/>
        <v>1.846613545816733</v>
      </c>
      <c r="Z243" s="118">
        <f t="shared" si="7"/>
        <v>137.33585858585857</v>
      </c>
      <c r="AA243" s="119">
        <f t="shared" si="8"/>
        <v>0.25548387096774194</v>
      </c>
      <c r="AB243" s="119">
        <f t="shared" si="9"/>
        <v>0.4044512663085188</v>
      </c>
      <c r="AC243" s="117">
        <f t="shared" si="10"/>
        <v>0.16774193548387098</v>
      </c>
      <c r="AD243" s="120">
        <f t="shared" si="11"/>
        <v>3.0232558139534884</v>
      </c>
      <c r="AE243" s="117">
        <f t="shared" si="12"/>
        <v>9.9769762087490402E-2</v>
      </c>
      <c r="AF243" s="118">
        <f t="shared" ca="1" si="13"/>
        <v>14.86080586080586</v>
      </c>
      <c r="AG243" s="117">
        <f t="shared" ca="1" si="14"/>
        <v>6.729110179935914E-2</v>
      </c>
      <c r="AH243" s="120">
        <f t="shared" si="18"/>
        <v>180.23255813953489</v>
      </c>
      <c r="AI243" s="121">
        <f t="shared" ca="1" si="19"/>
        <v>2.2509806451612904</v>
      </c>
    </row>
    <row r="244" spans="1:35" ht="15.75" customHeight="1">
      <c r="A244" s="111">
        <v>505160</v>
      </c>
      <c r="B244" s="112" t="s">
        <v>240</v>
      </c>
      <c r="C244" s="113">
        <f ca="1">IFERROR(__xludf.DUMMYFUNCTION("GOOGLEFINANCE(""bom:""&amp;A244,""price"")"),340.5)</f>
        <v>340.5</v>
      </c>
      <c r="D244" s="114">
        <f ca="1">IFERROR(__xludf.DUMMYFUNCTION("GOOGLEFINANCE(""bom:""&amp;A244,""marketcap"")/10000000"),2104.0036895)</f>
        <v>2104.0036894999998</v>
      </c>
      <c r="E244" s="115">
        <v>359</v>
      </c>
      <c r="F244" s="115">
        <v>269</v>
      </c>
      <c r="G244" s="115">
        <v>756</v>
      </c>
      <c r="H244" s="115">
        <v>305</v>
      </c>
      <c r="I244" s="115">
        <v>12</v>
      </c>
      <c r="J244" s="115">
        <v>450</v>
      </c>
      <c r="K244" s="115">
        <v>85</v>
      </c>
      <c r="L244" s="115">
        <v>189</v>
      </c>
      <c r="M244" s="115">
        <v>2</v>
      </c>
      <c r="N244" s="113">
        <v>12.5</v>
      </c>
      <c r="O244" s="115">
        <v>400</v>
      </c>
      <c r="P244" s="115">
        <v>647</v>
      </c>
      <c r="Q244" s="115">
        <v>55</v>
      </c>
      <c r="R244" s="115"/>
      <c r="S244" s="115">
        <v>11</v>
      </c>
      <c r="T244" s="115">
        <v>595</v>
      </c>
      <c r="U244" s="117">
        <f t="shared" si="20"/>
        <v>0.10095319939829617</v>
      </c>
      <c r="V244" s="117"/>
      <c r="W244" s="117">
        <f t="shared" si="4"/>
        <v>8.5007727975270481E-2</v>
      </c>
      <c r="X244" s="118">
        <f t="shared" si="5"/>
        <v>5.7272727272727275</v>
      </c>
      <c r="Y244" s="118">
        <f t="shared" si="6"/>
        <v>1.3345724907063197</v>
      </c>
      <c r="Z244" s="118">
        <f t="shared" si="7"/>
        <v>106.62287480680062</v>
      </c>
      <c r="AA244" s="119">
        <f t="shared" si="8"/>
        <v>0.18888888888888888</v>
      </c>
      <c r="AB244" s="119">
        <f t="shared" si="9"/>
        <v>0.40343915343915343</v>
      </c>
      <c r="AC244" s="117">
        <f t="shared" si="10"/>
        <v>0.12222222222222222</v>
      </c>
      <c r="AD244" s="120">
        <f t="shared" si="11"/>
        <v>4.583333333333333</v>
      </c>
      <c r="AE244" s="117">
        <f t="shared" si="12"/>
        <v>7.2751322751322747E-2</v>
      </c>
      <c r="AF244" s="118">
        <f t="shared" ca="1" si="13"/>
        <v>27.24</v>
      </c>
      <c r="AG244" s="117">
        <f t="shared" ca="1" si="14"/>
        <v>3.6710719530102791E-2</v>
      </c>
      <c r="AH244" s="120">
        <f t="shared" si="18"/>
        <v>75</v>
      </c>
      <c r="AI244" s="121">
        <f t="shared" ca="1" si="19"/>
        <v>4.54</v>
      </c>
    </row>
    <row r="245" spans="1:35" ht="15.75" customHeight="1">
      <c r="A245" s="111">
        <v>532240</v>
      </c>
      <c r="B245" s="112" t="s">
        <v>241</v>
      </c>
      <c r="C245" s="113">
        <f ca="1">IFERROR(__xludf.DUMMYFUNCTION("GOOGLEFINANCE(""bom:""&amp;A245,""price"")"),766)</f>
        <v>766</v>
      </c>
      <c r="D245" s="114">
        <f ca="1">IFERROR(__xludf.DUMMYFUNCTION("GOOGLEFINANCE(""bom:""&amp;A245,""marketcap"")/10000000"),1734.0119046)</f>
        <v>1734.0119046</v>
      </c>
      <c r="E245" s="115">
        <v>415</v>
      </c>
      <c r="F245" s="115">
        <v>152</v>
      </c>
      <c r="G245" s="115">
        <v>774</v>
      </c>
      <c r="H245" s="115">
        <v>187</v>
      </c>
      <c r="I245" s="115">
        <v>11</v>
      </c>
      <c r="J245" s="115">
        <v>587</v>
      </c>
      <c r="K245" s="115" t="s">
        <v>224</v>
      </c>
      <c r="L245" s="115">
        <v>139</v>
      </c>
      <c r="M245" s="115">
        <v>5</v>
      </c>
      <c r="N245" s="113">
        <v>23.46</v>
      </c>
      <c r="O245" s="115">
        <v>466</v>
      </c>
      <c r="P245" s="115">
        <v>656</v>
      </c>
      <c r="Q245" s="115">
        <v>48</v>
      </c>
      <c r="R245" s="115"/>
      <c r="S245" s="115">
        <v>0</v>
      </c>
      <c r="T245" s="115">
        <v>618</v>
      </c>
      <c r="U245" s="117">
        <f t="shared" si="20"/>
        <v>7.0788219444045009E-2</v>
      </c>
      <c r="V245" s="117"/>
      <c r="W245" s="117">
        <f t="shared" si="4"/>
        <v>7.3170731707317069E-2</v>
      </c>
      <c r="X245" s="118" t="e">
        <f t="shared" si="5"/>
        <v>#DIV/0!</v>
      </c>
      <c r="Y245" s="118">
        <f t="shared" si="6"/>
        <v>2.7302631578947367</v>
      </c>
      <c r="Z245" s="118">
        <f t="shared" si="7"/>
        <v>77.339939024390247</v>
      </c>
      <c r="AA245" s="119" t="e">
        <f t="shared" si="8"/>
        <v>#VALUE!</v>
      </c>
      <c r="AB245" s="119">
        <f t="shared" si="9"/>
        <v>0.24160206718346253</v>
      </c>
      <c r="AC245" s="117">
        <f t="shared" si="10"/>
        <v>8.1771720613287899E-2</v>
      </c>
      <c r="AD245" s="120">
        <f t="shared" si="11"/>
        <v>4.3636363636363633</v>
      </c>
      <c r="AE245" s="117">
        <f t="shared" si="12"/>
        <v>6.2015503875968991E-2</v>
      </c>
      <c r="AF245" s="118">
        <f t="shared" ca="1" si="13"/>
        <v>32.651321398124466</v>
      </c>
      <c r="AG245" s="117">
        <f t="shared" ca="1" si="14"/>
        <v>3.0626631853785901E-2</v>
      </c>
      <c r="AH245" s="120">
        <f t="shared" si="18"/>
        <v>266.81818181818181</v>
      </c>
      <c r="AI245" s="121">
        <f t="shared" ca="1" si="19"/>
        <v>2.8708688245315162</v>
      </c>
    </row>
    <row r="246" spans="1:35" ht="15.75" customHeight="1">
      <c r="A246" s="111">
        <v>532768</v>
      </c>
      <c r="B246" s="112" t="s">
        <v>242</v>
      </c>
      <c r="C246" s="113">
        <f ca="1">IFERROR(__xludf.DUMMYFUNCTION("GOOGLEFINANCE(""bom:""&amp;A246,""price"")"),1304.5)</f>
        <v>1304.5</v>
      </c>
      <c r="D246" s="114">
        <f ca="1">IFERROR(__xludf.DUMMYFUNCTION("GOOGLEFINANCE(""bom:""&amp;A246,""marketcap"")/10000000"),3434.8489465)</f>
        <v>3434.8489464999998</v>
      </c>
      <c r="E246" s="115">
        <v>626</v>
      </c>
      <c r="F246" s="115">
        <v>287</v>
      </c>
      <c r="G246" s="115">
        <v>1147</v>
      </c>
      <c r="H246" s="115">
        <v>347</v>
      </c>
      <c r="I246" s="115">
        <v>13</v>
      </c>
      <c r="J246" s="115">
        <v>800</v>
      </c>
      <c r="K246" s="115" t="s">
        <v>224</v>
      </c>
      <c r="L246" s="115">
        <v>150</v>
      </c>
      <c r="M246" s="115">
        <v>10</v>
      </c>
      <c r="N246" s="113">
        <v>119.69</v>
      </c>
      <c r="O246" s="115">
        <v>1138</v>
      </c>
      <c r="P246" s="115">
        <v>1847</v>
      </c>
      <c r="Q246" s="115">
        <v>111</v>
      </c>
      <c r="R246" s="115"/>
      <c r="S246" s="115">
        <v>7</v>
      </c>
      <c r="T246" s="115">
        <v>1670</v>
      </c>
      <c r="U246" s="117">
        <f t="shared" si="20"/>
        <v>0.10170400109380284</v>
      </c>
      <c r="V246" s="117"/>
      <c r="W246" s="117">
        <f t="shared" si="4"/>
        <v>6.0097455332972387E-2</v>
      </c>
      <c r="X246" s="118">
        <f t="shared" si="5"/>
        <v>26.285714285714285</v>
      </c>
      <c r="Y246" s="118">
        <f t="shared" si="6"/>
        <v>2.1811846689895469</v>
      </c>
      <c r="Z246" s="118">
        <f t="shared" si="7"/>
        <v>29.642663779101245</v>
      </c>
      <c r="AA246" s="119" t="e">
        <f t="shared" si="8"/>
        <v>#VALUE!</v>
      </c>
      <c r="AB246" s="119">
        <f t="shared" si="9"/>
        <v>0.30252833478639929</v>
      </c>
      <c r="AC246" s="117">
        <f t="shared" si="10"/>
        <v>0.13875000000000001</v>
      </c>
      <c r="AD246" s="120">
        <f t="shared" si="11"/>
        <v>8.5384615384615383</v>
      </c>
      <c r="AE246" s="117">
        <f t="shared" si="12"/>
        <v>9.6774193548387094E-2</v>
      </c>
      <c r="AF246" s="118">
        <f t="shared" ca="1" si="13"/>
        <v>10.898989055058902</v>
      </c>
      <c r="AG246" s="117">
        <f t="shared" ca="1" si="14"/>
        <v>9.1751628976619398E-2</v>
      </c>
      <c r="AH246" s="120">
        <f t="shared" si="18"/>
        <v>615.38461538461536</v>
      </c>
      <c r="AI246" s="121">
        <f t="shared" ca="1" si="19"/>
        <v>2.1198125000000001</v>
      </c>
    </row>
    <row r="247" spans="1:35" ht="15.75" customHeight="1">
      <c r="A247" s="111">
        <v>590073</v>
      </c>
      <c r="B247" s="112" t="s">
        <v>243</v>
      </c>
      <c r="C247" s="113">
        <f ca="1">IFERROR(__xludf.DUMMYFUNCTION("GOOGLEFINANCE(""bom:""&amp;A247,""price"")"),787)</f>
        <v>787</v>
      </c>
      <c r="D247" s="114">
        <f ca="1">IFERROR(__xludf.DUMMYFUNCTION("GOOGLEFINANCE(""bom:""&amp;A247,""marketcap"")/10000000"),1917.6320948)</f>
        <v>1917.6320948</v>
      </c>
      <c r="N247" s="113"/>
      <c r="Y247" s="118"/>
      <c r="Z247" s="118"/>
      <c r="AA247" s="119"/>
      <c r="AB247" s="119"/>
      <c r="AC247" s="117"/>
    </row>
    <row r="248" spans="1:35" ht="15.75" customHeight="1">
      <c r="A248" s="111">
        <v>517380</v>
      </c>
      <c r="B248" s="112" t="s">
        <v>244</v>
      </c>
      <c r="C248" s="113">
        <f ca="1">IFERROR(__xludf.DUMMYFUNCTION("GOOGLEFINANCE(""bom:""&amp;A248,""price"")"),628.15)</f>
        <v>628.15</v>
      </c>
      <c r="D248" s="114">
        <f ca="1">IFERROR(__xludf.DUMMYFUNCTION("GOOGLEFINANCE(""bom:""&amp;A248,""marketcap"")/10000000"),1975.2160967)</f>
        <v>1975.2160967</v>
      </c>
      <c r="E248" s="115">
        <v>328</v>
      </c>
      <c r="F248" s="115">
        <v>241</v>
      </c>
      <c r="G248" s="115">
        <v>733</v>
      </c>
      <c r="H248" s="115">
        <v>293</v>
      </c>
      <c r="I248" s="115">
        <v>31</v>
      </c>
      <c r="J248" s="115">
        <v>440</v>
      </c>
      <c r="K248" s="115">
        <v>95</v>
      </c>
      <c r="L248" s="115">
        <v>188</v>
      </c>
      <c r="M248" s="115">
        <v>10</v>
      </c>
      <c r="N248" s="113">
        <v>3.83</v>
      </c>
      <c r="O248" s="115">
        <v>458</v>
      </c>
      <c r="P248" s="115">
        <v>656</v>
      </c>
      <c r="Q248" s="115">
        <v>5</v>
      </c>
      <c r="R248" s="115"/>
      <c r="S248" s="115">
        <v>12</v>
      </c>
      <c r="T248" s="115">
        <v>655</v>
      </c>
      <c r="U248" s="117">
        <f>(P248/O248)^(1/5)-1</f>
        <v>7.4503098718004424E-2</v>
      </c>
      <c r="V248" s="117"/>
      <c r="W248" s="117">
        <f>Q248/P248</f>
        <v>7.621951219512195E-3</v>
      </c>
      <c r="X248" s="118">
        <f>(P248-T248+S248)/S248</f>
        <v>1.0833333333333333</v>
      </c>
      <c r="Y248" s="118">
        <f t="shared" ref="Y248:Y255" si="21">E248/F248</f>
        <v>1.3609958506224067</v>
      </c>
      <c r="Z248" s="118">
        <f>(L248/P248)*365</f>
        <v>104.60365853658536</v>
      </c>
      <c r="AA248" s="119">
        <f t="shared" ref="AA248:AA255" si="22">K248/J248</f>
        <v>0.21590909090909091</v>
      </c>
      <c r="AB248" s="119">
        <f t="shared" ref="AB248:AB255" si="23">H248/G248</f>
        <v>0.39972714870395637</v>
      </c>
      <c r="AC248" s="117">
        <f>Q248/J248</f>
        <v>1.1363636363636364E-2</v>
      </c>
      <c r="AD248" s="120">
        <f>Q248/I248</f>
        <v>0.16129032258064516</v>
      </c>
      <c r="AE248" s="117">
        <f>Q248/G248</f>
        <v>6.8212824010914054E-3</v>
      </c>
      <c r="AF248" s="118">
        <f ca="1">C248/N248</f>
        <v>164.00783289817232</v>
      </c>
      <c r="AG248" s="117">
        <f ca="1">N248/C248</f>
        <v>6.0972697604075466E-3</v>
      </c>
      <c r="AH248" s="120">
        <f>J248/(I248/M248)</f>
        <v>141.93548387096774</v>
      </c>
      <c r="AI248" s="121">
        <f ca="1">C248/AH248</f>
        <v>4.4256022727272724</v>
      </c>
    </row>
    <row r="249" spans="1:35" ht="15.75" customHeight="1">
      <c r="A249" s="111">
        <v>531147</v>
      </c>
      <c r="B249" s="112" t="s">
        <v>245</v>
      </c>
      <c r="C249" s="113">
        <f ca="1">IFERROR(__xludf.DUMMYFUNCTION("GOOGLEFINANCE(""bom:""&amp;A249,""price"")"),1262.75)</f>
        <v>1262.75</v>
      </c>
      <c r="D249" s="114">
        <f ca="1">IFERROR(__xludf.DUMMYFUNCTION("GOOGLEFINANCE(""bom:""&amp;A249,""marketcap"")/10000000"),2055.4151873)</f>
        <v>2055.4151873000001</v>
      </c>
      <c r="E249" s="115">
        <v>645</v>
      </c>
      <c r="F249" s="115">
        <v>482</v>
      </c>
      <c r="G249" s="115">
        <v>1145</v>
      </c>
      <c r="H249" s="115">
        <v>635</v>
      </c>
      <c r="I249" s="115">
        <v>8</v>
      </c>
      <c r="J249" s="115">
        <v>510</v>
      </c>
      <c r="K249" s="115">
        <v>296</v>
      </c>
      <c r="L249" s="115">
        <v>478</v>
      </c>
      <c r="M249" s="115">
        <v>5</v>
      </c>
      <c r="N249" s="113">
        <v>31.12</v>
      </c>
      <c r="S249" s="115">
        <v>31</v>
      </c>
      <c r="T249" s="115">
        <v>134</v>
      </c>
      <c r="U249" s="117"/>
      <c r="V249" s="117"/>
      <c r="W249" s="117"/>
      <c r="Y249" s="118">
        <f t="shared" si="21"/>
        <v>1.3381742738589211</v>
      </c>
      <c r="Z249" s="118"/>
      <c r="AA249" s="119">
        <f t="shared" si="22"/>
        <v>0.58039215686274515</v>
      </c>
      <c r="AB249" s="119">
        <f t="shared" si="23"/>
        <v>0.55458515283842791</v>
      </c>
      <c r="AC249" s="117"/>
    </row>
    <row r="250" spans="1:35" ht="15.75" customHeight="1">
      <c r="A250" s="111">
        <v>520066</v>
      </c>
      <c r="B250" s="112" t="s">
        <v>246</v>
      </c>
      <c r="C250" s="113">
        <f ca="1">IFERROR(__xludf.DUMMYFUNCTION("GOOGLEFINANCE(""bom:""&amp;A250,""price"")"),104)</f>
        <v>104</v>
      </c>
      <c r="D250" s="114">
        <f ca="1">IFERROR(__xludf.DUMMYFUNCTION("GOOGLEFINANCE(""bom:""&amp;A250,""marketcap"")/10000000"),1128.180471)</f>
        <v>1128.1804709999999</v>
      </c>
      <c r="E250" s="115">
        <v>408</v>
      </c>
      <c r="F250" s="115">
        <v>617</v>
      </c>
      <c r="G250" s="115">
        <v>1474</v>
      </c>
      <c r="H250" s="115">
        <v>956</v>
      </c>
      <c r="I250" s="115">
        <v>22</v>
      </c>
      <c r="J250" s="115">
        <v>517</v>
      </c>
      <c r="K250" s="115">
        <v>328</v>
      </c>
      <c r="L250" s="115">
        <v>116</v>
      </c>
      <c r="M250" s="115">
        <v>2</v>
      </c>
      <c r="N250" s="113">
        <v>3.26</v>
      </c>
      <c r="S250" s="115">
        <v>37</v>
      </c>
      <c r="T250" s="115">
        <v>229</v>
      </c>
      <c r="Y250" s="118">
        <f t="shared" si="21"/>
        <v>0.66126418152350086</v>
      </c>
      <c r="Z250" s="118"/>
      <c r="AA250" s="119">
        <f t="shared" si="22"/>
        <v>0.63442940038684714</v>
      </c>
      <c r="AB250" s="119">
        <f t="shared" si="23"/>
        <v>0.64857530529172325</v>
      </c>
      <c r="AC250" s="117"/>
    </row>
    <row r="251" spans="1:35" ht="15.75" customHeight="1">
      <c r="A251" s="111">
        <v>530759</v>
      </c>
      <c r="B251" s="112" t="s">
        <v>247</v>
      </c>
      <c r="C251" s="113">
        <f ca="1">IFERROR(__xludf.DUMMYFUNCTION("GOOGLEFINANCE(""bom:""&amp;A251,""price"")"),407.9)</f>
        <v>407.9</v>
      </c>
      <c r="D251" s="114">
        <f ca="1">IFERROR(__xludf.DUMMYFUNCTION("GOOGLEFINANCE(""bom:""&amp;A251,""marketcap"")/10000000"),1473.2101119)</f>
        <v>1473.2101118999999</v>
      </c>
      <c r="E251" s="115">
        <v>358</v>
      </c>
      <c r="F251" s="115">
        <v>191</v>
      </c>
      <c r="G251" s="115">
        <v>674</v>
      </c>
      <c r="H251" s="115">
        <v>255</v>
      </c>
      <c r="I251" s="115">
        <v>7</v>
      </c>
      <c r="J251" s="115">
        <v>419</v>
      </c>
      <c r="K251" s="115">
        <v>135</v>
      </c>
      <c r="L251" s="115">
        <v>80</v>
      </c>
      <c r="M251" s="115">
        <v>2</v>
      </c>
      <c r="N251" s="113">
        <v>13.02</v>
      </c>
      <c r="S251" s="115">
        <v>9</v>
      </c>
      <c r="T251" s="115">
        <v>715</v>
      </c>
      <c r="Y251" s="118">
        <f t="shared" si="21"/>
        <v>1.87434554973822</v>
      </c>
      <c r="Z251" s="118"/>
      <c r="AA251" s="119">
        <f t="shared" si="22"/>
        <v>0.32219570405727921</v>
      </c>
      <c r="AB251" s="119">
        <f t="shared" si="23"/>
        <v>0.37833827893175076</v>
      </c>
      <c r="AC251" s="117"/>
    </row>
    <row r="252" spans="1:35" ht="15.75" customHeight="1">
      <c r="A252" s="111">
        <v>520008</v>
      </c>
      <c r="B252" s="112" t="s">
        <v>248</v>
      </c>
      <c r="C252" s="113">
        <f ca="1">IFERROR(__xludf.DUMMYFUNCTION("GOOGLEFINANCE(""bom:""&amp;A252,""price"")"),116.05)</f>
        <v>116.05</v>
      </c>
      <c r="D252" s="114">
        <f ca="1">IFERROR(__xludf.DUMMYFUNCTION("GOOGLEFINANCE(""bom:""&amp;A252,""marketcap"")/10000000"),1569.2188572)</f>
        <v>1569.2188572</v>
      </c>
      <c r="E252" s="115">
        <v>759</v>
      </c>
      <c r="F252" s="115">
        <v>841</v>
      </c>
      <c r="G252" s="115">
        <v>1924</v>
      </c>
      <c r="H252" s="115">
        <v>1226</v>
      </c>
      <c r="I252" s="115">
        <v>13</v>
      </c>
      <c r="J252" s="115">
        <v>697</v>
      </c>
      <c r="K252" s="115">
        <v>695</v>
      </c>
      <c r="L252" s="115">
        <v>371</v>
      </c>
      <c r="M252" s="115">
        <v>1</v>
      </c>
      <c r="N252" s="113">
        <v>3.3</v>
      </c>
      <c r="S252" s="115">
        <v>54</v>
      </c>
      <c r="T252" s="115">
        <v>225</v>
      </c>
      <c r="Y252" s="118">
        <f t="shared" si="21"/>
        <v>0.90249702734839476</v>
      </c>
      <c r="Z252" s="118"/>
      <c r="AA252" s="119">
        <f t="shared" si="22"/>
        <v>0.99713055954088947</v>
      </c>
      <c r="AB252" s="119">
        <f t="shared" si="23"/>
        <v>0.63721413721413722</v>
      </c>
      <c r="AC252" s="117"/>
    </row>
    <row r="253" spans="1:35" ht="15.75" customHeight="1">
      <c r="A253" s="111">
        <v>520073</v>
      </c>
      <c r="B253" s="112" t="s">
        <v>249</v>
      </c>
      <c r="C253" s="113">
        <f ca="1">IFERROR(__xludf.DUMMYFUNCTION("GOOGLEFINANCE(""bom:""&amp;A253,""price"")"),1009.35)</f>
        <v>1009.35</v>
      </c>
      <c r="D253" s="114">
        <f ca="1">IFERROR(__xludf.DUMMYFUNCTION("GOOGLEFINANCE(""bom:""&amp;A253,""marketcap"")/10000000"),1088.2407696)</f>
        <v>1088.2407696</v>
      </c>
      <c r="E253" s="115">
        <v>227</v>
      </c>
      <c r="F253" s="115">
        <v>213</v>
      </c>
      <c r="G253" s="115">
        <v>510</v>
      </c>
      <c r="H253" s="115">
        <v>325</v>
      </c>
      <c r="I253" s="115">
        <v>11</v>
      </c>
      <c r="J253" s="115">
        <v>185</v>
      </c>
      <c r="K253" s="115">
        <v>249</v>
      </c>
      <c r="L253" s="115">
        <v>100</v>
      </c>
      <c r="M253" s="115">
        <v>10</v>
      </c>
      <c r="N253" s="113">
        <v>37.6</v>
      </c>
      <c r="S253" s="115">
        <v>21</v>
      </c>
      <c r="T253" s="115">
        <v>316</v>
      </c>
      <c r="Y253" s="118">
        <f t="shared" si="21"/>
        <v>1.0657276995305165</v>
      </c>
      <c r="Z253" s="118"/>
      <c r="AA253" s="119">
        <f t="shared" si="22"/>
        <v>1.345945945945946</v>
      </c>
      <c r="AB253" s="119">
        <f t="shared" si="23"/>
        <v>0.63725490196078427</v>
      </c>
      <c r="AC253" s="117"/>
    </row>
    <row r="254" spans="1:35" ht="15.75" customHeight="1">
      <c r="A254" s="111">
        <v>532661</v>
      </c>
      <c r="B254" s="112" t="s">
        <v>250</v>
      </c>
      <c r="C254" s="113">
        <f ca="1">IFERROR(__xludf.DUMMYFUNCTION("GOOGLEFINANCE(""bom:""&amp;A254,""price"")"),1042.9)</f>
        <v>1042.9000000000001</v>
      </c>
      <c r="D254" s="114">
        <f ca="1">IFERROR(__xludf.DUMMYFUNCTION("GOOGLEFINANCE(""bom:""&amp;A254,""marketcap"")/10000000"),1683.8602677)</f>
        <v>1683.8602676999999</v>
      </c>
      <c r="E254" s="115">
        <v>722</v>
      </c>
      <c r="F254" s="115">
        <v>801</v>
      </c>
      <c r="G254" s="115">
        <v>1339</v>
      </c>
      <c r="H254" s="115">
        <v>1084</v>
      </c>
      <c r="I254" s="115">
        <v>16</v>
      </c>
      <c r="J254" s="115">
        <v>256</v>
      </c>
      <c r="K254" s="115">
        <v>657</v>
      </c>
      <c r="L254" s="115">
        <v>349</v>
      </c>
      <c r="M254" s="115">
        <v>10</v>
      </c>
      <c r="N254" s="113">
        <v>13.47</v>
      </c>
      <c r="S254" s="115">
        <v>0</v>
      </c>
      <c r="T254" s="115">
        <v>23</v>
      </c>
      <c r="Y254" s="118">
        <f t="shared" si="21"/>
        <v>0.90137328339575529</v>
      </c>
      <c r="Z254" s="118"/>
      <c r="AA254" s="119">
        <f t="shared" si="22"/>
        <v>2.56640625</v>
      </c>
      <c r="AB254" s="119">
        <f t="shared" si="23"/>
        <v>0.80955937266616873</v>
      </c>
      <c r="AC254" s="117"/>
    </row>
    <row r="255" spans="1:35" ht="15.75" customHeight="1">
      <c r="A255" s="111">
        <v>515043</v>
      </c>
      <c r="B255" s="112" t="s">
        <v>251</v>
      </c>
      <c r="C255" s="113">
        <f ca="1">IFERROR(__xludf.DUMMYFUNCTION("GOOGLEFINANCE(""bom:""&amp;A255,""price"")"),138.4)</f>
        <v>138.4</v>
      </c>
      <c r="D255" s="114">
        <f ca="1">IFERROR(__xludf.DUMMYFUNCTION("GOOGLEFINANCE(""bom:""&amp;A255,""marketcap"")/10000000"),1260.9032475)</f>
        <v>1260.9032474999999</v>
      </c>
      <c r="E255" s="115">
        <v>196</v>
      </c>
      <c r="F255" s="115">
        <v>29</v>
      </c>
      <c r="G255" s="115">
        <v>215</v>
      </c>
      <c r="H255" s="115">
        <v>32</v>
      </c>
      <c r="I255" s="115">
        <v>91</v>
      </c>
      <c r="J255" s="115">
        <v>183</v>
      </c>
      <c r="K255" s="115">
        <v>3</v>
      </c>
      <c r="L255" s="115">
        <v>29</v>
      </c>
      <c r="M255" s="115">
        <v>10</v>
      </c>
      <c r="N255" s="113">
        <v>3.52</v>
      </c>
      <c r="S255" s="115">
        <v>0</v>
      </c>
      <c r="T255" s="115">
        <v>155</v>
      </c>
      <c r="Y255" s="118">
        <f t="shared" si="21"/>
        <v>6.7586206896551726</v>
      </c>
      <c r="Z255" s="118"/>
      <c r="AA255" s="119">
        <f t="shared" si="22"/>
        <v>1.6393442622950821E-2</v>
      </c>
      <c r="AB255" s="119">
        <f t="shared" si="23"/>
        <v>0.14883720930232558</v>
      </c>
      <c r="AC255" s="117"/>
    </row>
    <row r="256" spans="1:35" ht="15.75" customHeight="1">
      <c r="A256" s="111">
        <v>508807</v>
      </c>
      <c r="B256" s="112" t="s">
        <v>252</v>
      </c>
      <c r="C256" s="113">
        <f ca="1">IFERROR(__xludf.DUMMYFUNCTION("GOOGLEFINANCE(""bom:""&amp;A256,""price"")"),938.4)</f>
        <v>938.4</v>
      </c>
      <c r="D256" s="114">
        <f ca="1">IFERROR(__xludf.DUMMYFUNCTION("GOOGLEFINANCE(""bom:""&amp;A256,""marketcap"")/10000000"),1094.5591724)</f>
        <v>1094.5591724000001</v>
      </c>
      <c r="Y256" s="118"/>
      <c r="AC256" s="117"/>
    </row>
    <row r="257" spans="1:29" ht="15.75" customHeight="1">
      <c r="A257" s="111">
        <v>538992</v>
      </c>
      <c r="B257" s="112" t="s">
        <v>253</v>
      </c>
      <c r="C257" s="113">
        <f ca="1">IFERROR(__xludf.DUMMYFUNCTION("GOOGLEFINANCE(""bom:""&amp;A257,""price"")"),1989.9)</f>
        <v>1989.9</v>
      </c>
      <c r="D257" s="114">
        <f ca="1">IFERROR(__xludf.DUMMYFUNCTION("GOOGLEFINANCE(""bom:""&amp;A257,""marketcap"")/10000000"),948.1356242)</f>
        <v>948.13562420000005</v>
      </c>
      <c r="Y257" s="118"/>
    </row>
    <row r="258" spans="1:29" ht="15.75" customHeight="1">
      <c r="A258" s="111">
        <v>505036</v>
      </c>
      <c r="B258" s="112" t="s">
        <v>254</v>
      </c>
      <c r="C258" s="113">
        <f ca="1">IFERROR(__xludf.DUMMYFUNCTION("GOOGLEFINANCE(""bom:""&amp;A258,""price"")"),2898.8)</f>
        <v>2898.8</v>
      </c>
      <c r="D258" s="114">
        <f ca="1">IFERROR(__xludf.DUMMYFUNCTION("GOOGLEFINANCE(""bom:""&amp;A258,""marketcap"")/10000000"),1764.9393022)</f>
        <v>1764.9393021999999</v>
      </c>
      <c r="Y258" s="118"/>
    </row>
    <row r="259" spans="1:29" ht="15.75" customHeight="1">
      <c r="A259" s="111">
        <v>533477</v>
      </c>
      <c r="B259" s="112" t="s">
        <v>255</v>
      </c>
      <c r="C259" s="113">
        <f ca="1">IFERROR(__xludf.DUMMYFUNCTION("GOOGLEFINANCE(""bom:""&amp;A259,""price"")"),654.25)</f>
        <v>654.25</v>
      </c>
      <c r="D259" s="114">
        <f ca="1">IFERROR(__xludf.DUMMYFUNCTION("GOOGLEFINANCE(""bom:""&amp;A259,""marketcap"")/10000000"),1176.0071782)</f>
        <v>1176.0071782</v>
      </c>
      <c r="Y259" s="118"/>
      <c r="AC259" s="117"/>
    </row>
    <row r="260" spans="1:29" ht="15.75" customHeight="1">
      <c r="A260" s="111">
        <v>543214</v>
      </c>
      <c r="B260" s="112" t="s">
        <v>256</v>
      </c>
      <c r="C260" s="113">
        <f ca="1">IFERROR(__xludf.DUMMYFUNCTION("GOOGLEFINANCE(""bom:""&amp;A260,""price"")"),1058.75)</f>
        <v>1058.75</v>
      </c>
      <c r="D260" s="114">
        <f ca="1">IFERROR(__xludf.DUMMYFUNCTION("GOOGLEFINANCE(""bom:""&amp;A260,""marketcap"")/10000000"),1262.3452761)</f>
        <v>1262.3452761000001</v>
      </c>
      <c r="Y260" s="118"/>
    </row>
    <row r="261" spans="1:29" ht="15.75" customHeight="1">
      <c r="A261" s="111">
        <v>520119</v>
      </c>
      <c r="B261" s="112" t="s">
        <v>257</v>
      </c>
      <c r="C261" s="113">
        <f ca="1">IFERROR(__xludf.DUMMYFUNCTION("GOOGLEFINANCE(""bom:""&amp;A261,""price"")"),819.4)</f>
        <v>819.4</v>
      </c>
      <c r="D261" s="114">
        <f ca="1">IFERROR(__xludf.DUMMYFUNCTION("GOOGLEFINANCE(""bom:""&amp;A261,""marketcap"")/10000000"),1297.4690974)</f>
        <v>1297.4690974</v>
      </c>
      <c r="Y261" s="118"/>
    </row>
    <row r="262" spans="1:29" ht="15.75" customHeight="1">
      <c r="A262" s="111">
        <v>522073</v>
      </c>
      <c r="B262" s="112" t="s">
        <v>258</v>
      </c>
      <c r="C262" s="113">
        <f ca="1">IFERROR(__xludf.DUMMYFUNCTION("GOOGLEFINANCE(""bom:""&amp;A262,""price"")"),939.9)</f>
        <v>939.9</v>
      </c>
      <c r="D262" s="114">
        <f ca="1">IFERROR(__xludf.DUMMYFUNCTION("GOOGLEFINANCE(""bom:""&amp;A262,""marketcap"")/10000000"),1762.314261)</f>
        <v>1762.314261</v>
      </c>
      <c r="Y262" s="118"/>
    </row>
    <row r="263" spans="1:29" ht="15.75" customHeight="1">
      <c r="A263" s="111">
        <v>520059</v>
      </c>
      <c r="B263" s="112" t="s">
        <v>259</v>
      </c>
      <c r="C263" s="113">
        <f ca="1">IFERROR(__xludf.DUMMYFUNCTION("GOOGLEFINANCE(""bom:""&amp;A263,""price"")"),100.3)</f>
        <v>100.3</v>
      </c>
      <c r="D263" s="114">
        <f ca="1">IFERROR(__xludf.DUMMYFUNCTION("GOOGLEFINANCE(""bom:""&amp;A263,""marketcap"")/10000000"),1005)</f>
        <v>1005</v>
      </c>
      <c r="Y263" s="118"/>
    </row>
    <row r="264" spans="1:29" ht="15.75" customHeight="1">
      <c r="A264" s="111">
        <v>505163</v>
      </c>
      <c r="B264" s="112" t="s">
        <v>260</v>
      </c>
      <c r="C264" s="113">
        <f ca="1">IFERROR(__xludf.DUMMYFUNCTION("GOOGLEFINANCE(""bom:""&amp;A264,""price"")"),1198.9)</f>
        <v>1198.9000000000001</v>
      </c>
      <c r="D264" s="114">
        <f ca="1">IFERROR(__xludf.DUMMYFUNCTION("GOOGLEFINANCE(""bom:""&amp;A264,""marketcap"")/10000000"),1087.7975994)</f>
        <v>1087.7975994000001</v>
      </c>
      <c r="Y264" s="118"/>
    </row>
    <row r="265" spans="1:29" ht="15.75" customHeight="1">
      <c r="A265" s="111">
        <v>523828</v>
      </c>
      <c r="B265" s="112" t="s">
        <v>261</v>
      </c>
      <c r="C265" s="113">
        <f ca="1">IFERROR(__xludf.DUMMYFUNCTION("GOOGLEFINANCE(""bom:""&amp;A265,""price"")"),123.7)</f>
        <v>123.7</v>
      </c>
      <c r="D265" s="114">
        <f ca="1">IFERROR(__xludf.DUMMYFUNCTION("GOOGLEFINANCE(""bom:""&amp;A265,""marketcap"")/10000000"),697.1936605)</f>
        <v>697.19366049999996</v>
      </c>
      <c r="Y265" s="118"/>
    </row>
    <row r="266" spans="1:29" ht="15.75" customHeight="1">
      <c r="A266" s="111">
        <v>530919</v>
      </c>
      <c r="B266" s="112" t="s">
        <v>262</v>
      </c>
      <c r="C266" s="113">
        <f ca="1">IFERROR(__xludf.DUMMYFUNCTION("GOOGLEFINANCE(""bom:""&amp;A266,""price"")"),175.05)</f>
        <v>175.05</v>
      </c>
      <c r="D266" s="114">
        <f ca="1">IFERROR(__xludf.DUMMYFUNCTION("GOOGLEFINANCE(""bom:""&amp;A266,""marketcap"")/10000000"),613.5177189)</f>
        <v>613.51771889999998</v>
      </c>
      <c r="Y266" s="118"/>
    </row>
    <row r="267" spans="1:29" ht="15.75" customHeight="1">
      <c r="A267" s="111">
        <v>520043</v>
      </c>
      <c r="B267" s="112" t="s">
        <v>263</v>
      </c>
      <c r="C267" s="113">
        <f ca="1">IFERROR(__xludf.DUMMYFUNCTION("GOOGLEFINANCE(""bom:""&amp;A267,""price"")"),160.75)</f>
        <v>160.75</v>
      </c>
      <c r="D267" s="114">
        <f ca="1">IFERROR(__xludf.DUMMYFUNCTION("GOOGLEFINANCE(""bom:""&amp;A267,""marketcap"")/10000000"),641.9195895)</f>
        <v>641.91958950000003</v>
      </c>
      <c r="Y267" s="118"/>
    </row>
    <row r="268" spans="1:29" ht="15.75" customHeight="1">
      <c r="A268" s="111">
        <v>539359</v>
      </c>
      <c r="B268" s="112" t="s">
        <v>264</v>
      </c>
      <c r="C268" s="113">
        <f ca="1">IFERROR(__xludf.DUMMYFUNCTION("GOOGLEFINANCE(""bom:""&amp;A268,""price"")"),25.7)</f>
        <v>25.7</v>
      </c>
      <c r="D268" s="114">
        <f ca="1">IFERROR(__xludf.DUMMYFUNCTION("GOOGLEFINANCE(""bom:""&amp;A268,""marketcap"")/10000000"),415.5371443)</f>
        <v>415.53714430000002</v>
      </c>
      <c r="Y268" s="118"/>
    </row>
    <row r="269" spans="1:29" ht="15.75" customHeight="1">
      <c r="A269" s="111">
        <v>509635</v>
      </c>
      <c r="B269" s="112" t="s">
        <v>265</v>
      </c>
      <c r="C269" s="113">
        <f ca="1">IFERROR(__xludf.DUMMYFUNCTION("GOOGLEFINANCE(""bom:""&amp;A269,""price"")"),563.15)</f>
        <v>563.15</v>
      </c>
      <c r="D269" s="114">
        <f ca="1">IFERROR(__xludf.DUMMYFUNCTION("GOOGLEFINANCE(""bom:""&amp;A269,""marketcap"")/10000000"),828.540339)</f>
        <v>828.54033900000002</v>
      </c>
      <c r="Y269" s="118"/>
    </row>
    <row r="270" spans="1:29" ht="15.75" customHeight="1">
      <c r="A270" s="111">
        <v>543915</v>
      </c>
      <c r="B270" s="112" t="s">
        <v>266</v>
      </c>
      <c r="C270" s="113">
        <f ca="1">IFERROR(__xludf.DUMMYFUNCTION("GOOGLEFINANCE(""bom:""&amp;A270,""price"")"),455.1)</f>
        <v>455.1</v>
      </c>
      <c r="D270" s="114">
        <f ca="1">IFERROR(__xludf.DUMMYFUNCTION("GOOGLEFINANCE(""bom:""&amp;A270,""marketcap"")/10000000"),557.6554271)</f>
        <v>557.6554271</v>
      </c>
      <c r="Y270" s="118"/>
    </row>
    <row r="271" spans="1:29" ht="15.75" customHeight="1">
      <c r="A271" s="111">
        <v>532987</v>
      </c>
      <c r="B271" s="112" t="s">
        <v>267</v>
      </c>
      <c r="C271" s="113">
        <f ca="1">IFERROR(__xludf.DUMMYFUNCTION("GOOGLEFINANCE(""bom:""&amp;A271,""price"")"),960)</f>
        <v>960</v>
      </c>
      <c r="D271" s="114">
        <f ca="1">IFERROR(__xludf.DUMMYFUNCTION("GOOGLEFINANCE(""bom:""&amp;A271,""marketcap"")/10000000"),731.4786101)</f>
        <v>731.47861009999997</v>
      </c>
      <c r="Y271" s="118"/>
    </row>
    <row r="272" spans="1:29" ht="15.75" customHeight="1">
      <c r="A272" s="111">
        <v>532776</v>
      </c>
      <c r="B272" s="112" t="s">
        <v>268</v>
      </c>
      <c r="C272" s="113">
        <f ca="1">IFERROR(__xludf.DUMMYFUNCTION("GOOGLEFINANCE(""bom:""&amp;A272,""price"")"),49.94)</f>
        <v>49.94</v>
      </c>
      <c r="D272" s="114">
        <f ca="1">IFERROR(__xludf.DUMMYFUNCTION("GOOGLEFINANCE(""bom:""&amp;A272,""marketcap"")/10000000"),610.2554483)</f>
        <v>610.25544830000001</v>
      </c>
      <c r="Y272" s="118"/>
    </row>
    <row r="273" spans="1:25" ht="15.75" customHeight="1">
      <c r="A273" s="111">
        <v>532797</v>
      </c>
      <c r="B273" s="112" t="s">
        <v>269</v>
      </c>
      <c r="C273" s="113">
        <f ca="1">IFERROR(__xludf.DUMMYFUNCTION("GOOGLEFINANCE(""bom:""&amp;A273,""price"")"),136.5)</f>
        <v>136.5</v>
      </c>
      <c r="D273" s="114">
        <f ca="1">IFERROR(__xludf.DUMMYFUNCTION("GOOGLEFINANCE(""bom:""&amp;A273,""marketcap"")/10000000"),531.6523063)</f>
        <v>531.65230629999996</v>
      </c>
      <c r="Y273" s="118"/>
    </row>
    <row r="274" spans="1:25" ht="15.75" customHeight="1">
      <c r="A274" s="111">
        <v>505232</v>
      </c>
      <c r="B274" s="112" t="s">
        <v>270</v>
      </c>
      <c r="C274" s="113">
        <f ca="1">IFERROR(__xludf.DUMMYFUNCTION("GOOGLEFINANCE(""bom:""&amp;A274,""price"")"),1801)</f>
        <v>1801</v>
      </c>
      <c r="D274" s="114">
        <f ca="1">IFERROR(__xludf.DUMMYFUNCTION("GOOGLEFINANCE(""bom:""&amp;A274,""marketcap"")/10000000"),810.45)</f>
        <v>810.45</v>
      </c>
      <c r="Y274" s="118"/>
    </row>
    <row r="275" spans="1:25" ht="15.75" customHeight="1">
      <c r="A275" s="111">
        <v>531727</v>
      </c>
      <c r="B275" s="112" t="s">
        <v>271</v>
      </c>
      <c r="C275" s="113">
        <f ca="1">IFERROR(__xludf.DUMMYFUNCTION("GOOGLEFINANCE(""bom:""&amp;A275,""price"")"),86.9)</f>
        <v>86.9</v>
      </c>
      <c r="D275" s="114">
        <f ca="1">IFERROR(__xludf.DUMMYFUNCTION("GOOGLEFINANCE(""bom:""&amp;A275,""marketcap"")/10000000"),440.7419906)</f>
        <v>440.74199060000001</v>
      </c>
      <c r="Y275" s="118"/>
    </row>
    <row r="276" spans="1:25" ht="15.75" customHeight="1">
      <c r="A276" s="111">
        <v>522195</v>
      </c>
      <c r="B276" s="112" t="s">
        <v>272</v>
      </c>
      <c r="C276" s="113">
        <f ca="1">IFERROR(__xludf.DUMMYFUNCTION("GOOGLEFINANCE(""bom:""&amp;A276,""price"")"),1927.8)</f>
        <v>1927.8</v>
      </c>
      <c r="D276" s="114">
        <f ca="1">IFERROR(__xludf.DUMMYFUNCTION("GOOGLEFINANCE(""bom:""&amp;A276,""marketcap"")/10000000"),759.2661698)</f>
        <v>759.26616979999994</v>
      </c>
      <c r="Y276" s="118"/>
    </row>
    <row r="277" spans="1:25" ht="15.75" customHeight="1">
      <c r="A277" s="111">
        <v>523229</v>
      </c>
      <c r="B277" s="112" t="s">
        <v>273</v>
      </c>
      <c r="C277" s="113">
        <f ca="1">IFERROR(__xludf.DUMMYFUNCTION("GOOGLEFINANCE(""bom:""&amp;A277,""price"")"),162.05)</f>
        <v>162.05000000000001</v>
      </c>
      <c r="D277" s="114">
        <f ca="1">IFERROR(__xludf.DUMMYFUNCTION("GOOGLEFINANCE(""bom:""&amp;A277,""marketcap"")/10000000"),508.8370095)</f>
        <v>508.83700950000002</v>
      </c>
      <c r="Y277" s="118"/>
    </row>
    <row r="278" spans="1:25" ht="15.75" customHeight="1">
      <c r="A278" s="111">
        <v>513532</v>
      </c>
      <c r="B278" s="112" t="s">
        <v>274</v>
      </c>
      <c r="C278" s="113">
        <f ca="1">IFERROR(__xludf.DUMMYFUNCTION("GOOGLEFINANCE(""bom:""&amp;A278,""price"")"),270.4)</f>
        <v>270.39999999999998</v>
      </c>
      <c r="D278" s="114">
        <f ca="1">IFERROR(__xludf.DUMMYFUNCTION("GOOGLEFINANCE(""bom:""&amp;A278,""marketcap"")/10000000"),466.9807894)</f>
        <v>466.98078939999999</v>
      </c>
      <c r="Y278" s="118"/>
    </row>
    <row r="279" spans="1:25" ht="15.75" customHeight="1">
      <c r="A279" s="111">
        <v>500240</v>
      </c>
      <c r="B279" s="112" t="s">
        <v>275</v>
      </c>
      <c r="C279" s="113">
        <f ca="1">IFERROR(__xludf.DUMMYFUNCTION("GOOGLEFINANCE(""bom:""&amp;A279,""price"")"),219.45)</f>
        <v>219.45</v>
      </c>
      <c r="D279" s="114">
        <f ca="1">IFERROR(__xludf.DUMMYFUNCTION("GOOGLEFINANCE(""bom:""&amp;A279,""marketcap"")/10000000"),486.3338912)</f>
        <v>486.33389119999998</v>
      </c>
      <c r="Y279" s="118"/>
    </row>
    <row r="280" spans="1:25" ht="15.75" customHeight="1">
      <c r="A280" s="111">
        <v>500464</v>
      </c>
      <c r="B280" s="112" t="s">
        <v>276</v>
      </c>
      <c r="C280" s="113">
        <f ca="1">IFERROR(__xludf.DUMMYFUNCTION("GOOGLEFINANCE(""bom:""&amp;A280,""price"")"),168.45)</f>
        <v>168.45</v>
      </c>
      <c r="D280" s="114">
        <f ca="1">IFERROR(__xludf.DUMMYFUNCTION("GOOGLEFINANCE(""bom:""&amp;A280,""marketcap"")/10000000"),371.508816)</f>
        <v>371.50881600000002</v>
      </c>
      <c r="Y280" s="118"/>
    </row>
    <row r="281" spans="1:25" ht="15.75" customHeight="1">
      <c r="A281" s="111">
        <v>538987</v>
      </c>
      <c r="B281" s="112" t="s">
        <v>277</v>
      </c>
      <c r="C281" s="113">
        <f ca="1">IFERROR(__xludf.DUMMYFUNCTION("GOOGLEFINANCE(""bom:""&amp;A281,""price"")"),658)</f>
        <v>658</v>
      </c>
      <c r="D281" s="114">
        <f ca="1">IFERROR(__xludf.DUMMYFUNCTION("GOOGLEFINANCE(""bom:""&amp;A281,""marketcap"")/10000000"),334.0339632)</f>
        <v>334.03396320000002</v>
      </c>
      <c r="Y281" s="118"/>
    </row>
    <row r="282" spans="1:25" ht="15.75" customHeight="1">
      <c r="A282" s="111">
        <v>505978</v>
      </c>
      <c r="B282" s="112" t="s">
        <v>278</v>
      </c>
      <c r="C282" s="113">
        <f ca="1">IFERROR(__xludf.DUMMYFUNCTION("GOOGLEFINANCE(""bom:""&amp;A282,""price"")"),3710)</f>
        <v>3710</v>
      </c>
      <c r="D282" s="114">
        <f ca="1">IFERROR(__xludf.DUMMYFUNCTION("GOOGLEFINANCE(""bom:""&amp;A282,""marketcap"")/10000000"),440.271672)</f>
        <v>440.27167200000002</v>
      </c>
      <c r="Y282" s="118"/>
    </row>
    <row r="283" spans="1:25" ht="15.75" customHeight="1">
      <c r="A283" s="111">
        <v>543930</v>
      </c>
      <c r="B283" s="112" t="s">
        <v>279</v>
      </c>
      <c r="C283" s="113">
        <f ca="1">IFERROR(__xludf.DUMMYFUNCTION("GOOGLEFINANCE(""bom:""&amp;A283,""price"")"),525)</f>
        <v>525</v>
      </c>
      <c r="D283" s="114">
        <f ca="1">IFERROR(__xludf.DUMMYFUNCTION("GOOGLEFINANCE(""bom:""&amp;A283,""marketcap"")/10000000"),577.5)</f>
        <v>577.5</v>
      </c>
      <c r="Y283" s="118"/>
    </row>
    <row r="284" spans="1:25" ht="15.75" customHeight="1">
      <c r="A284" s="111">
        <v>532934</v>
      </c>
      <c r="B284" s="112" t="s">
        <v>280</v>
      </c>
      <c r="C284" s="113">
        <f ca="1">IFERROR(__xludf.DUMMYFUNCTION("GOOGLEFINANCE(""bom:""&amp;A284,""price"")"),199.95)</f>
        <v>199.95</v>
      </c>
      <c r="D284" s="114">
        <f ca="1">IFERROR(__xludf.DUMMYFUNCTION("GOOGLEFINANCE(""bom:""&amp;A284,""marketcap"")/10000000"),280.1102599)</f>
        <v>280.11025990000002</v>
      </c>
      <c r="Y284" s="118"/>
    </row>
    <row r="285" spans="1:25" ht="15.75" customHeight="1">
      <c r="A285" s="111">
        <v>513252</v>
      </c>
      <c r="B285" s="112" t="s">
        <v>281</v>
      </c>
      <c r="C285" s="113">
        <f ca="1">IFERROR(__xludf.DUMMYFUNCTION("GOOGLEFINANCE(""bom:""&amp;A285,""price"")"),734)</f>
        <v>734</v>
      </c>
      <c r="D285" s="114">
        <f ca="1">IFERROR(__xludf.DUMMYFUNCTION("GOOGLEFINANCE(""bom:""&amp;A285,""marketcap"")/10000000"),283.6543)</f>
        <v>283.65429999999998</v>
      </c>
      <c r="Y285" s="118"/>
    </row>
    <row r="286" spans="1:25" ht="15.75" customHeight="1">
      <c r="A286" s="111">
        <v>590072</v>
      </c>
      <c r="B286" s="112" t="s">
        <v>282</v>
      </c>
      <c r="C286" s="113">
        <f ca="1">IFERROR(__xludf.DUMMYFUNCTION("GOOGLEFINANCE(""bom:""&amp;A286,""price"")"),813)</f>
        <v>813</v>
      </c>
      <c r="D286" s="114">
        <f ca="1">IFERROR(__xludf.DUMMYFUNCTION("GOOGLEFINANCE(""bom:""&amp;A286,""marketcap"")/10000000"),323.3236184)</f>
        <v>323.32361839999999</v>
      </c>
      <c r="Y286" s="118"/>
    </row>
    <row r="287" spans="1:25" ht="15.75" customHeight="1">
      <c r="A287" s="111">
        <v>533007</v>
      </c>
      <c r="B287" s="112" t="s">
        <v>283</v>
      </c>
      <c r="C287" s="113" t="str">
        <f ca="1">IFERROR(__xludf.DUMMYFUNCTION("GOOGLEFINANCE(""bom:""&amp;A287,""price"")"),"#N/A")</f>
        <v>#N/A</v>
      </c>
      <c r="D287" s="114" t="str">
        <f ca="1">IFERROR(__xludf.DUMMYFUNCTION("GOOGLEFINANCE(""bom:""&amp;A287,""marketcap"")/10000000"),"#N/A")</f>
        <v>#N/A</v>
      </c>
      <c r="Y287" s="118"/>
    </row>
    <row r="288" spans="1:25" ht="15.75" customHeight="1">
      <c r="A288" s="111">
        <v>532988</v>
      </c>
      <c r="B288" s="112" t="s">
        <v>284</v>
      </c>
      <c r="C288" s="113">
        <f ca="1">IFERROR(__xludf.DUMMYFUNCTION("GOOGLEFINANCE(""bom:""&amp;A288,""price"")"),428.5)</f>
        <v>428.5</v>
      </c>
      <c r="D288" s="114">
        <f ca="1">IFERROR(__xludf.DUMMYFUNCTION("GOOGLEFINANCE(""bom:""&amp;A288,""marketcap"")/10000000"),307.1387781)</f>
        <v>307.13877810000002</v>
      </c>
      <c r="Y288" s="118"/>
    </row>
    <row r="289" spans="1:25" ht="15.75" customHeight="1">
      <c r="A289" s="111">
        <v>520021</v>
      </c>
      <c r="B289" s="112" t="s">
        <v>285</v>
      </c>
      <c r="C289" s="113">
        <f ca="1">IFERROR(__xludf.DUMMYFUNCTION("GOOGLEFINANCE(""bom:""&amp;A289,""price"")"),136.55)</f>
        <v>136.55000000000001</v>
      </c>
      <c r="D289" s="114">
        <f ca="1">IFERROR(__xludf.DUMMYFUNCTION("GOOGLEFINANCE(""bom:""&amp;A289,""marketcap"")/10000000"),290.9866035)</f>
        <v>290.9866035</v>
      </c>
      <c r="Y289" s="118"/>
    </row>
    <row r="290" spans="1:25" ht="15.75" customHeight="1">
      <c r="A290" s="111">
        <v>539314</v>
      </c>
      <c r="B290" s="112" t="s">
        <v>286</v>
      </c>
      <c r="C290" s="113">
        <f ca="1">IFERROR(__xludf.DUMMYFUNCTION("GOOGLEFINANCE(""bom:""&amp;A290,""price"")"),160.45)</f>
        <v>160.44999999999999</v>
      </c>
      <c r="D290" s="114">
        <f ca="1">IFERROR(__xludf.DUMMYFUNCTION("GOOGLEFINANCE(""bom:""&amp;A290,""marketcap"")/10000000"),199.5113882)</f>
        <v>199.5113882</v>
      </c>
      <c r="Y290" s="118"/>
    </row>
    <row r="291" spans="1:25" ht="15.75" customHeight="1">
      <c r="A291" s="111">
        <v>505681</v>
      </c>
      <c r="B291" s="112" t="s">
        <v>287</v>
      </c>
      <c r="C291" s="113">
        <f ca="1">IFERROR(__xludf.DUMMYFUNCTION("GOOGLEFINANCE(""bom:""&amp;A291,""price"")"),645)</f>
        <v>645</v>
      </c>
      <c r="D291" s="114">
        <f ca="1">IFERROR(__xludf.DUMMYFUNCTION("GOOGLEFINANCE(""bom:""&amp;A291,""marketcap"")/10000000"),246.7125)</f>
        <v>246.71250000000001</v>
      </c>
      <c r="Y291" s="118"/>
    </row>
    <row r="292" spans="1:25" ht="15.75" customHeight="1">
      <c r="A292" s="111">
        <v>523638</v>
      </c>
      <c r="B292" s="112" t="s">
        <v>288</v>
      </c>
      <c r="C292" s="113">
        <f ca="1">IFERROR(__xludf.DUMMYFUNCTION("GOOGLEFINANCE(""bom:""&amp;A292,""price"")"),175)</f>
        <v>175</v>
      </c>
      <c r="D292" s="114">
        <f ca="1">IFERROR(__xludf.DUMMYFUNCTION("GOOGLEFINANCE(""bom:""&amp;A292,""marketcap"")/10000000"),221.82755)</f>
        <v>221.82755</v>
      </c>
      <c r="Y292" s="118"/>
    </row>
    <row r="293" spans="1:25" ht="15.75" customHeight="1">
      <c r="A293" s="111">
        <v>505688</v>
      </c>
      <c r="B293" s="112" t="s">
        <v>289</v>
      </c>
      <c r="C293" s="113">
        <f ca="1">IFERROR(__xludf.DUMMYFUNCTION("GOOGLEFINANCE(""bom:""&amp;A293,""price"")"),108.2)</f>
        <v>108.2</v>
      </c>
      <c r="D293" s="114">
        <f ca="1">IFERROR(__xludf.DUMMYFUNCTION("GOOGLEFINANCE(""bom:""&amp;A293,""marketcap"")/10000000"),166.2031661)</f>
        <v>166.2031661</v>
      </c>
      <c r="Y293" s="118"/>
    </row>
    <row r="294" spans="1:25" ht="15.75" customHeight="1">
      <c r="A294" s="111">
        <v>539398</v>
      </c>
      <c r="B294" s="112" t="s">
        <v>290</v>
      </c>
      <c r="C294" s="113">
        <f ca="1">IFERROR(__xludf.DUMMYFUNCTION("GOOGLEFINANCE(""bom:""&amp;A294,""price"")"),120.15)</f>
        <v>120.15</v>
      </c>
      <c r="D294" s="114">
        <f ca="1">IFERROR(__xludf.DUMMYFUNCTION("GOOGLEFINANCE(""bom:""&amp;A294,""marketcap"")/10000000"),129.6537464)</f>
        <v>129.65374639999999</v>
      </c>
      <c r="Y294" s="118"/>
    </row>
    <row r="295" spans="1:25" ht="15.75" customHeight="1">
      <c r="A295" s="111">
        <v>504908</v>
      </c>
      <c r="B295" s="112" t="s">
        <v>291</v>
      </c>
      <c r="C295" s="113">
        <f ca="1">IFERROR(__xludf.DUMMYFUNCTION("GOOGLEFINANCE(""bom:""&amp;A295,""price"")"),622)</f>
        <v>622</v>
      </c>
      <c r="D295" s="114">
        <f ca="1">IFERROR(__xludf.DUMMYFUNCTION("GOOGLEFINANCE(""bom:""&amp;A295,""marketcap"")/10000000"),229.8912)</f>
        <v>229.8912</v>
      </c>
      <c r="Y295" s="118"/>
    </row>
    <row r="296" spans="1:25" ht="15.75" customHeight="1">
      <c r="A296" s="111">
        <v>520075</v>
      </c>
      <c r="B296" s="112" t="s">
        <v>292</v>
      </c>
      <c r="C296" s="113">
        <f ca="1">IFERROR(__xludf.DUMMYFUNCTION("GOOGLEFINANCE(""bom:""&amp;A296,""price"")"),188.9)</f>
        <v>188.9</v>
      </c>
      <c r="D296" s="114">
        <f ca="1">IFERROR(__xludf.DUMMYFUNCTION("GOOGLEFINANCE(""bom:""&amp;A296,""marketcap"")/10000000"),185.5092578)</f>
        <v>185.5092578</v>
      </c>
      <c r="Y296" s="118"/>
    </row>
    <row r="297" spans="1:25" ht="15.75" customHeight="1">
      <c r="A297" s="111">
        <v>530621</v>
      </c>
      <c r="B297" s="112" t="s">
        <v>293</v>
      </c>
      <c r="C297" s="113">
        <f ca="1">IFERROR(__xludf.DUMMYFUNCTION("GOOGLEFINANCE(""bom:""&amp;A297,""price"")"),101.6)</f>
        <v>101.6</v>
      </c>
      <c r="D297" s="114">
        <f ca="1">IFERROR(__xludf.DUMMYFUNCTION("GOOGLEFINANCE(""bom:""&amp;A297,""marketcap"")/10000000"),109.6061799)</f>
        <v>109.6061799</v>
      </c>
      <c r="Y297" s="118"/>
    </row>
    <row r="298" spans="1:25" ht="15.75" customHeight="1">
      <c r="A298" s="111">
        <v>539353</v>
      </c>
      <c r="B298" s="112" t="s">
        <v>294</v>
      </c>
      <c r="C298" s="113">
        <f ca="1">IFERROR(__xludf.DUMMYFUNCTION("GOOGLEFINANCE(""bom:""&amp;A298,""price"")"),573.95)</f>
        <v>573.95000000000005</v>
      </c>
      <c r="D298" s="114">
        <f ca="1">IFERROR(__xludf.DUMMYFUNCTION("GOOGLEFINANCE(""bom:""&amp;A298,""marketcap"")/10000000"),137.6167405)</f>
        <v>137.61674049999999</v>
      </c>
      <c r="Y298" s="118"/>
    </row>
    <row r="299" spans="1:25" ht="15.75" customHeight="1">
      <c r="A299" s="111">
        <v>504646</v>
      </c>
      <c r="B299" s="112" t="s">
        <v>295</v>
      </c>
      <c r="C299" s="113">
        <f ca="1">IFERROR(__xludf.DUMMYFUNCTION("GOOGLEFINANCE(""bom:""&amp;A299,""price"")"),453)</f>
        <v>453</v>
      </c>
      <c r="D299" s="114">
        <f ca="1">IFERROR(__xludf.DUMMYFUNCTION("GOOGLEFINANCE(""bom:""&amp;A299,""marketcap"")/10000000"),130.4949399)</f>
        <v>130.49493989999999</v>
      </c>
      <c r="Y299" s="118"/>
    </row>
    <row r="300" spans="1:25" ht="15.75" customHeight="1">
      <c r="A300" s="111">
        <v>523248</v>
      </c>
      <c r="B300" s="112" t="s">
        <v>296</v>
      </c>
      <c r="C300" s="113">
        <f ca="1">IFERROR(__xludf.DUMMYFUNCTION("GOOGLEFINANCE(""bom:""&amp;A300,""price"")"),284)</f>
        <v>284</v>
      </c>
      <c r="D300" s="114">
        <f ca="1">IFERROR(__xludf.DUMMYFUNCTION("GOOGLEFINANCE(""bom:""&amp;A300,""marketcap"")/10000000"),174.2850632)</f>
        <v>174.2850632</v>
      </c>
      <c r="Y300" s="118"/>
    </row>
    <row r="301" spans="1:25" ht="15.75" customHeight="1">
      <c r="A301" s="111">
        <v>505827</v>
      </c>
      <c r="B301" s="112" t="s">
        <v>297</v>
      </c>
      <c r="C301" s="113">
        <f ca="1">IFERROR(__xludf.DUMMYFUNCTION("GOOGLEFINANCE(""bom:""&amp;A301,""price"")"),385.55)</f>
        <v>385.55</v>
      </c>
      <c r="D301" s="114">
        <f ca="1">IFERROR(__xludf.DUMMYFUNCTION("GOOGLEFINANCE(""bom:""&amp;A301,""marketcap"")/10000000"),139.2429588)</f>
        <v>139.2429588</v>
      </c>
      <c r="Y301" s="118"/>
    </row>
    <row r="302" spans="1:25" ht="15.75" customHeight="1">
      <c r="A302" s="111">
        <v>505712</v>
      </c>
      <c r="B302" s="112" t="s">
        <v>298</v>
      </c>
      <c r="C302" s="113">
        <f ca="1">IFERROR(__xludf.DUMMYFUNCTION("GOOGLEFINANCE(""bom:""&amp;A302,""price"")"),215)</f>
        <v>215</v>
      </c>
      <c r="D302" s="114">
        <f ca="1">IFERROR(__xludf.DUMMYFUNCTION("GOOGLEFINANCE(""bom:""&amp;A302,""marketcap"")/10000000"),169.1193655)</f>
        <v>169.11936549999999</v>
      </c>
      <c r="Y302" s="118"/>
    </row>
    <row r="303" spans="1:25" ht="15.75" customHeight="1">
      <c r="A303" s="111">
        <v>505075</v>
      </c>
      <c r="B303" s="112" t="s">
        <v>299</v>
      </c>
      <c r="C303" s="113">
        <f ca="1">IFERROR(__xludf.DUMMYFUNCTION("GOOGLEFINANCE(""bom:""&amp;A303,""price"")"),12.75)</f>
        <v>12.75</v>
      </c>
      <c r="D303" s="114">
        <f ca="1">IFERROR(__xludf.DUMMYFUNCTION("GOOGLEFINANCE(""bom:""&amp;A303,""marketcap"")/10000000"),169.2155028)</f>
        <v>169.2155028</v>
      </c>
      <c r="Y303" s="118"/>
    </row>
    <row r="304" spans="1:25" ht="15.75" customHeight="1">
      <c r="A304" s="111">
        <v>532933</v>
      </c>
      <c r="B304" s="112" t="s">
        <v>300</v>
      </c>
      <c r="C304" s="113">
        <f ca="1">IFERROR(__xludf.DUMMYFUNCTION("GOOGLEFINANCE(""bom:""&amp;A304,""price"")"),66.65)</f>
        <v>66.650000000000006</v>
      </c>
      <c r="D304" s="114">
        <f ca="1">IFERROR(__xludf.DUMMYFUNCTION("GOOGLEFINANCE(""bom:""&amp;A304,""marketcap"")/10000000"),100.6415023)</f>
        <v>100.6415023</v>
      </c>
      <c r="Y304" s="118"/>
    </row>
    <row r="305" spans="1:35" ht="15.75" customHeight="1">
      <c r="A305" s="111">
        <v>542459</v>
      </c>
      <c r="B305" s="112" t="s">
        <v>301</v>
      </c>
      <c r="C305" s="113">
        <f ca="1">IFERROR(__xludf.DUMMYFUNCTION("GOOGLEFINANCE(""bom:""&amp;A305,""price"")"),67.5)</f>
        <v>67.5</v>
      </c>
      <c r="D305" s="114">
        <f ca="1">IFERROR(__xludf.DUMMYFUNCTION("GOOGLEFINANCE(""bom:""&amp;A305,""marketcap"")/10000000"),77.0202)</f>
        <v>77.020200000000003</v>
      </c>
      <c r="Y305" s="118"/>
    </row>
    <row r="306" spans="1:35" ht="15.75" customHeight="1">
      <c r="A306" s="111">
        <v>531994</v>
      </c>
      <c r="B306" s="112" t="s">
        <v>302</v>
      </c>
      <c r="C306" s="113">
        <f ca="1">IFERROR(__xludf.DUMMYFUNCTION("GOOGLEFINANCE(""bom:""&amp;A306,""price"")"),168.5)</f>
        <v>168.5</v>
      </c>
      <c r="D306" s="114">
        <f ca="1">IFERROR(__xludf.DUMMYFUNCTION("GOOGLEFINANCE(""bom:""&amp;A306,""marketcap"")/10000000"),96.1639947)</f>
        <v>96.163994700000003</v>
      </c>
      <c r="Y306" s="118"/>
    </row>
    <row r="307" spans="1:35" ht="15.75" customHeight="1">
      <c r="A307" s="111">
        <v>530711</v>
      </c>
      <c r="B307" s="112" t="s">
        <v>303</v>
      </c>
      <c r="C307" s="113">
        <f ca="1">IFERROR(__xludf.DUMMYFUNCTION("GOOGLEFINANCE(""bom:""&amp;A307,""price"")"),92.89)</f>
        <v>92.89</v>
      </c>
      <c r="D307" s="114">
        <f ca="1">IFERROR(__xludf.DUMMYFUNCTION("GOOGLEFINANCE(""bom:""&amp;A307,""marketcap"")/10000000"),67.815115)</f>
        <v>67.815115000000006</v>
      </c>
      <c r="Y307" s="118"/>
    </row>
    <row r="308" spans="1:35" ht="15.75" customHeight="1">
      <c r="A308" s="111">
        <v>507998</v>
      </c>
      <c r="B308" s="112" t="s">
        <v>304</v>
      </c>
      <c r="C308" s="113">
        <f ca="1">IFERROR(__xludf.DUMMYFUNCTION("GOOGLEFINANCE(""bom:""&amp;A308,""price"")"),86)</f>
        <v>86</v>
      </c>
      <c r="D308" s="114">
        <f ca="1">IFERROR(__xludf.DUMMYFUNCTION("GOOGLEFINANCE(""bom:""&amp;A308,""marketcap"")/10000000"),96.32)</f>
        <v>96.32</v>
      </c>
      <c r="Y308" s="118"/>
    </row>
    <row r="309" spans="1:35" ht="15.75" customHeight="1">
      <c r="A309" s="111">
        <v>505893</v>
      </c>
      <c r="B309" s="112" t="s">
        <v>305</v>
      </c>
      <c r="C309" s="113">
        <f ca="1">IFERROR(__xludf.DUMMYFUNCTION("GOOGLEFINANCE(""bom:""&amp;A309,""price"")"),516.45)</f>
        <v>516.45000000000005</v>
      </c>
      <c r="D309" s="114">
        <f ca="1">IFERROR(__xludf.DUMMYFUNCTION("GOOGLEFINANCE(""bom:""&amp;A309,""marketcap"")/10000000"),77.387452)</f>
        <v>77.387451999999996</v>
      </c>
      <c r="Y309" s="118"/>
    </row>
    <row r="310" spans="1:35" ht="15.75" customHeight="1">
      <c r="A310" s="111">
        <v>522207</v>
      </c>
      <c r="B310" s="112" t="s">
        <v>306</v>
      </c>
      <c r="C310" s="113">
        <f ca="1">IFERROR(__xludf.DUMMYFUNCTION("GOOGLEFINANCE(""bom:""&amp;A310,""price"")"),152.5)</f>
        <v>152.5</v>
      </c>
      <c r="D310" s="114">
        <f ca="1">IFERROR(__xludf.DUMMYFUNCTION("GOOGLEFINANCE(""bom:""&amp;A310,""marketcap"")/10000000"),91.11875)</f>
        <v>91.118750000000006</v>
      </c>
      <c r="Y310" s="118"/>
    </row>
    <row r="311" spans="1:35" ht="15.75" customHeight="1">
      <c r="A311" s="111">
        <v>513059</v>
      </c>
      <c r="B311" s="112" t="s">
        <v>307</v>
      </c>
      <c r="C311" s="113">
        <f ca="1">IFERROR(__xludf.DUMMYFUNCTION("GOOGLEFINANCE(""bom:""&amp;A311,""price"")"),47.07)</f>
        <v>47.07</v>
      </c>
      <c r="D311" s="114">
        <f ca="1">IFERROR(__xludf.DUMMYFUNCTION("GOOGLEFINANCE(""bom:""&amp;A311,""marketcap"")/10000000"),68.3201276)</f>
        <v>68.320127600000006</v>
      </c>
      <c r="Y311" s="118"/>
    </row>
    <row r="312" spans="1:35" ht="15.75" customHeight="1">
      <c r="A312" s="111">
        <v>531144</v>
      </c>
      <c r="B312" s="112" t="s">
        <v>308</v>
      </c>
      <c r="C312" s="113">
        <f ca="1">IFERROR(__xludf.DUMMYFUNCTION("GOOGLEFINANCE(""bom:""&amp;A312,""price"")"),22.3)</f>
        <v>22.3</v>
      </c>
      <c r="D312" s="114">
        <f ca="1">IFERROR(__xludf.DUMMYFUNCTION("GOOGLEFINANCE(""bom:""&amp;A312,""marketcap"")/10000000"),45.3231874)</f>
        <v>45.323187400000002</v>
      </c>
      <c r="Y312" s="118"/>
    </row>
    <row r="313" spans="1:35" ht="15.75" customHeight="1">
      <c r="A313" s="111">
        <v>505212</v>
      </c>
      <c r="B313" s="112" t="s">
        <v>309</v>
      </c>
      <c r="C313" s="113">
        <f ca="1">IFERROR(__xludf.DUMMYFUNCTION("GOOGLEFINANCE(""bom:""&amp;A313,""price"")"),150.1)</f>
        <v>150.1</v>
      </c>
      <c r="D313" s="114">
        <f ca="1">IFERROR(__xludf.DUMMYFUNCTION("GOOGLEFINANCE(""bom:""&amp;A313,""marketcap"")/10000000"),22.4600342)</f>
        <v>22.460034199999999</v>
      </c>
      <c r="Y313" s="118"/>
    </row>
    <row r="314" spans="1:35" ht="15.75" customHeight="1">
      <c r="A314" s="111">
        <v>520141</v>
      </c>
      <c r="B314" s="112" t="s">
        <v>310</v>
      </c>
      <c r="C314" s="113">
        <f ca="1">IFERROR(__xludf.DUMMYFUNCTION("GOOGLEFINANCE(""bom:""&amp;A314,""price"")"),12.61)</f>
        <v>12.61</v>
      </c>
      <c r="D314" s="114">
        <f ca="1">IFERROR(__xludf.DUMMYFUNCTION("GOOGLEFINANCE(""bom:""&amp;A314,""marketcap"")/10000000"),20.8381379)</f>
        <v>20.8381379</v>
      </c>
      <c r="Y314" s="118"/>
    </row>
    <row r="315" spans="1:35" ht="15.75" customHeight="1">
      <c r="A315" s="111">
        <v>513335</v>
      </c>
      <c r="B315" s="112" t="s">
        <v>311</v>
      </c>
      <c r="C315" s="113" t="str">
        <f ca="1">IFERROR(__xludf.DUMMYFUNCTION("GOOGLEFINANCE(""bom:""&amp;A315,""price"")"),"#N/A")</f>
        <v>#N/A</v>
      </c>
      <c r="D315" s="114" t="str">
        <f ca="1">IFERROR(__xludf.DUMMYFUNCTION("GOOGLEFINANCE(""bom:""&amp;A315,""marketcap"")/10000000"),"#N/A")</f>
        <v>#N/A</v>
      </c>
      <c r="Y315" s="118"/>
    </row>
    <row r="316" spans="1:35" ht="15.75" customHeight="1">
      <c r="A316" s="111">
        <v>513117</v>
      </c>
      <c r="B316" s="112" t="s">
        <v>312</v>
      </c>
      <c r="C316" s="113">
        <f ca="1">IFERROR(__xludf.DUMMYFUNCTION("GOOGLEFINANCE(""bom:""&amp;A316,""price"")"),11.3)</f>
        <v>11.3</v>
      </c>
      <c r="D316" s="114">
        <f ca="1">IFERROR(__xludf.DUMMYFUNCTION("GOOGLEFINANCE(""bom:""&amp;A316,""marketcap"")/10000000"),16.2575475)</f>
        <v>16.257547500000001</v>
      </c>
      <c r="Y316" s="118"/>
    </row>
    <row r="317" spans="1:35" ht="15.75" customHeight="1">
      <c r="A317" s="111">
        <v>506079</v>
      </c>
      <c r="B317" s="112" t="s">
        <v>313</v>
      </c>
      <c r="C317" s="113">
        <f ca="1">IFERROR(__xludf.DUMMYFUNCTION("GOOGLEFINANCE(""bom:""&amp;A317,""price"")"),5.54)</f>
        <v>5.54</v>
      </c>
      <c r="D317" s="114">
        <f ca="1">IFERROR(__xludf.DUMMYFUNCTION("GOOGLEFINANCE(""bom:""&amp;A317,""marketcap"")/10000000"),5.919442)</f>
        <v>5.9194420000000001</v>
      </c>
    </row>
    <row r="318" spans="1:35" ht="15.75" customHeight="1">
      <c r="A318" s="111">
        <v>513687</v>
      </c>
      <c r="B318" s="112" t="s">
        <v>314</v>
      </c>
      <c r="C318" s="113">
        <f ca="1">IFERROR(__xludf.DUMMYFUNCTION("GOOGLEFINANCE(""bom:""&amp;A318,""price"")"),5.13)</f>
        <v>5.13</v>
      </c>
      <c r="D318" s="114">
        <f ca="1">IFERROR(__xludf.DUMMYFUNCTION("GOOGLEFINANCE(""bom:""&amp;A318,""marketcap"")/10000000"),3.6312705)</f>
        <v>3.6312704999999998</v>
      </c>
    </row>
    <row r="319" spans="1:35" ht="15.75" customHeight="1">
      <c r="A319" s="92"/>
      <c r="B319" s="92"/>
    </row>
    <row r="320" spans="1:35" ht="15.75" customHeight="1">
      <c r="A320" s="122" t="s">
        <v>200</v>
      </c>
      <c r="B320" s="122" t="s">
        <v>196</v>
      </c>
      <c r="C320" s="123" t="s">
        <v>5</v>
      </c>
      <c r="D320" s="123" t="s">
        <v>169</v>
      </c>
      <c r="E320" s="123" t="s">
        <v>201</v>
      </c>
      <c r="F320" s="123" t="s">
        <v>202</v>
      </c>
      <c r="G320" s="123" t="s">
        <v>203</v>
      </c>
      <c r="H320" s="123" t="s">
        <v>204</v>
      </c>
      <c r="I320" s="123" t="s">
        <v>205</v>
      </c>
      <c r="J320" s="123" t="s">
        <v>206</v>
      </c>
      <c r="K320" s="123" t="s">
        <v>207</v>
      </c>
      <c r="L320" s="123" t="s">
        <v>315</v>
      </c>
      <c r="M320" s="123" t="s">
        <v>209</v>
      </c>
      <c r="N320" s="123" t="s">
        <v>9</v>
      </c>
      <c r="O320" s="123" t="s">
        <v>210</v>
      </c>
      <c r="P320" s="123" t="s">
        <v>170</v>
      </c>
      <c r="Q320" s="123" t="s">
        <v>171</v>
      </c>
      <c r="R320" s="123" t="s">
        <v>211</v>
      </c>
      <c r="S320" s="123" t="s">
        <v>212</v>
      </c>
      <c r="T320" s="123" t="s">
        <v>213</v>
      </c>
      <c r="U320" s="108" t="s">
        <v>194</v>
      </c>
      <c r="V320" s="108" t="s">
        <v>195</v>
      </c>
      <c r="W320" s="123" t="s">
        <v>77</v>
      </c>
      <c r="X320" s="123" t="s">
        <v>38</v>
      </c>
      <c r="Y320" s="124" t="s">
        <v>197</v>
      </c>
      <c r="Z320" s="123" t="s">
        <v>198</v>
      </c>
      <c r="AA320" s="123" t="s">
        <v>36</v>
      </c>
      <c r="AB320" s="125" t="s">
        <v>37</v>
      </c>
      <c r="AC320" s="123" t="s">
        <v>39</v>
      </c>
      <c r="AD320" s="123" t="s">
        <v>214</v>
      </c>
      <c r="AE320" s="123" t="s">
        <v>40</v>
      </c>
      <c r="AF320" s="124" t="s">
        <v>316</v>
      </c>
      <c r="AG320" s="125" t="s">
        <v>42</v>
      </c>
      <c r="AH320" s="124" t="s">
        <v>43</v>
      </c>
      <c r="AI320" s="123" t="s">
        <v>44</v>
      </c>
    </row>
    <row r="321" spans="1:35" ht="15.75" customHeight="1">
      <c r="A321" s="92"/>
      <c r="B321" s="92" t="s">
        <v>146</v>
      </c>
      <c r="D321" s="120">
        <f t="shared" ref="D321:L321" ca="1" si="24">SUM(D200:D318)</f>
        <v>937819.1174369998</v>
      </c>
      <c r="E321" s="120">
        <f t="shared" si="24"/>
        <v>142860.72</v>
      </c>
      <c r="F321" s="120">
        <f t="shared" si="24"/>
        <v>115196.25</v>
      </c>
      <c r="G321" s="120">
        <f t="shared" si="24"/>
        <v>291314.23</v>
      </c>
      <c r="H321" s="120">
        <f t="shared" si="24"/>
        <v>164789.18</v>
      </c>
      <c r="I321" s="120">
        <f t="shared" si="24"/>
        <v>3514.7400000000002</v>
      </c>
      <c r="J321" s="120">
        <f t="shared" si="24"/>
        <v>125442.77</v>
      </c>
      <c r="K321" s="120">
        <f t="shared" si="24"/>
        <v>65050.829999999994</v>
      </c>
      <c r="L321" s="120">
        <f t="shared" si="24"/>
        <v>45975.27</v>
      </c>
      <c r="N321" s="120">
        <f t="shared" ref="N321:T321" si="25">SUM(N200:N318)</f>
        <v>2655.8600000000006</v>
      </c>
      <c r="O321" s="120">
        <f t="shared" si="25"/>
        <v>200349</v>
      </c>
      <c r="P321" s="120">
        <f t="shared" si="25"/>
        <v>296735</v>
      </c>
      <c r="Q321" s="120">
        <f t="shared" si="25"/>
        <v>14559</v>
      </c>
      <c r="R321" s="120">
        <f t="shared" si="25"/>
        <v>284892</v>
      </c>
      <c r="S321" s="120">
        <f t="shared" si="25"/>
        <v>3741</v>
      </c>
      <c r="T321" s="120">
        <f t="shared" si="25"/>
        <v>270314</v>
      </c>
      <c r="U321" s="117">
        <f>(P321/O321)^(1/5)-1</f>
        <v>8.172363551966777E-2</v>
      </c>
      <c r="V321" s="117">
        <f>(279529/244347)-1</f>
        <v>0.1439837607991914</v>
      </c>
      <c r="W321" s="117">
        <f>Q321/P321</f>
        <v>4.9063979645137916E-2</v>
      </c>
      <c r="X321" s="118">
        <f>(P321-T321+S321)/S321</f>
        <v>8.0625501202886927</v>
      </c>
      <c r="Y321" s="118">
        <f>E321/F321</f>
        <v>1.2401507861584036</v>
      </c>
      <c r="Z321" s="118">
        <f>(L321/P321)*365</f>
        <v>56.552053347262706</v>
      </c>
      <c r="AA321" s="119">
        <f>K321/J321</f>
        <v>0.51856978285795186</v>
      </c>
      <c r="AB321" s="119">
        <f>H321/G321</f>
        <v>0.56567501010850041</v>
      </c>
      <c r="AC321" s="117">
        <f>Q321/J321</f>
        <v>0.11606089374461358</v>
      </c>
      <c r="AD321" s="120">
        <f>Q321/I321</f>
        <v>4.1422694139538061</v>
      </c>
      <c r="AE321" s="117">
        <f>Q321/G321</f>
        <v>4.9976961303950039E-2</v>
      </c>
      <c r="AF321" s="118">
        <f t="shared" ref="AF321:AG321" ca="1" si="26">MEDIAN(AF200:AF247)</f>
        <v>41.912928759894463</v>
      </c>
      <c r="AG321" s="117">
        <f t="shared" ca="1" si="26"/>
        <v>2.3858986465218758E-2</v>
      </c>
      <c r="AH321" s="120">
        <f>SUM(AH200:AH318)</f>
        <v>15006.96225182886</v>
      </c>
      <c r="AI321" s="121">
        <f ca="1">MEDIAN(AI200:AI247)</f>
        <v>6.0337467453648976</v>
      </c>
    </row>
    <row r="322" spans="1:35" ht="15.75" customHeight="1">
      <c r="A322" s="92"/>
      <c r="B322" s="92"/>
    </row>
    <row r="323" spans="1:35" ht="15.75" customHeight="1">
      <c r="D323" s="47">
        <f ca="1">D321*80%</f>
        <v>750255.29394959984</v>
      </c>
    </row>
    <row r="324" spans="1:35" ht="15.75" customHeight="1"/>
    <row r="325" spans="1:35" ht="15.75" customHeight="1"/>
    <row r="326" spans="1:35" ht="15.75" customHeight="1"/>
    <row r="327" spans="1:35" ht="15.75" customHeight="1"/>
    <row r="328" spans="1:35" ht="15.75" customHeight="1"/>
    <row r="329" spans="1:35" ht="15.75" customHeight="1"/>
    <row r="330" spans="1:35" ht="15.75" customHeight="1"/>
    <row r="331" spans="1:35" ht="15.75" customHeight="1"/>
    <row r="332" spans="1:35" ht="15.75" customHeight="1"/>
    <row r="333" spans="1:35" ht="15.75" customHeight="1"/>
    <row r="334" spans="1:35" ht="15.75" customHeight="1"/>
    <row r="335" spans="1:35" ht="15.75" customHeight="1"/>
    <row r="336" spans="1:3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</sheetData>
  <autoFilter ref="B173:D193" xr:uid="{00000000-0009-0000-0000-000000000000}">
    <sortState xmlns:xlrd2="http://schemas.microsoft.com/office/spreadsheetml/2017/richdata2" ref="B173:D193">
      <sortCondition descending="1" ref="D173:D193"/>
    </sortState>
  </autoFilter>
  <mergeCells count="9">
    <mergeCell ref="J11:K11"/>
    <mergeCell ref="J12:K12"/>
    <mergeCell ref="J13:K13"/>
    <mergeCell ref="B2:N4"/>
    <mergeCell ref="J6:K6"/>
    <mergeCell ref="J7:K7"/>
    <mergeCell ref="J8:K8"/>
    <mergeCell ref="J9:K9"/>
    <mergeCell ref="J10:K10"/>
  </mergeCells>
  <conditionalFormatting sqref="C17:C37 G37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7:C76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2:C101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27:C146">
    <cfRule type="colorScale" priority="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74:C193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74:D193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7:G36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2:G101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27:G146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7:K37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57:K76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82:K101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27:K146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Amarajabat</vt:lpstr>
      <vt:lpstr>Auto Components &amp; Equipments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2024-08-14T07:50:01Z</dcterms:created>
  <dcterms:modified xsi:type="dcterms:W3CDTF">2024-08-14T07:50:31Z</dcterms:modified>
</cp:coreProperties>
</file>