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1_fy25\"/>
    </mc:Choice>
  </mc:AlternateContent>
  <xr:revisionPtr revIDLastSave="0" documentId="8_{41DF846D-C48D-4459-AE96-D10157FA9207}" xr6:coauthVersionLast="47" xr6:coauthVersionMax="47" xr10:uidLastSave="{00000000-0000-0000-0000-000000000000}"/>
  <bookViews>
    <workbookView xWindow="-108" yWindow="-108" windowWidth="23256" windowHeight="12456" xr2:uid="{9241D6D2-CA9A-4480-939A-FE6A0164E141}"/>
  </bookViews>
  <sheets>
    <sheet name="FAIRVALUE BEL" sheetId="1" r:id="rId1"/>
    <sheet name="Aerospace &amp; Defense" sheetId="2" r:id="rId2"/>
  </sheets>
  <externalReferences>
    <externalReference r:id="rId3"/>
  </externalReferences>
  <definedNames>
    <definedName name="_xlnm._FilterDatabase" localSheetId="1" hidden="1">'Aerospace &amp; Defense'!$A$1:$AP$19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2" l="1"/>
  <c r="G46" i="2"/>
  <c r="C46" i="2"/>
  <c r="AL22" i="2"/>
  <c r="AB22" i="2"/>
  <c r="Y22" i="2"/>
  <c r="X22" i="2"/>
  <c r="W22" i="2"/>
  <c r="V22" i="2"/>
  <c r="AA22" i="2" s="1"/>
  <c r="U22" i="2"/>
  <c r="T22" i="2"/>
  <c r="Z22" i="2" s="1"/>
  <c r="S22" i="2"/>
  <c r="AK22" i="2" s="1"/>
  <c r="Q22" i="2"/>
  <c r="AE22" i="2" s="1"/>
  <c r="P22" i="2"/>
  <c r="M22" i="2"/>
  <c r="L22" i="2"/>
  <c r="AG22" i="2" s="1"/>
  <c r="K22" i="2"/>
  <c r="AH22" i="2" s="1"/>
  <c r="J22" i="2"/>
  <c r="AO22" i="2" s="1"/>
  <c r="I22" i="2"/>
  <c r="H22" i="2"/>
  <c r="G22" i="2"/>
  <c r="F22" i="2"/>
  <c r="E22" i="2"/>
  <c r="AI22" i="2" s="1"/>
  <c r="D19" i="2"/>
  <c r="C19" i="2"/>
  <c r="D18" i="2"/>
  <c r="C18" i="2"/>
  <c r="D17" i="2"/>
  <c r="C17" i="2"/>
  <c r="D16" i="2"/>
  <c r="C16" i="2"/>
  <c r="AO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N15" i="2"/>
  <c r="AN15" i="2" s="1"/>
  <c r="D15" i="2"/>
  <c r="C15" i="2"/>
  <c r="AO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N14" i="2"/>
  <c r="D14" i="2"/>
  <c r="C14" i="2"/>
  <c r="AM14" i="2" s="1"/>
  <c r="AO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D13" i="2"/>
  <c r="C13" i="2"/>
  <c r="AN13" i="2" s="1"/>
  <c r="AO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N12" i="2"/>
  <c r="AN12" i="2" s="1"/>
  <c r="D12" i="2"/>
  <c r="C12" i="2"/>
  <c r="AP12" i="2" s="1"/>
  <c r="AO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N11" i="2"/>
  <c r="AN11" i="2" s="1"/>
  <c r="D11" i="2"/>
  <c r="C11" i="2"/>
  <c r="AP11" i="2" s="1"/>
  <c r="AO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N10" i="2"/>
  <c r="D10" i="2"/>
  <c r="C10" i="2"/>
  <c r="AM10" i="2" s="1"/>
  <c r="AO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N9" i="2"/>
  <c r="D9" i="2"/>
  <c r="C9" i="2"/>
  <c r="AP9" i="2" s="1"/>
  <c r="AP8" i="2"/>
  <c r="AO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N8" i="2"/>
  <c r="AN8" i="2" s="1"/>
  <c r="D8" i="2"/>
  <c r="C8" i="2"/>
  <c r="AO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N7" i="2"/>
  <c r="D7" i="2"/>
  <c r="C7" i="2"/>
  <c r="AP7" i="2" s="1"/>
  <c r="AO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N6" i="2"/>
  <c r="AN6" i="2" s="1"/>
  <c r="D6" i="2"/>
  <c r="C6" i="2"/>
  <c r="AO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N5" i="2"/>
  <c r="AN5" i="2" s="1"/>
  <c r="D5" i="2"/>
  <c r="C5" i="2"/>
  <c r="AO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N4" i="2"/>
  <c r="D4" i="2"/>
  <c r="C4" i="2"/>
  <c r="AP4" i="2" s="1"/>
  <c r="AO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N3" i="2"/>
  <c r="D3" i="2"/>
  <c r="C3" i="2"/>
  <c r="AP3" i="2" s="1"/>
  <c r="AO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N2" i="2"/>
  <c r="D2" i="2"/>
  <c r="D22" i="2" s="1"/>
  <c r="C2" i="2"/>
  <c r="L52" i="1"/>
  <c r="K52" i="1"/>
  <c r="H52" i="1"/>
  <c r="L51" i="1"/>
  <c r="K51" i="1"/>
  <c r="H51" i="1"/>
  <c r="L50" i="1"/>
  <c r="K50" i="1"/>
  <c r="H50" i="1"/>
  <c r="L49" i="1"/>
  <c r="K49" i="1"/>
  <c r="H49" i="1"/>
  <c r="L48" i="1"/>
  <c r="K48" i="1"/>
  <c r="H48" i="1"/>
  <c r="L47" i="1"/>
  <c r="K47" i="1"/>
  <c r="H47" i="1"/>
  <c r="U46" i="1"/>
  <c r="T46" i="1"/>
  <c r="V40" i="1" s="1"/>
  <c r="L46" i="1"/>
  <c r="K46" i="1"/>
  <c r="H46" i="1"/>
  <c r="L45" i="1"/>
  <c r="K45" i="1"/>
  <c r="H45" i="1"/>
  <c r="W44" i="1"/>
  <c r="V44" i="1"/>
  <c r="L44" i="1"/>
  <c r="K44" i="1"/>
  <c r="H44" i="1"/>
  <c r="W43" i="1"/>
  <c r="L43" i="1"/>
  <c r="K43" i="1"/>
  <c r="H43" i="1"/>
  <c r="W42" i="1"/>
  <c r="V42" i="1"/>
  <c r="L42" i="1"/>
  <c r="K42" i="1"/>
  <c r="H42" i="1"/>
  <c r="W41" i="1"/>
  <c r="L41" i="1"/>
  <c r="K41" i="1"/>
  <c r="H41" i="1"/>
  <c r="W40" i="1"/>
  <c r="L40" i="1"/>
  <c r="K40" i="1"/>
  <c r="H40" i="1"/>
  <c r="W39" i="1"/>
  <c r="V39" i="1"/>
  <c r="L39" i="1"/>
  <c r="K39" i="1"/>
  <c r="H39" i="1"/>
  <c r="W38" i="1"/>
  <c r="L38" i="1"/>
  <c r="K38" i="1"/>
  <c r="H38" i="1"/>
  <c r="L37" i="1"/>
  <c r="L24" i="1" s="1"/>
  <c r="K37" i="1"/>
  <c r="H37" i="1"/>
  <c r="L36" i="1"/>
  <c r="K36" i="1"/>
  <c r="H36" i="1"/>
  <c r="Z35" i="1"/>
  <c r="Y35" i="1"/>
  <c r="AA35" i="1" s="1"/>
  <c r="U35" i="1"/>
  <c r="T35" i="1"/>
  <c r="V35" i="1" s="1"/>
  <c r="P35" i="1"/>
  <c r="O35" i="1"/>
  <c r="Q35" i="1" s="1"/>
  <c r="L35" i="1"/>
  <c r="K35" i="1"/>
  <c r="H35" i="1"/>
  <c r="Z34" i="1"/>
  <c r="AA34" i="1" s="1"/>
  <c r="Y34" i="1"/>
  <c r="U34" i="1"/>
  <c r="T34" i="1"/>
  <c r="V34" i="1" s="1"/>
  <c r="Q34" i="1"/>
  <c r="P34" i="1"/>
  <c r="O34" i="1"/>
  <c r="L34" i="1"/>
  <c r="K34" i="1"/>
  <c r="H34" i="1"/>
  <c r="AA33" i="1"/>
  <c r="V33" i="1"/>
  <c r="Q33" i="1"/>
  <c r="L33" i="1"/>
  <c r="K33" i="1"/>
  <c r="H33" i="1"/>
  <c r="AA32" i="1"/>
  <c r="V32" i="1"/>
  <c r="Q32" i="1"/>
  <c r="L32" i="1"/>
  <c r="L22" i="1" s="1"/>
  <c r="L25" i="1" s="1"/>
  <c r="K32" i="1"/>
  <c r="H32" i="1"/>
  <c r="AA31" i="1"/>
  <c r="V31" i="1"/>
  <c r="Q31" i="1"/>
  <c r="L31" i="1"/>
  <c r="K31" i="1"/>
  <c r="K23" i="1" s="1"/>
  <c r="H31" i="1"/>
  <c r="H24" i="1" s="1"/>
  <c r="AA30" i="1"/>
  <c r="V30" i="1"/>
  <c r="Q30" i="1"/>
  <c r="L30" i="1"/>
  <c r="K30" i="1"/>
  <c r="H30" i="1"/>
  <c r="AA29" i="1"/>
  <c r="V29" i="1"/>
  <c r="Q29" i="1"/>
  <c r="L29" i="1"/>
  <c r="K29" i="1"/>
  <c r="H29" i="1"/>
  <c r="E29" i="1"/>
  <c r="D29" i="1"/>
  <c r="J27" i="1"/>
  <c r="I27" i="1"/>
  <c r="I25" i="1" s="1"/>
  <c r="G27" i="1"/>
  <c r="G25" i="1" s="1"/>
  <c r="N26" i="1"/>
  <c r="F26" i="1"/>
  <c r="J25" i="1"/>
  <c r="F25" i="1"/>
  <c r="E25" i="1"/>
  <c r="D25" i="1"/>
  <c r="K24" i="1"/>
  <c r="J24" i="1"/>
  <c r="I24" i="1"/>
  <c r="G24" i="1"/>
  <c r="F24" i="1"/>
  <c r="E24" i="1"/>
  <c r="D24" i="1"/>
  <c r="L23" i="1"/>
  <c r="J23" i="1"/>
  <c r="I23" i="1"/>
  <c r="G23" i="1"/>
  <c r="F23" i="1"/>
  <c r="E23" i="1"/>
  <c r="D23" i="1"/>
  <c r="J22" i="1"/>
  <c r="I22" i="1"/>
  <c r="G22" i="1"/>
  <c r="F22" i="1"/>
  <c r="E22" i="1"/>
  <c r="D22" i="1"/>
  <c r="S21" i="1"/>
  <c r="L21" i="1"/>
  <c r="K21" i="1"/>
  <c r="J21" i="1"/>
  <c r="I21" i="1"/>
  <c r="H21" i="1"/>
  <c r="G21" i="1"/>
  <c r="F21" i="1"/>
  <c r="E21" i="1"/>
  <c r="D21" i="1"/>
  <c r="F14" i="1"/>
  <c r="H14" i="1" s="1"/>
  <c r="E14" i="1"/>
  <c r="E17" i="1" s="1"/>
  <c r="D14" i="1"/>
  <c r="D13" i="1"/>
  <c r="D12" i="1" s="1"/>
  <c r="N9" i="1"/>
  <c r="G9" i="1"/>
  <c r="F9" i="1"/>
  <c r="E9" i="1"/>
  <c r="D9" i="1"/>
  <c r="C9" i="1"/>
  <c r="B9" i="1"/>
  <c r="V5" i="1"/>
  <c r="U5" i="1"/>
  <c r="S5" i="1"/>
  <c r="R5" i="1"/>
  <c r="Q5" i="1"/>
  <c r="P5" i="1"/>
  <c r="O5" i="1"/>
  <c r="N5" i="1"/>
  <c r="M5" i="1"/>
  <c r="K5" i="1"/>
  <c r="J5" i="1"/>
  <c r="I5" i="1"/>
  <c r="G5" i="1"/>
  <c r="W4" i="1"/>
  <c r="H4" i="1"/>
  <c r="H5" i="1" s="1"/>
  <c r="F4" i="1"/>
  <c r="E4" i="1"/>
  <c r="W3" i="1"/>
  <c r="W5" i="1" s="1"/>
  <c r="H3" i="1"/>
  <c r="F3" i="1"/>
  <c r="K9" i="1" s="1"/>
  <c r="E3" i="1"/>
  <c r="E5" i="1" s="1"/>
  <c r="D3" i="1"/>
  <c r="C3" i="1"/>
  <c r="P26" i="1" s="1"/>
  <c r="Q24" i="1" s="1"/>
  <c r="P9" i="1" s="1"/>
  <c r="N22" i="2" l="1"/>
  <c r="AN3" i="2"/>
  <c r="AM5" i="2"/>
  <c r="AN9" i="2"/>
  <c r="O9" i="1"/>
  <c r="AN4" i="2"/>
  <c r="AM6" i="2"/>
  <c r="AP6" i="2"/>
  <c r="AN10" i="2"/>
  <c r="AN7" i="2"/>
  <c r="AM8" i="2"/>
  <c r="AP14" i="2"/>
  <c r="AM7" i="2"/>
  <c r="AP13" i="2"/>
  <c r="D4" i="1"/>
  <c r="D5" i="1" s="1"/>
  <c r="AM2" i="2"/>
  <c r="AN14" i="2"/>
  <c r="AM15" i="2"/>
  <c r="O4" i="2"/>
  <c r="O12" i="2"/>
  <c r="O7" i="2"/>
  <c r="O13" i="2"/>
  <c r="O15" i="2"/>
  <c r="O18" i="2"/>
  <c r="O19" i="2"/>
  <c r="O11" i="2"/>
  <c r="O3" i="2"/>
  <c r="O16" i="2"/>
  <c r="O6" i="2"/>
  <c r="O14" i="2"/>
  <c r="O9" i="2"/>
  <c r="O17" i="2"/>
  <c r="O10" i="2"/>
  <c r="O2" i="2"/>
  <c r="O5" i="2"/>
  <c r="O8" i="2"/>
  <c r="AN2" i="2"/>
  <c r="AM4" i="2"/>
  <c r="AP5" i="2"/>
  <c r="AM12" i="2"/>
  <c r="AD22" i="2"/>
  <c r="AP2" i="2"/>
  <c r="AP22" i="2" s="1"/>
  <c r="AM9" i="2"/>
  <c r="AP10" i="2"/>
  <c r="AP15" i="2"/>
  <c r="AF22" i="2"/>
  <c r="C5" i="1"/>
  <c r="AM3" i="2"/>
  <c r="AM22" i="2" s="1"/>
  <c r="AM11" i="2"/>
  <c r="AM13" i="2"/>
  <c r="AJ22" i="2"/>
  <c r="M9" i="1"/>
  <c r="AC22" i="2"/>
  <c r="G14" i="1"/>
  <c r="H9" i="1"/>
  <c r="H22" i="1"/>
  <c r="G18" i="1" s="1"/>
  <c r="E13" i="1" s="1"/>
  <c r="V41" i="1"/>
  <c r="I9" i="1"/>
  <c r="H23" i="1"/>
  <c r="V38" i="1"/>
  <c r="V46" i="1"/>
  <c r="F5" i="1"/>
  <c r="J9" i="1"/>
  <c r="V43" i="1"/>
  <c r="W46" i="1"/>
  <c r="K22" i="1"/>
  <c r="K25" i="1" s="1"/>
  <c r="L26" i="1" s="1"/>
  <c r="O26" i="1"/>
  <c r="L9" i="1"/>
  <c r="AN22" i="2" l="1"/>
  <c r="O22" i="2"/>
  <c r="E12" i="1"/>
  <c r="F13" i="1"/>
  <c r="F12" i="1" l="1"/>
  <c r="H13" i="1"/>
  <c r="G13" i="1"/>
  <c r="G12" i="1" l="1"/>
  <c r="H12" i="1"/>
</calcChain>
</file>

<file path=xl/sharedStrings.xml><?xml version="1.0" encoding="utf-8"?>
<sst xmlns="http://schemas.openxmlformats.org/spreadsheetml/2006/main" count="507" uniqueCount="194">
  <si>
    <t>BALANCESHEET</t>
  </si>
  <si>
    <t>CASHFLOW</t>
  </si>
  <si>
    <t>Company</t>
  </si>
  <si>
    <t>Price</t>
  </si>
  <si>
    <t>Marketcap in Cr</t>
  </si>
  <si>
    <t>TRAIL_SALES</t>
  </si>
  <si>
    <t>TRAIL_PROFIT</t>
  </si>
  <si>
    <t>OrderBook in Cr</t>
  </si>
  <si>
    <t>TRAIL_EPS</t>
  </si>
  <si>
    <t>FV</t>
  </si>
  <si>
    <t>Equity</t>
  </si>
  <si>
    <t>Total Equity</t>
  </si>
  <si>
    <t>Debt</t>
  </si>
  <si>
    <t>Lease Cr</t>
  </si>
  <si>
    <t>CUR.ASSETS</t>
  </si>
  <si>
    <t>CUR.LIABILITIES</t>
  </si>
  <si>
    <t>ASSETS</t>
  </si>
  <si>
    <t>LIABILITIES</t>
  </si>
  <si>
    <t>TRADE REC</t>
  </si>
  <si>
    <t>CFO</t>
  </si>
  <si>
    <t>CFI</t>
  </si>
  <si>
    <t>CFF</t>
  </si>
  <si>
    <t>PPE</t>
  </si>
  <si>
    <t>BEL</t>
  </si>
  <si>
    <t>Prev..Year FY_24</t>
  </si>
  <si>
    <t>GROWTH</t>
  </si>
  <si>
    <t>LIQUIDITY</t>
  </si>
  <si>
    <t>SOLVENCY</t>
  </si>
  <si>
    <t>PROFITABILITY</t>
  </si>
  <si>
    <t>VALUATIONS</t>
  </si>
  <si>
    <t>SALES GROWTH</t>
  </si>
  <si>
    <t>P-MARGIN</t>
  </si>
  <si>
    <t>CUR.RATIO</t>
  </si>
  <si>
    <t>TRADE CYC</t>
  </si>
  <si>
    <t>DEBT2EQUITY</t>
  </si>
  <si>
    <t>DEBTRATIO</t>
  </si>
  <si>
    <t>ICR</t>
  </si>
  <si>
    <t>ROE</t>
  </si>
  <si>
    <t>ROA</t>
  </si>
  <si>
    <t>TRAIL_PE</t>
  </si>
  <si>
    <t>YIELD_23</t>
  </si>
  <si>
    <t>BOOKVALUE</t>
  </si>
  <si>
    <t>PBV</t>
  </si>
  <si>
    <t>PEG</t>
  </si>
  <si>
    <t>Estimate</t>
  </si>
  <si>
    <t>YEAR</t>
  </si>
  <si>
    <t>SALES</t>
  </si>
  <si>
    <t xml:space="preserve">PROFIT  </t>
  </si>
  <si>
    <t xml:space="preserve">EPS </t>
  </si>
  <si>
    <t>Fairvalue</t>
  </si>
  <si>
    <t>Dividend</t>
  </si>
  <si>
    <t>fy_35</t>
  </si>
  <si>
    <t>fy_30</t>
  </si>
  <si>
    <t>fy_25</t>
  </si>
  <si>
    <t>Trend</t>
  </si>
  <si>
    <t>H1_FY_2024</t>
  </si>
  <si>
    <t>9M_FY_2024</t>
  </si>
  <si>
    <t>FY_2024</t>
  </si>
  <si>
    <t>Q1_FY_2025</t>
  </si>
  <si>
    <t>EST_FY_2025</t>
  </si>
  <si>
    <t>EPS</t>
  </si>
  <si>
    <t>MARGIN</t>
  </si>
  <si>
    <t>Sales</t>
  </si>
  <si>
    <t>C/y growth</t>
  </si>
  <si>
    <t>Profit</t>
  </si>
  <si>
    <t>LT growth</t>
  </si>
  <si>
    <t>Growth</t>
  </si>
  <si>
    <t xml:space="preserve">EQUITY  </t>
  </si>
  <si>
    <t>HIGH PRICE</t>
  </si>
  <si>
    <t>LOW PRICE</t>
  </si>
  <si>
    <t>High PE</t>
  </si>
  <si>
    <t>Low PE</t>
  </si>
  <si>
    <t>TRAILEPS</t>
  </si>
  <si>
    <t>Q2</t>
  </si>
  <si>
    <t>Q3</t>
  </si>
  <si>
    <t>Q4</t>
  </si>
  <si>
    <t>Q1</t>
  </si>
  <si>
    <t>F-EPS-2025</t>
  </si>
  <si>
    <t>CYear</t>
  </si>
  <si>
    <t>5 Years</t>
  </si>
  <si>
    <t>10 Years</t>
  </si>
  <si>
    <t>EPS_24</t>
  </si>
  <si>
    <t>T_EPS</t>
  </si>
  <si>
    <t>F_EPS_25</t>
  </si>
  <si>
    <t>F_PEG</t>
  </si>
  <si>
    <t>20 years</t>
  </si>
  <si>
    <t>Growth in x</t>
  </si>
  <si>
    <t>PE</t>
  </si>
  <si>
    <t>F_PE</t>
  </si>
  <si>
    <t>Real ExBonus</t>
  </si>
  <si>
    <t>Actual Data</t>
  </si>
  <si>
    <t>RESULTS</t>
  </si>
  <si>
    <t>Q1_FY25</t>
  </si>
  <si>
    <t>Q1_FY24</t>
  </si>
  <si>
    <t>Q4_FY24</t>
  </si>
  <si>
    <t>Q4_FY23</t>
  </si>
  <si>
    <t>FY24</t>
  </si>
  <si>
    <t>FY23</t>
  </si>
  <si>
    <t>Trail_fy25</t>
  </si>
  <si>
    <t>fy_24</t>
  </si>
  <si>
    <t>Fin</t>
  </si>
  <si>
    <t>Bonus 2:1</t>
  </si>
  <si>
    <t>fy_23</t>
  </si>
  <si>
    <t>Exp</t>
  </si>
  <si>
    <t>fy_22</t>
  </si>
  <si>
    <t>fy_21</t>
  </si>
  <si>
    <t>fy_20</t>
  </si>
  <si>
    <t>Margin</t>
  </si>
  <si>
    <t>fy_19</t>
  </si>
  <si>
    <t>fy_18</t>
  </si>
  <si>
    <t>split 10TO &amp;BONUS</t>
  </si>
  <si>
    <t>fy_17</t>
  </si>
  <si>
    <t>MAJOR COST</t>
  </si>
  <si>
    <t>Share</t>
  </si>
  <si>
    <t>fy_16</t>
  </si>
  <si>
    <t>Material</t>
  </si>
  <si>
    <t>bonus 2:1</t>
  </si>
  <si>
    <t>fy_15</t>
  </si>
  <si>
    <t>STOCK IN TRADE</t>
  </si>
  <si>
    <t>fy_14</t>
  </si>
  <si>
    <t>Inventory Change</t>
  </si>
  <si>
    <t>fy_13</t>
  </si>
  <si>
    <t>EMPLOYEE BENEFIT EXPENSE</t>
  </si>
  <si>
    <t>fy_12</t>
  </si>
  <si>
    <t xml:space="preserve">FINANACE COST </t>
  </si>
  <si>
    <t>fy_11</t>
  </si>
  <si>
    <t>DEPRECIATION &amp; AMORTIZATION</t>
  </si>
  <si>
    <t>fy_10</t>
  </si>
  <si>
    <t>OTHER EXPENSES</t>
  </si>
  <si>
    <t>fy_09</t>
  </si>
  <si>
    <t>fy_08</t>
  </si>
  <si>
    <t>TOTAL</t>
  </si>
  <si>
    <t>fy_07</t>
  </si>
  <si>
    <t>fy_06</t>
  </si>
  <si>
    <t>fy_05</t>
  </si>
  <si>
    <t>fy_04</t>
  </si>
  <si>
    <t>fy_03</t>
  </si>
  <si>
    <t>SHARE HOLADING PATTERN</t>
  </si>
  <si>
    <t>fy_02</t>
  </si>
  <si>
    <t>PROMOTER</t>
  </si>
  <si>
    <t>MF, Insu, FI</t>
  </si>
  <si>
    <t>FPI</t>
  </si>
  <si>
    <t>RETAIL INVESTOR</t>
  </si>
  <si>
    <t>Security Code</t>
  </si>
  <si>
    <t>COMPANY</t>
  </si>
  <si>
    <t>CMP</t>
  </si>
  <si>
    <t>MARKETCAP</t>
  </si>
  <si>
    <t>CUR ASSET</t>
  </si>
  <si>
    <t>CUR LIABILITY</t>
  </si>
  <si>
    <t>TOT. ASSET</t>
  </si>
  <si>
    <t>TOT. LIABILITY</t>
  </si>
  <si>
    <t>EQUITY</t>
  </si>
  <si>
    <t>TOT. EQUITY</t>
  </si>
  <si>
    <t>BORROWING</t>
  </si>
  <si>
    <t xml:space="preserve">TRADE REC. </t>
  </si>
  <si>
    <t>Companies weightage</t>
  </si>
  <si>
    <t>SALES_18</t>
  </si>
  <si>
    <t>SALES_23</t>
  </si>
  <si>
    <t>SALES 2024</t>
  </si>
  <si>
    <t>PROFIT_23</t>
  </si>
  <si>
    <t>9M_FY24_SALES</t>
  </si>
  <si>
    <t>9M_FY23_SALES</t>
  </si>
  <si>
    <t>9M_FY24_PROFIT</t>
  </si>
  <si>
    <t>9M_FY23_PROFIT</t>
  </si>
  <si>
    <t>FINANCE</t>
  </si>
  <si>
    <t>EXPENSE</t>
  </si>
  <si>
    <t>CY_SALES GR</t>
  </si>
  <si>
    <t>CY_PRPFIT_GR</t>
  </si>
  <si>
    <t>SALES_5Y_GR</t>
  </si>
  <si>
    <t>MARGIN_23</t>
  </si>
  <si>
    <t>CY_MARGIN</t>
  </si>
  <si>
    <t>CUR. RATIO</t>
  </si>
  <si>
    <t>TR.DAYS</t>
  </si>
  <si>
    <t>ROPE</t>
  </si>
  <si>
    <t>YIELD</t>
  </si>
  <si>
    <t>HAL</t>
  </si>
  <si>
    <t>BDL</t>
  </si>
  <si>
    <t>DATAPATTNS</t>
  </si>
  <si>
    <t>GRSE</t>
  </si>
  <si>
    <t>MIDHANI</t>
  </si>
  <si>
    <t>ZENTEC</t>
  </si>
  <si>
    <t>MTARTECH</t>
  </si>
  <si>
    <t>ASTRAMICRO</t>
  </si>
  <si>
    <t>APOLLO</t>
  </si>
  <si>
    <t>DCXINDIA</t>
  </si>
  <si>
    <t>IDEAFORGE*</t>
  </si>
  <si>
    <t>PARAS</t>
  </si>
  <si>
    <t>ROSSELLIND</t>
  </si>
  <si>
    <t>NIBE</t>
  </si>
  <si>
    <t>TANAA</t>
  </si>
  <si>
    <t>SIKA</t>
  </si>
  <si>
    <t>INDUSTRY</t>
  </si>
  <si>
    <t>QUALITY</t>
  </si>
  <si>
    <t>WWW.PROFITFROMIT.IN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</si>
</sst>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18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rgb="FFFFFFFF"/>
      <name val="Arial"/>
    </font>
    <font>
      <sz val="11"/>
      <color theme="1"/>
      <name val="Calibri"/>
    </font>
    <font>
      <sz val="11"/>
      <color theme="1"/>
      <name val="Arial"/>
    </font>
    <font>
      <b/>
      <i/>
      <sz val="11"/>
      <color theme="1"/>
      <name val="Arial"/>
    </font>
    <font>
      <b/>
      <i/>
      <sz val="11"/>
      <color theme="1"/>
      <name val="Calibri"/>
    </font>
    <font>
      <b/>
      <sz val="11"/>
      <color rgb="FFFFFFFF"/>
      <name val="Arial"/>
    </font>
    <font>
      <b/>
      <sz val="11"/>
      <color theme="1"/>
      <name val="Arial"/>
    </font>
    <font>
      <b/>
      <sz val="14"/>
      <color rgb="FFFFFFFF"/>
      <name val="Arial"/>
    </font>
    <font>
      <sz val="30"/>
      <color theme="1"/>
      <name val="Calibri"/>
      <scheme val="minor"/>
    </font>
    <font>
      <sz val="11"/>
      <color rgb="FF000000"/>
      <name val="Arial"/>
    </font>
    <font>
      <b/>
      <sz val="11"/>
      <color rgb="FFFFFFFF"/>
      <name val="Calibri"/>
      <scheme val="minor"/>
    </font>
    <font>
      <sz val="11"/>
      <color rgb="FF000000"/>
      <name val="Calibri"/>
    </font>
    <font>
      <b/>
      <i/>
      <u/>
      <sz val="11"/>
      <color theme="1"/>
      <name val="Arial"/>
    </font>
    <font>
      <b/>
      <i/>
      <u/>
      <sz val="11"/>
      <color theme="1"/>
      <name val="Calibri"/>
      <scheme val="minor"/>
    </font>
    <font>
      <b/>
      <u/>
      <sz val="11"/>
      <color rgb="FF0000FF"/>
      <name val="Arial"/>
    </font>
    <font>
      <sz val="11"/>
      <name val="Arial"/>
    </font>
  </fonts>
  <fills count="14">
    <fill>
      <patternFill patternType="none"/>
    </fill>
    <fill>
      <patternFill patternType="gray125"/>
    </fill>
    <fill>
      <patternFill patternType="solid">
        <fgColor rgb="FF20124D"/>
        <bgColor rgb="FF20124D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073763"/>
        <bgColor rgb="FF073763"/>
      </patternFill>
    </fill>
    <fill>
      <patternFill patternType="solid">
        <fgColor rgb="FFE67C73"/>
        <bgColor rgb="FFE67C73"/>
      </patternFill>
    </fill>
    <fill>
      <patternFill patternType="solid">
        <fgColor rgb="FF57BB8A"/>
        <bgColor rgb="FF57BB8A"/>
      </patternFill>
    </fill>
    <fill>
      <patternFill patternType="solid">
        <fgColor rgb="FFEA9999"/>
        <bgColor rgb="FFEA9999"/>
      </patternFill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  <fill>
      <patternFill patternType="solid">
        <fgColor rgb="FF4C1130"/>
        <bgColor rgb="FF4C1130"/>
      </patternFill>
    </fill>
    <fill>
      <patternFill patternType="solid">
        <fgColor rgb="FFC9DAF8"/>
        <bgColor rgb="FFC9DAF8"/>
      </patternFill>
    </fill>
    <fill>
      <patternFill patternType="solid">
        <fgColor rgb="FFA4C2F4"/>
        <bgColor rgb="FFA4C2F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2" fillId="2" borderId="1" xfId="0" applyFont="1" applyFill="1" applyBorder="1" applyAlignment="1">
      <alignment horizontal="left"/>
    </xf>
    <xf numFmtId="4" fontId="2" fillId="2" borderId="1" xfId="0" applyNumberFormat="1" applyFont="1" applyFill="1" applyBorder="1" applyAlignment="1">
      <alignment horizontal="left"/>
    </xf>
    <xf numFmtId="0" fontId="3" fillId="0" borderId="1" xfId="0" applyFont="1" applyBorder="1"/>
    <xf numFmtId="1" fontId="3" fillId="0" borderId="1" xfId="0" applyNumberFormat="1" applyFont="1" applyBorder="1" applyAlignment="1">
      <alignment horizontal="right"/>
    </xf>
    <xf numFmtId="3" fontId="4" fillId="0" borderId="1" xfId="0" applyNumberFormat="1" applyFont="1" applyBorder="1"/>
    <xf numFmtId="0" fontId="3" fillId="0" borderId="1" xfId="0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4" fillId="0" borderId="1" xfId="0" applyFont="1" applyBorder="1"/>
    <xf numFmtId="1" fontId="4" fillId="0" borderId="1" xfId="0" applyNumberFormat="1" applyFont="1" applyBorder="1"/>
    <xf numFmtId="0" fontId="4" fillId="3" borderId="1" xfId="0" applyFont="1" applyFill="1" applyBorder="1"/>
    <xf numFmtId="0" fontId="5" fillId="4" borderId="1" xfId="0" applyFont="1" applyFill="1" applyBorder="1"/>
    <xf numFmtId="9" fontId="6" fillId="4" borderId="1" xfId="0" applyNumberFormat="1" applyFont="1" applyFill="1" applyBorder="1"/>
    <xf numFmtId="0" fontId="4" fillId="0" borderId="0" xfId="0" applyFont="1"/>
    <xf numFmtId="0" fontId="3" fillId="0" borderId="0" xfId="0" applyFont="1"/>
    <xf numFmtId="4" fontId="3" fillId="0" borderId="0" xfId="0" applyNumberFormat="1" applyFont="1"/>
    <xf numFmtId="0" fontId="4" fillId="3" borderId="0" xfId="0" applyFont="1" applyFill="1"/>
    <xf numFmtId="9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9" fontId="1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4" fillId="0" borderId="1" xfId="0" applyFont="1" applyBorder="1" applyAlignment="1">
      <alignment horizontal="left"/>
    </xf>
    <xf numFmtId="3" fontId="4" fillId="0" borderId="1" xfId="0" applyNumberFormat="1" applyFont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166" fontId="1" fillId="0" borderId="1" xfId="0" applyNumberFormat="1" applyFont="1" applyBorder="1"/>
    <xf numFmtId="10" fontId="1" fillId="0" borderId="0" xfId="0" applyNumberFormat="1" applyFont="1"/>
    <xf numFmtId="0" fontId="7" fillId="5" borderId="1" xfId="0" applyFont="1" applyFill="1" applyBorder="1"/>
    <xf numFmtId="0" fontId="8" fillId="0" borderId="1" xfId="0" applyFont="1" applyBorder="1"/>
    <xf numFmtId="0" fontId="3" fillId="3" borderId="2" xfId="0" applyFont="1" applyFill="1" applyBorder="1"/>
    <xf numFmtId="9" fontId="3" fillId="0" borderId="3" xfId="0" applyNumberFormat="1" applyFont="1" applyBorder="1" applyAlignment="1">
      <alignment horizontal="right"/>
    </xf>
    <xf numFmtId="9" fontId="3" fillId="3" borderId="3" xfId="0" applyNumberFormat="1" applyFont="1" applyFill="1" applyBorder="1" applyAlignment="1">
      <alignment horizontal="right"/>
    </xf>
    <xf numFmtId="0" fontId="1" fillId="0" borderId="1" xfId="0" applyFont="1" applyBorder="1"/>
    <xf numFmtId="9" fontId="4" fillId="0" borderId="1" xfId="0" applyNumberFormat="1" applyFont="1" applyBorder="1" applyAlignment="1">
      <alignment horizontal="right"/>
    </xf>
    <xf numFmtId="9" fontId="4" fillId="0" borderId="1" xfId="0" applyNumberFormat="1" applyFont="1" applyBorder="1"/>
    <xf numFmtId="164" fontId="4" fillId="0" borderId="1" xfId="0" applyNumberFormat="1" applyFont="1" applyBorder="1"/>
    <xf numFmtId="164" fontId="4" fillId="0" borderId="3" xfId="0" applyNumberFormat="1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9" fontId="8" fillId="0" borderId="1" xfId="0" applyNumberFormat="1" applyFont="1" applyBorder="1" applyAlignment="1">
      <alignment horizontal="right"/>
    </xf>
    <xf numFmtId="2" fontId="1" fillId="0" borderId="1" xfId="0" applyNumberFormat="1" applyFont="1" applyBorder="1"/>
    <xf numFmtId="2" fontId="1" fillId="0" borderId="0" xfId="0" applyNumberFormat="1" applyFont="1"/>
    <xf numFmtId="0" fontId="9" fillId="5" borderId="1" xfId="0" applyFont="1" applyFill="1" applyBorder="1" applyAlignment="1">
      <alignment horizontal="center"/>
    </xf>
    <xf numFmtId="164" fontId="8" fillId="0" borderId="1" xfId="0" applyNumberFormat="1" applyFont="1" applyBorder="1"/>
    <xf numFmtId="3" fontId="8" fillId="0" borderId="1" xfId="0" applyNumberFormat="1" applyFont="1" applyBorder="1"/>
    <xf numFmtId="165" fontId="4" fillId="6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5" fontId="4" fillId="7" borderId="1" xfId="0" applyNumberFormat="1" applyFont="1" applyFill="1" applyBorder="1" applyAlignment="1">
      <alignment horizontal="center"/>
    </xf>
    <xf numFmtId="165" fontId="10" fillId="4" borderId="0" xfId="0" applyNumberFormat="1" applyFont="1" applyFill="1" applyAlignment="1">
      <alignment horizontal="center" vertical="center"/>
    </xf>
    <xf numFmtId="1" fontId="8" fillId="0" borderId="1" xfId="0" applyNumberFormat="1" applyFont="1" applyBorder="1" applyAlignment="1">
      <alignment horizontal="right"/>
    </xf>
    <xf numFmtId="1" fontId="4" fillId="0" borderId="1" xfId="0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166" fontId="11" fillId="3" borderId="1" xfId="0" applyNumberFormat="1" applyFont="1" applyFill="1" applyBorder="1"/>
    <xf numFmtId="0" fontId="0" fillId="0" borderId="0" xfId="0"/>
    <xf numFmtId="0" fontId="11" fillId="3" borderId="1" xfId="0" applyFont="1" applyFill="1" applyBorder="1" applyAlignment="1">
      <alignment horizontal="left"/>
    </xf>
    <xf numFmtId="0" fontId="2" fillId="3" borderId="1" xfId="0" applyFont="1" applyFill="1" applyBorder="1"/>
    <xf numFmtId="4" fontId="11" fillId="3" borderId="1" xfId="0" applyNumberFormat="1" applyFont="1" applyFill="1" applyBorder="1"/>
    <xf numFmtId="1" fontId="11" fillId="3" borderId="1" xfId="0" applyNumberFormat="1" applyFont="1" applyFill="1" applyBorder="1"/>
    <xf numFmtId="0" fontId="11" fillId="3" borderId="1" xfId="0" applyFont="1" applyFill="1" applyBorder="1"/>
    <xf numFmtId="166" fontId="1" fillId="0" borderId="0" xfId="0" applyNumberFormat="1" applyFont="1"/>
    <xf numFmtId="1" fontId="4" fillId="6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4" fillId="7" borderId="1" xfId="0" applyNumberFormat="1" applyFont="1" applyFill="1" applyBorder="1" applyAlignment="1">
      <alignment horizontal="center"/>
    </xf>
    <xf numFmtId="164" fontId="11" fillId="3" borderId="1" xfId="0" applyNumberFormat="1" applyFont="1" applyFill="1" applyBorder="1"/>
    <xf numFmtId="0" fontId="12" fillId="5" borderId="1" xfId="0" applyFont="1" applyFill="1" applyBorder="1"/>
    <xf numFmtId="0" fontId="1" fillId="0" borderId="1" xfId="0" applyFont="1" applyBorder="1" applyAlignment="1">
      <alignment horizontal="left"/>
    </xf>
    <xf numFmtId="1" fontId="1" fillId="0" borderId="1" xfId="0" applyNumberFormat="1" applyFont="1" applyBorder="1"/>
    <xf numFmtId="164" fontId="1" fillId="0" borderId="1" xfId="0" applyNumberFormat="1" applyFont="1" applyBorder="1"/>
    <xf numFmtId="1" fontId="13" fillId="0" borderId="1" xfId="0" applyNumberFormat="1" applyFont="1" applyBorder="1" applyAlignment="1">
      <alignment horizontal="right"/>
    </xf>
    <xf numFmtId="164" fontId="1" fillId="0" borderId="0" xfId="0" applyNumberFormat="1" applyFont="1"/>
    <xf numFmtId="165" fontId="1" fillId="0" borderId="1" xfId="0" applyNumberFormat="1" applyFont="1" applyBorder="1"/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3" fontId="1" fillId="0" borderId="1" xfId="0" applyNumberFormat="1" applyFont="1" applyBorder="1"/>
    <xf numFmtId="0" fontId="8" fillId="8" borderId="1" xfId="0" applyFont="1" applyFill="1" applyBorder="1" applyAlignment="1">
      <alignment horizontal="right"/>
    </xf>
    <xf numFmtId="165" fontId="8" fillId="8" borderId="1" xfId="0" applyNumberFormat="1" applyFont="1" applyFill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0" fontId="4" fillId="8" borderId="1" xfId="0" applyFont="1" applyFill="1" applyBorder="1" applyAlignment="1">
      <alignment horizontal="right"/>
    </xf>
    <xf numFmtId="0" fontId="4" fillId="9" borderId="1" xfId="0" applyFont="1" applyFill="1" applyBorder="1"/>
    <xf numFmtId="0" fontId="4" fillId="9" borderId="1" xfId="0" applyFont="1" applyFill="1" applyBorder="1" applyAlignment="1">
      <alignment horizontal="right"/>
    </xf>
    <xf numFmtId="165" fontId="4" fillId="8" borderId="1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right"/>
    </xf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9" fontId="14" fillId="0" borderId="1" xfId="0" applyNumberFormat="1" applyFont="1" applyBorder="1" applyAlignment="1">
      <alignment horizontal="right"/>
    </xf>
    <xf numFmtId="9" fontId="15" fillId="0" borderId="1" xfId="0" applyNumberFormat="1" applyFont="1" applyBorder="1"/>
    <xf numFmtId="0" fontId="13" fillId="0" borderId="1" xfId="0" applyFont="1" applyBorder="1" applyAlignment="1">
      <alignment horizontal="right"/>
    </xf>
    <xf numFmtId="165" fontId="13" fillId="0" borderId="1" xfId="0" applyNumberFormat="1" applyFont="1" applyBorder="1" applyAlignment="1">
      <alignment horizontal="right"/>
    </xf>
    <xf numFmtId="0" fontId="7" fillId="5" borderId="0" xfId="0" applyFont="1" applyFill="1"/>
    <xf numFmtId="0" fontId="7" fillId="5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9" fontId="4" fillId="0" borderId="1" xfId="0" applyNumberFormat="1" applyFont="1" applyBorder="1" applyAlignment="1">
      <alignment horizontal="left"/>
    </xf>
    <xf numFmtId="9" fontId="1" fillId="0" borderId="0" xfId="0" applyNumberFormat="1" applyFont="1"/>
    <xf numFmtId="0" fontId="1" fillId="0" borderId="0" xfId="0" applyFont="1"/>
    <xf numFmtId="3" fontId="1" fillId="0" borderId="0" xfId="0" applyNumberFormat="1" applyFont="1"/>
    <xf numFmtId="0" fontId="2" fillId="5" borderId="1" xfId="0" applyFont="1" applyFill="1" applyBorder="1"/>
    <xf numFmtId="0" fontId="8" fillId="10" borderId="1" xfId="0" applyFont="1" applyFill="1" applyBorder="1"/>
    <xf numFmtId="0" fontId="7" fillId="11" borderId="1" xfId="0" applyFont="1" applyFill="1" applyBorder="1" applyAlignment="1">
      <alignment horizontal="center"/>
    </xf>
    <xf numFmtId="2" fontId="7" fillId="11" borderId="1" xfId="0" applyNumberFormat="1" applyFont="1" applyFill="1" applyBorder="1" applyAlignment="1">
      <alignment horizontal="center"/>
    </xf>
    <xf numFmtId="0" fontId="13" fillId="0" borderId="1" xfId="0" applyFont="1" applyBorder="1"/>
    <xf numFmtId="10" fontId="4" fillId="0" borderId="1" xfId="0" applyNumberFormat="1" applyFont="1" applyBorder="1"/>
    <xf numFmtId="0" fontId="4" fillId="0" borderId="2" xfId="0" applyFont="1" applyBorder="1" applyAlignment="1">
      <alignment horizontal="right"/>
    </xf>
    <xf numFmtId="10" fontId="4" fillId="0" borderId="1" xfId="0" applyNumberFormat="1" applyFont="1" applyBorder="1" applyAlignment="1">
      <alignment horizontal="right"/>
    </xf>
    <xf numFmtId="2" fontId="4" fillId="0" borderId="1" xfId="0" applyNumberFormat="1" applyFont="1" applyBorder="1"/>
    <xf numFmtId="0" fontId="4" fillId="0" borderId="2" xfId="0" applyFont="1" applyBorder="1" applyAlignment="1">
      <alignment horizontal="center"/>
    </xf>
    <xf numFmtId="1" fontId="8" fillId="0" borderId="1" xfId="0" applyNumberFormat="1" applyFont="1" applyBorder="1"/>
    <xf numFmtId="10" fontId="8" fillId="0" borderId="1" xfId="0" applyNumberFormat="1" applyFont="1" applyBorder="1"/>
    <xf numFmtId="1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0" fontId="14" fillId="12" borderId="5" xfId="0" applyFont="1" applyFill="1" applyBorder="1"/>
    <xf numFmtId="1" fontId="14" fillId="12" borderId="5" xfId="0" applyNumberFormat="1" applyFont="1" applyFill="1" applyBorder="1"/>
    <xf numFmtId="164" fontId="7" fillId="5" borderId="1" xfId="0" applyNumberFormat="1" applyFont="1" applyFill="1" applyBorder="1"/>
    <xf numFmtId="0" fontId="3" fillId="0" borderId="2" xfId="0" applyFont="1" applyBorder="1"/>
    <xf numFmtId="164" fontId="3" fillId="0" borderId="2" xfId="0" applyNumberFormat="1" applyFont="1" applyBorder="1"/>
    <xf numFmtId="164" fontId="4" fillId="0" borderId="0" xfId="0" applyNumberFormat="1" applyFont="1"/>
    <xf numFmtId="164" fontId="14" fillId="12" borderId="5" xfId="0" applyNumberFormat="1" applyFont="1" applyFill="1" applyBorder="1"/>
    <xf numFmtId="165" fontId="4" fillId="0" borderId="3" xfId="0" applyNumberFormat="1" applyFont="1" applyBorder="1" applyAlignment="1">
      <alignment horizontal="right"/>
    </xf>
    <xf numFmtId="1" fontId="4" fillId="0" borderId="3" xfId="0" applyNumberFormat="1" applyFont="1" applyBorder="1" applyAlignment="1">
      <alignment horizontal="right"/>
    </xf>
    <xf numFmtId="2" fontId="4" fillId="0" borderId="3" xfId="0" applyNumberFormat="1" applyFont="1" applyBorder="1" applyAlignment="1">
      <alignment horizontal="right"/>
    </xf>
    <xf numFmtId="1" fontId="4" fillId="0" borderId="0" xfId="0" applyNumberFormat="1" applyFont="1"/>
    <xf numFmtId="0" fontId="4" fillId="0" borderId="4" xfId="0" applyFont="1" applyBorder="1"/>
    <xf numFmtId="1" fontId="4" fillId="0" borderId="4" xfId="0" applyNumberFormat="1" applyFont="1" applyBorder="1"/>
    <xf numFmtId="164" fontId="4" fillId="0" borderId="4" xfId="0" applyNumberFormat="1" applyFont="1" applyBorder="1"/>
    <xf numFmtId="0" fontId="16" fillId="13" borderId="6" xfId="0" applyFont="1" applyFill="1" applyBorder="1" applyAlignment="1">
      <alignment horizontal="center" vertical="center"/>
    </xf>
    <xf numFmtId="0" fontId="17" fillId="0" borderId="5" xfId="0" applyFont="1" applyBorder="1"/>
    <xf numFmtId="0" fontId="17" fillId="0" borderId="7" xfId="0" applyFont="1" applyBorder="1"/>
    <xf numFmtId="0" fontId="17" fillId="0" borderId="8" xfId="0" applyFont="1" applyBorder="1"/>
    <xf numFmtId="0" fontId="17" fillId="0" borderId="4" xfId="0" applyFont="1" applyBorder="1"/>
    <xf numFmtId="0" fontId="17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MARKETCAP: 4.4 lakh cr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'Aerospace &amp; Defense'!$C$26</c:f>
              <c:strCache>
                <c:ptCount val="1"/>
                <c:pt idx="0">
                  <c:v>MARKETCAP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28ED-4002-A527-404990373C14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28ED-4002-A527-404990373C14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28ED-4002-A527-404990373C14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28ED-4002-A527-404990373C14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28ED-4002-A527-404990373C14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28ED-4002-A527-404990373C14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28ED-4002-A527-404990373C14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28ED-4002-A527-404990373C14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28ED-4002-A527-404990373C14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28ED-4002-A527-404990373C14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28ED-4002-A527-404990373C14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28ED-4002-A527-404990373C14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</c:spPr>
            <c:extLst>
              <c:ext xmlns:c16="http://schemas.microsoft.com/office/drawing/2014/chart" uri="{C3380CC4-5D6E-409C-BE32-E72D297353CC}">
                <c16:uniqueId val="{00000019-28ED-4002-A527-404990373C14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</c:spPr>
            <c:extLst>
              <c:ext xmlns:c16="http://schemas.microsoft.com/office/drawing/2014/chart" uri="{C3380CC4-5D6E-409C-BE32-E72D297353CC}">
                <c16:uniqueId val="{0000001B-28ED-4002-A527-404990373C14}"/>
              </c:ext>
            </c:extLst>
          </c:dPt>
          <c:dPt>
            <c:idx val="14"/>
            <c:bubble3D val="0"/>
            <c:spPr>
              <a:solidFill>
                <a:srgbClr val="FDE49B"/>
              </a:solidFill>
            </c:spPr>
            <c:extLst>
              <c:ext xmlns:c16="http://schemas.microsoft.com/office/drawing/2014/chart" uri="{C3380CC4-5D6E-409C-BE32-E72D297353CC}">
                <c16:uniqueId val="{0000001D-28ED-4002-A527-404990373C14}"/>
              </c:ext>
            </c:extLst>
          </c:dPt>
          <c:dPt>
            <c:idx val="15"/>
            <c:bubble3D val="0"/>
            <c:spPr>
              <a:solidFill>
                <a:srgbClr val="AEDCBA"/>
              </a:solidFill>
            </c:spPr>
            <c:extLst>
              <c:ext xmlns:c16="http://schemas.microsoft.com/office/drawing/2014/chart" uri="{C3380CC4-5D6E-409C-BE32-E72D297353CC}">
                <c16:uniqueId val="{0000001F-28ED-4002-A527-404990373C14}"/>
              </c:ext>
            </c:extLst>
          </c:dPt>
          <c:dPt>
            <c:idx val="16"/>
            <c:bubble3D val="0"/>
            <c:spPr>
              <a:solidFill>
                <a:srgbClr val="FFC599"/>
              </a:solidFill>
            </c:spPr>
            <c:extLst>
              <c:ext xmlns:c16="http://schemas.microsoft.com/office/drawing/2014/chart" uri="{C3380CC4-5D6E-409C-BE32-E72D297353CC}">
                <c16:uniqueId val="{00000021-28ED-4002-A527-404990373C14}"/>
              </c:ext>
            </c:extLst>
          </c:dPt>
          <c:dPt>
            <c:idx val="17"/>
            <c:bubble3D val="0"/>
            <c:spPr>
              <a:solidFill>
                <a:srgbClr val="B5E5E8"/>
              </a:solidFill>
            </c:spPr>
            <c:extLst>
              <c:ext xmlns:c16="http://schemas.microsoft.com/office/drawing/2014/chart" uri="{C3380CC4-5D6E-409C-BE32-E72D297353CC}">
                <c16:uniqueId val="{00000023-28ED-4002-A527-404990373C1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'Aerospace &amp; Defense'!$B$27:$B$44</c:f>
              <c:strCache>
                <c:ptCount val="18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  <c:pt idx="14">
                  <c:v>NIBE</c:v>
                </c:pt>
                <c:pt idx="15">
                  <c:v>TANAA</c:v>
                </c:pt>
                <c:pt idx="16">
                  <c:v>CFF</c:v>
                </c:pt>
                <c:pt idx="17">
                  <c:v>SIKA</c:v>
                </c:pt>
              </c:strCache>
            </c:strRef>
          </c:cat>
          <c:val>
            <c:numRef>
              <c:f>'Aerospace &amp; Defense'!$C$27:$C$44</c:f>
              <c:numCache>
                <c:formatCode>0</c:formatCode>
                <c:ptCount val="18"/>
                <c:pt idx="0">
                  <c:v>310458.68836779997</c:v>
                </c:pt>
                <c:pt idx="1">
                  <c:v>212056.72226149999</c:v>
                </c:pt>
                <c:pt idx="2">
                  <c:v>45501.382686800003</c:v>
                </c:pt>
                <c:pt idx="3">
                  <c:v>15020.496467999999</c:v>
                </c:pt>
                <c:pt idx="4">
                  <c:v>20399.671944999998</c:v>
                </c:pt>
                <c:pt idx="5">
                  <c:v>7471.1149832999999</c:v>
                </c:pt>
                <c:pt idx="6">
                  <c:v>14978.8238222</c:v>
                </c:pt>
                <c:pt idx="7">
                  <c:v>5451.8327878999999</c:v>
                </c:pt>
                <c:pt idx="8">
                  <c:v>8733.0409841000001</c:v>
                </c:pt>
                <c:pt idx="9">
                  <c:v>3285.3197676999998</c:v>
                </c:pt>
                <c:pt idx="10">
                  <c:v>3736.9894155000002</c:v>
                </c:pt>
                <c:pt idx="11">
                  <c:v>2993.2745107999999</c:v>
                </c:pt>
                <c:pt idx="12">
                  <c:v>4519.8756372999997</c:v>
                </c:pt>
                <c:pt idx="13">
                  <c:v>2122.6887078999998</c:v>
                </c:pt>
                <c:pt idx="14">
                  <c:v>2951.241</c:v>
                </c:pt>
                <c:pt idx="15">
                  <c:v>1314.0422797000001</c:v>
                </c:pt>
                <c:pt idx="16">
                  <c:v>1471.4621927999999</c:v>
                </c:pt>
                <c:pt idx="17">
                  <c:v>1113.8939725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28ED-4002-A527-404990373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ICR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'Aerospace &amp; Defense'!$G$136</c:f>
              <c:strCache>
                <c:ptCount val="1"/>
                <c:pt idx="0">
                  <c:v>ICR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3C9-4B82-9587-0432B7165DDA}"/>
              </c:ext>
            </c:extLst>
          </c:dPt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3C9-4B82-9587-0432B7165DDA}"/>
              </c:ext>
            </c:extLst>
          </c:dPt>
          <c:dPt>
            <c:idx val="2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3C9-4B82-9587-0432B7165D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'Aerospace &amp; Defense'!$F$137:$F$150</c:f>
              <c:strCache>
                <c:ptCount val="14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</c:strCache>
            </c:strRef>
          </c:cat>
          <c:val>
            <c:numRef>
              <c:f>'Aerospace &amp; Defense'!$G$137:$G$150</c:f>
              <c:numCache>
                <c:formatCode>0</c:formatCode>
                <c:ptCount val="14"/>
                <c:pt idx="0">
                  <c:v>84.379310344827587</c:v>
                </c:pt>
                <c:pt idx="1">
                  <c:v>243.8</c:v>
                </c:pt>
                <c:pt idx="2">
                  <c:v>73.444444444444443</c:v>
                </c:pt>
                <c:pt idx="3">
                  <c:v>20.375</c:v>
                </c:pt>
                <c:pt idx="4">
                  <c:v>16.89506172839506</c:v>
                </c:pt>
                <c:pt idx="5">
                  <c:v>7.884615384615385</c:v>
                </c:pt>
                <c:pt idx="6">
                  <c:v>16.75</c:v>
                </c:pt>
                <c:pt idx="7">
                  <c:v>9.3064460767488164</c:v>
                </c:pt>
                <c:pt idx="8">
                  <c:v>4.0999999999999996</c:v>
                </c:pt>
                <c:pt idx="9">
                  <c:v>2.347826086956522</c:v>
                </c:pt>
                <c:pt idx="10">
                  <c:v>3.1153846153846154</c:v>
                </c:pt>
                <c:pt idx="11">
                  <c:v>1.3604651162790697</c:v>
                </c:pt>
                <c:pt idx="12">
                  <c:v>6.5714285714285712</c:v>
                </c:pt>
                <c:pt idx="13">
                  <c:v>3.3333333333333335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13C9-4B82-9587-0432B7165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115560"/>
        <c:axId val="242934121"/>
      </c:barChart>
      <c:catAx>
        <c:axId val="251115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42934121"/>
        <c:crosses val="autoZero"/>
        <c:auto val="1"/>
        <c:lblAlgn val="ctr"/>
        <c:lblOffset val="100"/>
        <c:noMultiLvlLbl val="1"/>
      </c:catAx>
      <c:valAx>
        <c:axId val="24293412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5111556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DEBTRATIO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'Aerospace &amp; Defense'!$K$136</c:f>
              <c:strCache>
                <c:ptCount val="1"/>
                <c:pt idx="0">
                  <c:v>DEBTRATIO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2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F27-4F6C-91CF-DDC827D44294}"/>
              </c:ext>
            </c:extLst>
          </c:dPt>
          <c:dPt>
            <c:idx val="3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F27-4F6C-91CF-DDC827D44294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F27-4F6C-91CF-DDC827D44294}"/>
              </c:ext>
            </c:extLst>
          </c:dPt>
          <c:dPt>
            <c:idx val="1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F27-4F6C-91CF-DDC827D44294}"/>
              </c:ext>
            </c:extLst>
          </c:dPt>
          <c:dPt>
            <c:idx val="13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F27-4F6C-91CF-DDC827D442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'Aerospace &amp; Defense'!$J$137:$J$150</c:f>
              <c:strCache>
                <c:ptCount val="14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</c:strCache>
            </c:strRef>
          </c:cat>
          <c:val>
            <c:numRef>
              <c:f>'Aerospace &amp; Defense'!$K$137:$K$150</c:f>
              <c:numCache>
                <c:formatCode>0.00</c:formatCode>
                <c:ptCount val="14"/>
                <c:pt idx="0">
                  <c:v>0.61162471721975809</c:v>
                </c:pt>
                <c:pt idx="1">
                  <c:v>0.66269531250000002</c:v>
                </c:pt>
                <c:pt idx="2">
                  <c:v>0.22677529182879377</c:v>
                </c:pt>
                <c:pt idx="3">
                  <c:v>0.19592476489028213</c:v>
                </c:pt>
                <c:pt idx="4">
                  <c:v>0.9149158179942265</c:v>
                </c:pt>
                <c:pt idx="5">
                  <c:v>0.49393326592517695</c:v>
                </c:pt>
                <c:pt idx="6">
                  <c:v>0.51362683438155132</c:v>
                </c:pt>
                <c:pt idx="7">
                  <c:v>0.43805309734513276</c:v>
                </c:pt>
                <c:pt idx="8">
                  <c:v>0.26638917793964623</c:v>
                </c:pt>
                <c:pt idx="9">
                  <c:v>0.50897226753670477</c:v>
                </c:pt>
                <c:pt idx="10">
                  <c:v>0.47373358348968103</c:v>
                </c:pt>
                <c:pt idx="11">
                  <c:v>0.10756302521008404</c:v>
                </c:pt>
                <c:pt idx="12">
                  <c:v>0.34097421203438394</c:v>
                </c:pt>
                <c:pt idx="13">
                  <c:v>0.85436893203883491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8F27-4F6C-91CF-DDC827D44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191547"/>
        <c:axId val="899439079"/>
      </c:barChart>
      <c:catAx>
        <c:axId val="10341915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99439079"/>
        <c:crosses val="autoZero"/>
        <c:auto val="1"/>
        <c:lblAlgn val="ctr"/>
        <c:lblOffset val="100"/>
        <c:noMultiLvlLbl val="1"/>
      </c:catAx>
      <c:valAx>
        <c:axId val="89943907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3419154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ROE and ROA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'Aerospace &amp; Defense'!$C$171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'Aerospace &amp; Defense'!$B$172:$B$185</c:f>
              <c:strCache>
                <c:ptCount val="14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</c:strCache>
            </c:strRef>
          </c:cat>
          <c:val>
            <c:numRef>
              <c:f>'Aerospace &amp; Defense'!$C$172:$C$185</c:f>
              <c:numCache>
                <c:formatCode>0.0%</c:formatCode>
                <c:ptCount val="14"/>
                <c:pt idx="0">
                  <c:v>0.23164672681744108</c:v>
                </c:pt>
                <c:pt idx="1">
                  <c:v>0.19820670127418594</c:v>
                </c:pt>
                <c:pt idx="2">
                  <c:v>0.10435813815594426</c:v>
                </c:pt>
                <c:pt idx="3">
                  <c:v>0.10324729392173189</c:v>
                </c:pt>
                <c:pt idx="4">
                  <c:v>0.14578005115089515</c:v>
                </c:pt>
                <c:pt idx="5">
                  <c:v>0.11836115326251896</c:v>
                </c:pt>
                <c:pt idx="6">
                  <c:v>0.1272264631043257</c:v>
                </c:pt>
                <c:pt idx="7">
                  <c:v>0.15582450832072617</c:v>
                </c:pt>
                <c:pt idx="8">
                  <c:v>8.0552359033371698E-2</c:v>
                </c:pt>
                <c:pt idx="9">
                  <c:v>4.449648711943794E-2</c:v>
                </c:pt>
                <c:pt idx="10">
                  <c:v>0.12182741116751269</c:v>
                </c:pt>
                <c:pt idx="11">
                  <c:v>5.0713153724247229E-2</c:v>
                </c:pt>
                <c:pt idx="12">
                  <c:v>8.4112149532710276E-2</c:v>
                </c:pt>
                <c:pt idx="13">
                  <c:v>9.0032154340836015E-2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9D0-47F7-8E5B-6FA34BCA6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3133675"/>
        <c:axId val="989520922"/>
      </c:barChart>
      <c:lineChart>
        <c:grouping val="standard"/>
        <c:varyColors val="0"/>
        <c:ser>
          <c:idx val="1"/>
          <c:order val="1"/>
          <c:tx>
            <c:strRef>
              <c:f>'Aerospace &amp; Defense'!$D$171</c:f>
              <c:strCache>
                <c:ptCount val="1"/>
                <c:pt idx="0">
                  <c:v>ROA</c:v>
                </c:pt>
              </c:strCache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'Aerospace &amp; Defense'!$B$172:$B$185</c:f>
              <c:strCache>
                <c:ptCount val="14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</c:strCache>
            </c:strRef>
          </c:cat>
          <c:val>
            <c:numRef>
              <c:f>'Aerospace &amp; Defense'!$D$172:$D$185</c:f>
              <c:numCache>
                <c:formatCode>0.0%</c:formatCode>
                <c:ptCount val="14"/>
                <c:pt idx="0">
                  <c:v>8.1107786514508382E-2</c:v>
                </c:pt>
                <c:pt idx="1">
                  <c:v>8.1067666685049361E-2</c:v>
                </c:pt>
                <c:pt idx="2">
                  <c:v>3.7861675809400884E-2</c:v>
                </c:pt>
                <c:pt idx="3">
                  <c:v>8.4124830393487116E-2</c:v>
                </c:pt>
                <c:pt idx="4">
                  <c:v>2.0585048754062838E-2</c:v>
                </c:pt>
                <c:pt idx="5">
                  <c:v>5.019305019305019E-2</c:v>
                </c:pt>
                <c:pt idx="6">
                  <c:v>7.7760497667185069E-2</c:v>
                </c:pt>
                <c:pt idx="7">
                  <c:v>9.662288930581614E-2</c:v>
                </c:pt>
                <c:pt idx="8">
                  <c:v>5.9071729957805907E-2</c:v>
                </c:pt>
                <c:pt idx="9">
                  <c:v>2.464332036316472E-2</c:v>
                </c:pt>
                <c:pt idx="10">
                  <c:v>6.4400715563506267E-2</c:v>
                </c:pt>
                <c:pt idx="11">
                  <c:v>4.5133991537376586E-2</c:v>
                </c:pt>
                <c:pt idx="12">
                  <c:v>6.2937062937062943E-2</c:v>
                </c:pt>
                <c:pt idx="13">
                  <c:v>4.7619047619047616E-2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D0-47F7-8E5B-6FA34BCA6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3133675"/>
        <c:axId val="989520922"/>
      </c:lineChart>
      <c:catAx>
        <c:axId val="19131336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89520922"/>
        <c:crosses val="autoZero"/>
        <c:auto val="1"/>
        <c:lblAlgn val="ctr"/>
        <c:lblOffset val="100"/>
        <c:noMultiLvlLbl val="1"/>
      </c:catAx>
      <c:valAx>
        <c:axId val="98952092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1313367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TRAIL_PE and PBV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'Aerospace &amp; Defense'!$H$171</c:f>
              <c:strCache>
                <c:ptCount val="1"/>
                <c:pt idx="0">
                  <c:v>TRAIL_PE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'Aerospace &amp; Defense'!$G$172:$G$185</c:f>
              <c:strCache>
                <c:ptCount val="14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</c:strCache>
            </c:strRef>
          </c:cat>
          <c:val>
            <c:numRef>
              <c:f>'Aerospace &amp; Defense'!$H$172:$H$185</c:f>
              <c:numCache>
                <c:formatCode>0</c:formatCode>
                <c:ptCount val="14"/>
                <c:pt idx="0">
                  <c:v>32.707380796864797</c:v>
                </c:pt>
                <c:pt idx="1">
                  <c:v>39.86707566462168</c:v>
                </c:pt>
                <c:pt idx="2">
                  <c:v>67.239984591679502</c:v>
                </c:pt>
                <c:pt idx="3">
                  <c:v>74.027777777777786</c:v>
                </c:pt>
                <c:pt idx="4">
                  <c:v>31.035795887281033</c:v>
                </c:pt>
                <c:pt idx="5">
                  <c:v>74.036850921273029</c:v>
                </c:pt>
                <c:pt idx="6">
                  <c:v>59.43911439114391</c:v>
                </c:pt>
                <c:pt idx="7">
                  <c:v>75.330717488789233</c:v>
                </c:pt>
                <c:pt idx="8">
                  <c:v>74.818925233644862</c:v>
                </c:pt>
                <c:pt idx="9">
                  <c:v>179.51388888888889</c:v>
                </c:pt>
                <c:pt idx="10">
                  <c:v>37.035755478662054</c:v>
                </c:pt>
                <c:pt idx="11">
                  <c:v>103.39943342776205</c:v>
                </c:pt>
                <c:pt idx="12">
                  <c:v>88.309608540925282</c:v>
                </c:pt>
                <c:pt idx="13">
                  <c:v>133.4795321637427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E02-4E76-A367-62998E94F6F9}"/>
            </c:ext>
          </c:extLst>
        </c:ser>
        <c:ser>
          <c:idx val="1"/>
          <c:order val="1"/>
          <c:tx>
            <c:strRef>
              <c:f>'Aerospace &amp; Defense'!$I$171</c:f>
              <c:strCache>
                <c:ptCount val="1"/>
                <c:pt idx="0">
                  <c:v>PBV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'Aerospace &amp; Defense'!$G$172:$G$185</c:f>
              <c:strCache>
                <c:ptCount val="14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</c:strCache>
            </c:strRef>
          </c:cat>
          <c:val>
            <c:numRef>
              <c:f>'Aerospace &amp; Defense'!$I$172:$I$185</c:f>
              <c:numCache>
                <c:formatCode>0</c:formatCode>
                <c:ptCount val="14"/>
                <c:pt idx="0">
                  <c:v>7.8727729180559374</c:v>
                </c:pt>
                <c:pt idx="1">
                  <c:v>9.1443487759429409</c:v>
                </c:pt>
                <c:pt idx="2">
                  <c:v>8.9830047806524185</c:v>
                </c:pt>
                <c:pt idx="3">
                  <c:v>10.158663366336633</c:v>
                </c:pt>
                <c:pt idx="4">
                  <c:v>5.5821917808219181</c:v>
                </c:pt>
                <c:pt idx="5">
                  <c:v>5.4919601328903651</c:v>
                </c:pt>
                <c:pt idx="6">
                  <c:v>16.067830423940148</c:v>
                </c:pt>
                <c:pt idx="7">
                  <c:v>9.0305419075144506</c:v>
                </c:pt>
                <c:pt idx="8">
                  <c:v>6.4983652762119508</c:v>
                </c:pt>
                <c:pt idx="9">
                  <c:v>6.6061111111111108</c:v>
                </c:pt>
                <c:pt idx="10">
                  <c:v>5.0007377049180324</c:v>
                </c:pt>
                <c:pt idx="11">
                  <c:v>4.5557206537890043</c:v>
                </c:pt>
                <c:pt idx="12">
                  <c:v>6.2170342612419702</c:v>
                </c:pt>
                <c:pt idx="13">
                  <c:v>5.02437106918239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AE02-4E76-A367-62998E94F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1035104"/>
        <c:axId val="2108618291"/>
      </c:barChart>
      <c:catAx>
        <c:axId val="1241035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08618291"/>
        <c:crosses val="autoZero"/>
        <c:auto val="1"/>
        <c:lblAlgn val="ctr"/>
        <c:lblOffset val="100"/>
        <c:noMultiLvlLbl val="1"/>
      </c:catAx>
      <c:valAx>
        <c:axId val="210861829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4103510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YIELD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'Aerospace &amp; Defense'!$M$171</c:f>
              <c:strCache>
                <c:ptCount val="1"/>
                <c:pt idx="0">
                  <c:v>YIELD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F8-451A-8039-F0C032D59FDC}"/>
              </c:ext>
            </c:extLst>
          </c:dPt>
          <c:dPt>
            <c:idx val="4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DF8-451A-8039-F0C032D59FDC}"/>
              </c:ext>
            </c:extLst>
          </c:dPt>
          <c:dPt>
            <c:idx val="9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DF8-451A-8039-F0C032D59F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'Aerospace &amp; Defense'!$L$172:$L$185</c:f>
              <c:strCache>
                <c:ptCount val="14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</c:strCache>
            </c:strRef>
          </c:cat>
          <c:val>
            <c:numRef>
              <c:f>'Aerospace &amp; Defense'!$M$172:$M$185</c:f>
              <c:numCache>
                <c:formatCode>0.0%</c:formatCode>
                <c:ptCount val="14"/>
                <c:pt idx="0">
                  <c:v>3.0574138791812283E-2</c:v>
                </c:pt>
                <c:pt idx="1">
                  <c:v>2.5083354706334958E-2</c:v>
                </c:pt>
                <c:pt idx="2">
                  <c:v>1.4872103348514796E-2</c:v>
                </c:pt>
                <c:pt idx="3">
                  <c:v>1.350844277673546E-2</c:v>
                </c:pt>
                <c:pt idx="4">
                  <c:v>3.2220858895705522E-2</c:v>
                </c:pt>
                <c:pt idx="5">
                  <c:v>1.3506787330316742E-2</c:v>
                </c:pt>
                <c:pt idx="6">
                  <c:v>1.6823938415694066E-2</c:v>
                </c:pt>
                <c:pt idx="7">
                  <c:v>1.3274797231936902E-2</c:v>
                </c:pt>
                <c:pt idx="8">
                  <c:v>1.3365602310875165E-2</c:v>
                </c:pt>
                <c:pt idx="9">
                  <c:v>5.5705996131528044E-3</c:v>
                </c:pt>
                <c:pt idx="10">
                  <c:v>2.7000934288383679E-2</c:v>
                </c:pt>
                <c:pt idx="11">
                  <c:v>9.6712328767123278E-3</c:v>
                </c:pt>
                <c:pt idx="12">
                  <c:v>1.1323796091073946E-2</c:v>
                </c:pt>
                <c:pt idx="13">
                  <c:v>7.4917853231106241E-3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DDF8-451A-8039-F0C032D59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6462069"/>
        <c:axId val="1176322883"/>
      </c:barChart>
      <c:catAx>
        <c:axId val="112646206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76322883"/>
        <c:crosses val="autoZero"/>
        <c:auto val="1"/>
        <c:lblAlgn val="ctr"/>
        <c:lblOffset val="100"/>
        <c:noMultiLvlLbl val="1"/>
      </c:catAx>
      <c:valAx>
        <c:axId val="117632288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YIELD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2646206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SALES_23: 55k cr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'Aerospace &amp; Defense'!$G$26</c:f>
              <c:strCache>
                <c:ptCount val="1"/>
                <c:pt idx="0">
                  <c:v>SALES_23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914F-4E67-9FDD-B30E0F36E8D5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914F-4E67-9FDD-B30E0F36E8D5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914F-4E67-9FDD-B30E0F36E8D5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914F-4E67-9FDD-B30E0F36E8D5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914F-4E67-9FDD-B30E0F36E8D5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914F-4E67-9FDD-B30E0F36E8D5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914F-4E67-9FDD-B30E0F36E8D5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914F-4E67-9FDD-B30E0F36E8D5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914F-4E67-9FDD-B30E0F36E8D5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914F-4E67-9FDD-B30E0F36E8D5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914F-4E67-9FDD-B30E0F36E8D5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914F-4E67-9FDD-B30E0F36E8D5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</c:spPr>
            <c:extLst>
              <c:ext xmlns:c16="http://schemas.microsoft.com/office/drawing/2014/chart" uri="{C3380CC4-5D6E-409C-BE32-E72D297353CC}">
                <c16:uniqueId val="{00000019-914F-4E67-9FDD-B30E0F36E8D5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</c:spPr>
            <c:extLst>
              <c:ext xmlns:c16="http://schemas.microsoft.com/office/drawing/2014/chart" uri="{C3380CC4-5D6E-409C-BE32-E72D297353CC}">
                <c16:uniqueId val="{0000001B-914F-4E67-9FDD-B30E0F36E8D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'Aerospace &amp; Defense'!$F$27:$F$40</c:f>
              <c:strCache>
                <c:ptCount val="14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</c:strCache>
            </c:strRef>
          </c:cat>
          <c:val>
            <c:numRef>
              <c:f>'Aerospace &amp; Defense'!$G$27:$G$40</c:f>
              <c:numCache>
                <c:formatCode>General</c:formatCode>
                <c:ptCount val="14"/>
                <c:pt idx="0">
                  <c:v>26927</c:v>
                </c:pt>
                <c:pt idx="1">
                  <c:v>17734</c:v>
                </c:pt>
                <c:pt idx="2">
                  <c:v>2489</c:v>
                </c:pt>
                <c:pt idx="3">
                  <c:v>453</c:v>
                </c:pt>
                <c:pt idx="4">
                  <c:v>2561</c:v>
                </c:pt>
                <c:pt idx="5">
                  <c:v>872</c:v>
                </c:pt>
                <c:pt idx="6">
                  <c:v>219</c:v>
                </c:pt>
                <c:pt idx="7">
                  <c:v>574</c:v>
                </c:pt>
                <c:pt idx="8">
                  <c:v>815</c:v>
                </c:pt>
                <c:pt idx="9">
                  <c:v>297</c:v>
                </c:pt>
                <c:pt idx="10">
                  <c:v>1252</c:v>
                </c:pt>
                <c:pt idx="11">
                  <c:v>186</c:v>
                </c:pt>
                <c:pt idx="12">
                  <c:v>222</c:v>
                </c:pt>
                <c:pt idx="13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914F-4E67-9FDD-B30E0F36E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PROFIT_23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'Aerospace &amp; Defense'!$K$26</c:f>
              <c:strCache>
                <c:ptCount val="1"/>
                <c:pt idx="0">
                  <c:v>PROFIT_23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4B28-4EE1-A7BF-AF86F833265C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4B28-4EE1-A7BF-AF86F833265C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4B28-4EE1-A7BF-AF86F833265C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4B28-4EE1-A7BF-AF86F833265C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4B28-4EE1-A7BF-AF86F833265C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4B28-4EE1-A7BF-AF86F833265C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4B28-4EE1-A7BF-AF86F833265C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4B28-4EE1-A7BF-AF86F833265C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4B28-4EE1-A7BF-AF86F833265C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4B28-4EE1-A7BF-AF86F833265C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4B28-4EE1-A7BF-AF86F833265C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4B28-4EE1-A7BF-AF86F833265C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</c:spPr>
            <c:extLst>
              <c:ext xmlns:c16="http://schemas.microsoft.com/office/drawing/2014/chart" uri="{C3380CC4-5D6E-409C-BE32-E72D297353CC}">
                <c16:uniqueId val="{00000019-4B28-4EE1-A7BF-AF86F833265C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</c:spPr>
            <c:extLst>
              <c:ext xmlns:c16="http://schemas.microsoft.com/office/drawing/2014/chart" uri="{C3380CC4-5D6E-409C-BE32-E72D297353CC}">
                <c16:uniqueId val="{0000001B-4B28-4EE1-A7BF-AF86F833265C}"/>
              </c:ext>
            </c:extLst>
          </c:dPt>
          <c:cat>
            <c:strRef>
              <c:f>'Aerospace &amp; Defense'!$J$27:$J$40</c:f>
              <c:strCache>
                <c:ptCount val="14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</c:strCache>
            </c:strRef>
          </c:cat>
          <c:val>
            <c:numRef>
              <c:f>'Aerospace &amp; Defense'!$K$27:$K$40</c:f>
              <c:numCache>
                <c:formatCode>General</c:formatCode>
                <c:ptCount val="14"/>
                <c:pt idx="0">
                  <c:v>5828</c:v>
                </c:pt>
                <c:pt idx="1">
                  <c:v>2940</c:v>
                </c:pt>
                <c:pt idx="2">
                  <c:v>352</c:v>
                </c:pt>
                <c:pt idx="3">
                  <c:v>124</c:v>
                </c:pt>
                <c:pt idx="4">
                  <c:v>228</c:v>
                </c:pt>
                <c:pt idx="5">
                  <c:v>156</c:v>
                </c:pt>
                <c:pt idx="6">
                  <c:v>50</c:v>
                </c:pt>
                <c:pt idx="7">
                  <c:v>103</c:v>
                </c:pt>
                <c:pt idx="8">
                  <c:v>70</c:v>
                </c:pt>
                <c:pt idx="9">
                  <c:v>19</c:v>
                </c:pt>
                <c:pt idx="10">
                  <c:v>72</c:v>
                </c:pt>
                <c:pt idx="11">
                  <c:v>32</c:v>
                </c:pt>
                <c:pt idx="12">
                  <c:v>36</c:v>
                </c:pt>
                <c:pt idx="1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4B28-4EE1-A7BF-AF86F8332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SALES_5Y_GR: 8.13% GROWTH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'Aerospace &amp; Defense'!$C$66</c:f>
              <c:strCache>
                <c:ptCount val="1"/>
                <c:pt idx="0">
                  <c:v>SALES_5Y_GR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C78-4440-A734-4355BFE38704}"/>
              </c:ext>
            </c:extLst>
          </c:dPt>
          <c:dPt>
            <c:idx val="3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C78-4440-A734-4355BFE38704}"/>
              </c:ext>
            </c:extLst>
          </c:dPt>
          <c:dPt>
            <c:idx val="6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C78-4440-A734-4355BFE38704}"/>
              </c:ext>
            </c:extLst>
          </c:dPt>
          <c:dPt>
            <c:idx val="1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C78-4440-A734-4355BFE387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'Aerospace &amp; Defense'!$B$67:$B$80</c:f>
              <c:strCache>
                <c:ptCount val="14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</c:strCache>
            </c:strRef>
          </c:cat>
          <c:val>
            <c:numRef>
              <c:f>'Aerospace &amp; Defense'!$C$67:$C$80</c:f>
              <c:numCache>
                <c:formatCode>0.0%</c:formatCode>
                <c:ptCount val="14"/>
                <c:pt idx="0">
                  <c:v>7.6522227808349497E-2</c:v>
                </c:pt>
                <c:pt idx="1">
                  <c:v>0.11083013737953062</c:v>
                </c:pt>
                <c:pt idx="2">
                  <c:v>-0.11396655562474201</c:v>
                </c:pt>
                <c:pt idx="3">
                  <c:v>0.51371693346807001</c:v>
                </c:pt>
                <c:pt idx="4">
                  <c:v>0.13797157087261258</c:v>
                </c:pt>
                <c:pt idx="5">
                  <c:v>5.5379006914187956E-2</c:v>
                </c:pt>
                <c:pt idx="6">
                  <c:v>0.41213397362029625</c:v>
                </c:pt>
                <c:pt idx="7">
                  <c:v>0.29271549247162909</c:v>
                </c:pt>
                <c:pt idx="8">
                  <c:v>0.17364108625028796</c:v>
                </c:pt>
                <c:pt idx="9">
                  <c:v>6.1858758794934632E-2</c:v>
                </c:pt>
                <c:pt idx="10">
                  <c:v>0.33075042894076834</c:v>
                </c:pt>
                <c:pt idx="11">
                  <c:v>1.3684359044831225</c:v>
                </c:pt>
                <c:pt idx="12">
                  <c:v>9.1951595988549517E-2</c:v>
                </c:pt>
                <c:pt idx="13">
                  <c:v>0.12322720670278753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4C78-4440-A734-4355BFE38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2363793"/>
        <c:axId val="621320087"/>
      </c:barChart>
      <c:catAx>
        <c:axId val="12823637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21320087"/>
        <c:crosses val="autoZero"/>
        <c:auto val="1"/>
        <c:lblAlgn val="ctr"/>
        <c:lblOffset val="100"/>
        <c:noMultiLvlLbl val="1"/>
      </c:catAx>
      <c:valAx>
        <c:axId val="62132008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SALES_5Y_GR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8236379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CY_SALES GR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'Aerospace &amp; Defense'!$G$66</c:f>
              <c:strCache>
                <c:ptCount val="1"/>
                <c:pt idx="0">
                  <c:v>CY_SALES 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6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603-42CD-B201-1D3272AD1FCF}"/>
              </c:ext>
            </c:extLst>
          </c:dPt>
          <c:dPt>
            <c:idx val="1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603-42CD-B201-1D3272AD1F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'Aerospace &amp; Defense'!$F$67:$F$80</c:f>
              <c:strCache>
                <c:ptCount val="14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</c:strCache>
            </c:strRef>
          </c:cat>
          <c:val>
            <c:numRef>
              <c:f>'Aerospace &amp; Defense'!$G$67:$G$80</c:f>
              <c:numCache>
                <c:formatCode>0.0%</c:formatCode>
                <c:ptCount val="14"/>
                <c:pt idx="0">
                  <c:v>8.1762749445676297E-2</c:v>
                </c:pt>
                <c:pt idx="1">
                  <c:v>4.3218806509945695E-2</c:v>
                </c:pt>
                <c:pt idx="2">
                  <c:v>-0.10167464114832536</c:v>
                </c:pt>
                <c:pt idx="3">
                  <c:v>0.25746268656716409</c:v>
                </c:pt>
                <c:pt idx="4">
                  <c:v>0.31479591836734699</c:v>
                </c:pt>
                <c:pt idx="5">
                  <c:v>0.29013539651837528</c:v>
                </c:pt>
                <c:pt idx="6">
                  <c:v>1.4227642276422765</c:v>
                </c:pt>
                <c:pt idx="7">
                  <c:v>0.15915119363395225</c:v>
                </c:pt>
                <c:pt idx="8">
                  <c:v>-5.3859964093356805E-3</c:v>
                </c:pt>
                <c:pt idx="9">
                  <c:v>0.23560209424083767</c:v>
                </c:pt>
                <c:pt idx="10">
                  <c:v>-8.8829071332436116E-2</c:v>
                </c:pt>
                <c:pt idx="11">
                  <c:v>0.44217687074829937</c:v>
                </c:pt>
                <c:pt idx="12">
                  <c:v>0.10828025477707004</c:v>
                </c:pt>
                <c:pt idx="13">
                  <c:v>4.2402826855123754E-2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4603-42CD-B201-1D3272AD1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274957"/>
        <c:axId val="524950733"/>
      </c:barChart>
      <c:catAx>
        <c:axId val="10222749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24950733"/>
        <c:crosses val="autoZero"/>
        <c:auto val="1"/>
        <c:lblAlgn val="ctr"/>
        <c:lblOffset val="100"/>
        <c:noMultiLvlLbl val="1"/>
      </c:catAx>
      <c:valAx>
        <c:axId val="52495073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CY_SALES GR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2227495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MARGIN_23 and CY_MARGIN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'Aerospace &amp; Defense'!$C$101</c:f>
              <c:strCache>
                <c:ptCount val="1"/>
                <c:pt idx="0">
                  <c:v>MARGIN_23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'Aerospace &amp; Defense'!$B$102:$B$115</c:f>
              <c:strCache>
                <c:ptCount val="14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</c:strCache>
            </c:strRef>
          </c:cat>
          <c:val>
            <c:numRef>
              <c:f>'Aerospace &amp; Defense'!$C$102:$C$115</c:f>
              <c:numCache>
                <c:formatCode>0.0%</c:formatCode>
                <c:ptCount val="14"/>
                <c:pt idx="0">
                  <c:v>0.21643703346083856</c:v>
                </c:pt>
                <c:pt idx="1">
                  <c:v>0.16578324123153265</c:v>
                </c:pt>
                <c:pt idx="2">
                  <c:v>0.14142225793491361</c:v>
                </c:pt>
                <c:pt idx="3">
                  <c:v>0.27373068432671083</c:v>
                </c:pt>
                <c:pt idx="4">
                  <c:v>8.9027723545490045E-2</c:v>
                </c:pt>
                <c:pt idx="5">
                  <c:v>0.17889908256880735</c:v>
                </c:pt>
                <c:pt idx="6">
                  <c:v>0.22831050228310501</c:v>
                </c:pt>
                <c:pt idx="7">
                  <c:v>0.17944250871080139</c:v>
                </c:pt>
                <c:pt idx="8">
                  <c:v>8.5889570552147243E-2</c:v>
                </c:pt>
                <c:pt idx="9">
                  <c:v>6.3973063973063973E-2</c:v>
                </c:pt>
                <c:pt idx="10">
                  <c:v>5.7507987220447282E-2</c:v>
                </c:pt>
                <c:pt idx="11">
                  <c:v>0.17204301075268819</c:v>
                </c:pt>
                <c:pt idx="12">
                  <c:v>0.16216216216216217</c:v>
                </c:pt>
                <c:pt idx="13">
                  <c:v>7.909604519774012E-2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3BC-458D-8C92-6B38354CBF7D}"/>
            </c:ext>
          </c:extLst>
        </c:ser>
        <c:ser>
          <c:idx val="1"/>
          <c:order val="1"/>
          <c:tx>
            <c:strRef>
              <c:f>'Aerospace &amp; Defense'!$D$101</c:f>
              <c:strCache>
                <c:ptCount val="1"/>
                <c:pt idx="0">
                  <c:v>CY_MARGIN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'Aerospace &amp; Defense'!$B$102:$B$115</c:f>
              <c:strCache>
                <c:ptCount val="14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</c:strCache>
            </c:strRef>
          </c:cat>
          <c:val>
            <c:numRef>
              <c:f>'Aerospace &amp; Defense'!$D$102:$D$115</c:f>
              <c:numCache>
                <c:formatCode>0.0%</c:formatCode>
                <c:ptCount val="14"/>
                <c:pt idx="0">
                  <c:v>0.21214450422751729</c:v>
                </c:pt>
                <c:pt idx="1">
                  <c:v>0.18963425203674814</c:v>
                </c:pt>
                <c:pt idx="2">
                  <c:v>0.21504660452729693</c:v>
                </c:pt>
                <c:pt idx="3">
                  <c:v>0.32640949554896143</c:v>
                </c:pt>
                <c:pt idx="4">
                  <c:v>9.5071788901823828E-2</c:v>
                </c:pt>
                <c:pt idx="5">
                  <c:v>6.7466266866566718E-2</c:v>
                </c:pt>
                <c:pt idx="6">
                  <c:v>0.44966442953020136</c:v>
                </c:pt>
                <c:pt idx="7">
                  <c:v>0.11670480549199085</c:v>
                </c:pt>
                <c:pt idx="8">
                  <c:v>0.11913357400722022</c:v>
                </c:pt>
                <c:pt idx="9">
                  <c:v>7.6271186440677971E-2</c:v>
                </c:pt>
                <c:pt idx="10">
                  <c:v>6.2038404726735601E-2</c:v>
                </c:pt>
                <c:pt idx="11">
                  <c:v>0.1650943396226415</c:v>
                </c:pt>
                <c:pt idx="12">
                  <c:v>0.11494252873563218</c:v>
                </c:pt>
                <c:pt idx="13">
                  <c:v>0.10847457627118644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C3BC-458D-8C92-6B38354CB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912092"/>
        <c:axId val="603444807"/>
      </c:barChart>
      <c:catAx>
        <c:axId val="10049120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03444807"/>
        <c:crosses val="autoZero"/>
        <c:auto val="1"/>
        <c:lblAlgn val="ctr"/>
        <c:lblOffset val="100"/>
        <c:noMultiLvlLbl val="1"/>
      </c:catAx>
      <c:valAx>
        <c:axId val="6034448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0491209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CUR. RATIO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'Aerospace &amp; Defense'!$H$101</c:f>
              <c:strCache>
                <c:ptCount val="1"/>
                <c:pt idx="0">
                  <c:v>CUR. 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3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428-4FBD-9BB8-FE352FCE823D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428-4FBD-9BB8-FE352FCE823D}"/>
              </c:ext>
            </c:extLst>
          </c:dPt>
          <c:dPt>
            <c:idx val="1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428-4FBD-9BB8-FE352FCE823D}"/>
              </c:ext>
            </c:extLst>
          </c:dPt>
          <c:dPt>
            <c:idx val="13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428-4FBD-9BB8-FE352FCE82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'Aerospace &amp; Defense'!$G$102:$G$115</c:f>
              <c:strCache>
                <c:ptCount val="14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</c:strCache>
            </c:strRef>
          </c:cat>
          <c:val>
            <c:numRef>
              <c:f>'Aerospace &amp; Defense'!$H$102:$H$115</c:f>
              <c:numCache>
                <c:formatCode>0.0</c:formatCode>
                <c:ptCount val="14"/>
                <c:pt idx="0">
                  <c:v>1.6349895153774465</c:v>
                </c:pt>
                <c:pt idx="1">
                  <c:v>1.5089890951959917</c:v>
                </c:pt>
                <c:pt idx="2">
                  <c:v>4.4096514745308308</c:v>
                </c:pt>
                <c:pt idx="3">
                  <c:v>5.1040000000000001</c:v>
                </c:pt>
                <c:pt idx="4">
                  <c:v>1.0929967329587806</c:v>
                </c:pt>
                <c:pt idx="5">
                  <c:v>2.0245649948822928</c:v>
                </c:pt>
                <c:pt idx="6">
                  <c:v>1.9469387755102041</c:v>
                </c:pt>
                <c:pt idx="7">
                  <c:v>2.2828282828282829</c:v>
                </c:pt>
                <c:pt idx="8">
                  <c:v>3.75390625</c:v>
                </c:pt>
                <c:pt idx="9">
                  <c:v>1.9647435897435896</c:v>
                </c:pt>
                <c:pt idx="10">
                  <c:v>2.110891089108911</c:v>
                </c:pt>
                <c:pt idx="11">
                  <c:v>9.296875</c:v>
                </c:pt>
                <c:pt idx="12">
                  <c:v>2.9327731092436973</c:v>
                </c:pt>
                <c:pt idx="13">
                  <c:v>1.1704545454545454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4428-4FBD-9BB8-FE352FCE8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076165"/>
        <c:axId val="2045866016"/>
      </c:barChart>
      <c:catAx>
        <c:axId val="34407616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45866016"/>
        <c:crosses val="autoZero"/>
        <c:auto val="1"/>
        <c:lblAlgn val="ctr"/>
        <c:lblOffset val="100"/>
        <c:noMultiLvlLbl val="1"/>
      </c:catAx>
      <c:valAx>
        <c:axId val="20458660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4407616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TR.DAYS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'Aerospace &amp; Defense'!$L$101</c:f>
              <c:strCache>
                <c:ptCount val="1"/>
                <c:pt idx="0">
                  <c:v>TR.DAYS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3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252-465C-A002-50F41BD9771F}"/>
              </c:ext>
            </c:extLst>
          </c:dPt>
          <c:dPt>
            <c:idx val="4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252-465C-A002-50F41BD9771F}"/>
              </c:ext>
            </c:extLst>
          </c:dPt>
          <c:dPt>
            <c:idx val="1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252-465C-A002-50F41BD9771F}"/>
              </c:ext>
            </c:extLst>
          </c:dPt>
          <c:dPt>
            <c:idx val="1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252-465C-A002-50F41BD977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'Aerospace &amp; Defense'!$K$102:$K$115</c:f>
              <c:strCache>
                <c:ptCount val="14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</c:strCache>
            </c:strRef>
          </c:cat>
          <c:val>
            <c:numRef>
              <c:f>'Aerospace &amp; Defense'!$L$102:$L$115</c:f>
              <c:numCache>
                <c:formatCode>0</c:formatCode>
                <c:ptCount val="14"/>
                <c:pt idx="0">
                  <c:v>68.819586288855049</c:v>
                </c:pt>
                <c:pt idx="1">
                  <c:v>150.96847862862299</c:v>
                </c:pt>
                <c:pt idx="2">
                  <c:v>81.828043390920044</c:v>
                </c:pt>
                <c:pt idx="3">
                  <c:v>277.98013245033115</c:v>
                </c:pt>
                <c:pt idx="4">
                  <c:v>16.675126903553299</c:v>
                </c:pt>
                <c:pt idx="5">
                  <c:v>136.875</c:v>
                </c:pt>
                <c:pt idx="6">
                  <c:v>215</c:v>
                </c:pt>
                <c:pt idx="7">
                  <c:v>118.27526132404181</c:v>
                </c:pt>
                <c:pt idx="8">
                  <c:v>126.74233128834355</c:v>
                </c:pt>
                <c:pt idx="9">
                  <c:v>180.65656565656568</c:v>
                </c:pt>
                <c:pt idx="10">
                  <c:v>62.096645367412137</c:v>
                </c:pt>
                <c:pt idx="11">
                  <c:v>51.021505376344081</c:v>
                </c:pt>
                <c:pt idx="12">
                  <c:v>287.72522522522524</c:v>
                </c:pt>
                <c:pt idx="13">
                  <c:v>71.144067796610173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F252-465C-A002-50F41BD97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1003965"/>
        <c:axId val="347788637"/>
      </c:barChart>
      <c:catAx>
        <c:axId val="183100396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47788637"/>
        <c:crosses val="autoZero"/>
        <c:auto val="1"/>
        <c:lblAlgn val="ctr"/>
        <c:lblOffset val="100"/>
        <c:noMultiLvlLbl val="1"/>
      </c:catAx>
      <c:valAx>
        <c:axId val="34778863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TR.DAYS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3100396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DEBT2EQUITY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'Aerospace &amp; Defense'!$C$136</c:f>
              <c:strCache>
                <c:ptCount val="1"/>
                <c:pt idx="0">
                  <c:v>DEBT2EQUITY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1E4-4C6D-8662-9FC1E108B250}"/>
              </c:ext>
            </c:extLst>
          </c:dPt>
          <c:dPt>
            <c:idx val="13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1E4-4C6D-8662-9FC1E108B2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'Aerospace &amp; Defense'!$B$137:$B$150</c:f>
              <c:strCache>
                <c:ptCount val="14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</c:strCache>
            </c:strRef>
          </c:cat>
          <c:val>
            <c:numRef>
              <c:f>'Aerospace &amp; Defense'!$C$137:$C$150</c:f>
              <c:numCache>
                <c:formatCode>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0.29742033383915023</c:v>
                </c:pt>
                <c:pt idx="6">
                  <c:v>1.1959287531806615E-3</c:v>
                </c:pt>
                <c:pt idx="7">
                  <c:v>0.37670196671709533</c:v>
                </c:pt>
                <c:pt idx="8">
                  <c:v>7.8250863060989648E-2</c:v>
                </c:pt>
                <c:pt idx="9">
                  <c:v>0.39578454332552693</c:v>
                </c:pt>
                <c:pt idx="10">
                  <c:v>0.73265651438240276</c:v>
                </c:pt>
                <c:pt idx="11">
                  <c:v>0</c:v>
                </c:pt>
                <c:pt idx="12">
                  <c:v>9.3457943925233641E-2</c:v>
                </c:pt>
                <c:pt idx="13">
                  <c:v>0.63987138263665599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B1E4-4C6D-8662-9FC1E108B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2467734"/>
        <c:axId val="528377050"/>
      </c:barChart>
      <c:catAx>
        <c:axId val="172246773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28377050"/>
        <c:crosses val="autoZero"/>
        <c:auto val="1"/>
        <c:lblAlgn val="ctr"/>
        <c:lblOffset val="100"/>
        <c:noMultiLvlLbl val="1"/>
      </c:catAx>
      <c:valAx>
        <c:axId val="52837705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2246773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53</xdr:row>
      <xdr:rowOff>-104775</xdr:rowOff>
    </xdr:from>
    <xdr:ext cx="7629525" cy="76295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C00800-B0E5-4C8B-813C-DF6DB87DB1B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9763125"/>
          <a:ext cx="7629525" cy="76295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46</xdr:row>
      <xdr:rowOff>85725</xdr:rowOff>
    </xdr:from>
    <xdr:ext cx="4572000" cy="282892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6B6838DB-8D29-44B6-B2B1-5F1A7F5364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885825</xdr:colOff>
      <xdr:row>46</xdr:row>
      <xdr:rowOff>85725</xdr:rowOff>
    </xdr:from>
    <xdr:ext cx="4572000" cy="282892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BF76B3CD-D7D1-4F50-A2E1-E07DB342E8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9</xdr:col>
      <xdr:colOff>657225</xdr:colOff>
      <xdr:row>46</xdr:row>
      <xdr:rowOff>85725</xdr:rowOff>
    </xdr:from>
    <xdr:ext cx="4572000" cy="2828925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9D4AF488-7773-48DB-8811-1782F25037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152400</xdr:colOff>
      <xdr:row>82</xdr:row>
      <xdr:rowOff>85725</xdr:rowOff>
    </xdr:from>
    <xdr:ext cx="4629150" cy="2828925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A77C65C1-F3CB-4180-ADFC-B92CB4012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4</xdr:col>
      <xdr:colOff>942975</xdr:colOff>
      <xdr:row>82</xdr:row>
      <xdr:rowOff>85725</xdr:rowOff>
    </xdr:from>
    <xdr:ext cx="4514850" cy="2828925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FEB35BBA-0C19-4659-9156-5471274ABD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0</xdr:col>
      <xdr:colOff>152400</xdr:colOff>
      <xdr:row>117</xdr:row>
      <xdr:rowOff>57150</xdr:rowOff>
    </xdr:from>
    <xdr:ext cx="4629150" cy="2886075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EB405B7B-7421-4E93-9D09-BAEC9AC70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4</xdr:col>
      <xdr:colOff>942975</xdr:colOff>
      <xdr:row>117</xdr:row>
      <xdr:rowOff>57150</xdr:rowOff>
    </xdr:from>
    <xdr:ext cx="4629150" cy="2886075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0A64D149-8DD3-469C-BD0A-E05FFCC890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9</xdr:col>
      <xdr:colOff>771525</xdr:colOff>
      <xdr:row>117</xdr:row>
      <xdr:rowOff>57150</xdr:rowOff>
    </xdr:from>
    <xdr:ext cx="4733925" cy="2886075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73AAB682-F8F8-44AB-8C64-F01FF17F2B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0</xdr:col>
      <xdr:colOff>104775</xdr:colOff>
      <xdr:row>152</xdr:row>
      <xdr:rowOff>85725</xdr:rowOff>
    </xdr:from>
    <xdr:ext cx="4676775" cy="2886075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1688705F-9763-4A16-BCA3-2985ECFD82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4</xdr:col>
      <xdr:colOff>942975</xdr:colOff>
      <xdr:row>152</xdr:row>
      <xdr:rowOff>85725</xdr:rowOff>
    </xdr:from>
    <xdr:ext cx="4629150" cy="2886075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9B2975E4-EC2F-4BA0-888A-59CEAB868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9</xdr:col>
      <xdr:colOff>771525</xdr:colOff>
      <xdr:row>152</xdr:row>
      <xdr:rowOff>85725</xdr:rowOff>
    </xdr:from>
    <xdr:ext cx="4733925" cy="2886075"/>
    <xdr:graphicFrame macro="">
      <xdr:nvGraphicFramePr>
        <xdr:cNvPr id="12" name="Chart 11" title="Chart">
          <a:extLst>
            <a:ext uri="{FF2B5EF4-FFF2-40B4-BE49-F238E27FC236}">
              <a16:creationId xmlns:a16="http://schemas.microsoft.com/office/drawing/2014/main" id="{A6579575-7ACC-45F6-842D-4C512A17CB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0</xdr:col>
      <xdr:colOff>57150</xdr:colOff>
      <xdr:row>187</xdr:row>
      <xdr:rowOff>114300</xdr:rowOff>
    </xdr:from>
    <xdr:ext cx="4676775" cy="2886075"/>
    <xdr:graphicFrame macro="">
      <xdr:nvGraphicFramePr>
        <xdr:cNvPr id="13" name="Chart 12" title="Chart">
          <a:extLst>
            <a:ext uri="{FF2B5EF4-FFF2-40B4-BE49-F238E27FC236}">
              <a16:creationId xmlns:a16="http://schemas.microsoft.com/office/drawing/2014/main" id="{DE7FFD3C-0D54-4E72-9440-54CD82263B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4</xdr:col>
      <xdr:colOff>885825</xdr:colOff>
      <xdr:row>187</xdr:row>
      <xdr:rowOff>114300</xdr:rowOff>
    </xdr:from>
    <xdr:ext cx="4629150" cy="2886075"/>
    <xdr:graphicFrame macro="">
      <xdr:nvGraphicFramePr>
        <xdr:cNvPr id="14" name="Chart 13" title="Chart">
          <a:extLst>
            <a:ext uri="{FF2B5EF4-FFF2-40B4-BE49-F238E27FC236}">
              <a16:creationId xmlns:a16="http://schemas.microsoft.com/office/drawing/2014/main" id="{63789B84-B471-4A66-B6B8-581E70ADA3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9</xdr:col>
      <xdr:colOff>714375</xdr:colOff>
      <xdr:row>187</xdr:row>
      <xdr:rowOff>114300</xdr:rowOff>
    </xdr:from>
    <xdr:ext cx="4676775" cy="2886075"/>
    <xdr:graphicFrame macro="">
      <xdr:nvGraphicFramePr>
        <xdr:cNvPr id="15" name="Chart 14" title="Chart">
          <a:extLst>
            <a:ext uri="{FF2B5EF4-FFF2-40B4-BE49-F238E27FC236}">
              <a16:creationId xmlns:a16="http://schemas.microsoft.com/office/drawing/2014/main" id="{7E0F9F3F-5E3A-4DC1-B510-0E5BEF17C2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Aerospace%20&amp;%20Defense%20(6).xlsx" TargetMode="External"/><Relationship Id="rId1" Type="http://schemas.openxmlformats.org/officeDocument/2006/relationships/externalLinkPath" Target="/Users/profi/Downloads/Aerospace%20&amp;%20Defense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IRVALUE BEL"/>
      <sheetName val="Aerospace &amp; Defense"/>
      <sheetName val="Defence"/>
      <sheetName val="Dashboard"/>
      <sheetName val="BEL"/>
    </sheetNames>
    <sheetDataSet>
      <sheetData sheetId="0"/>
      <sheetData sheetId="1">
        <row r="26">
          <cell r="C26" t="str">
            <v>MARKETCAP</v>
          </cell>
          <cell r="G26" t="str">
            <v>SALES_23</v>
          </cell>
          <cell r="K26" t="str">
            <v>PROFIT_23</v>
          </cell>
        </row>
        <row r="27">
          <cell r="B27" t="str">
            <v>HAL</v>
          </cell>
          <cell r="C27">
            <v>310458.68836779997</v>
          </cell>
          <cell r="F27" t="str">
            <v>HAL</v>
          </cell>
          <cell r="G27">
            <v>26927</v>
          </cell>
          <cell r="J27" t="str">
            <v>HAL</v>
          </cell>
          <cell r="K27">
            <v>5828</v>
          </cell>
        </row>
        <row r="28">
          <cell r="B28" t="str">
            <v>BEL</v>
          </cell>
          <cell r="C28">
            <v>212056.72226149999</v>
          </cell>
          <cell r="F28" t="str">
            <v>BEL</v>
          </cell>
          <cell r="G28">
            <v>17734</v>
          </cell>
          <cell r="J28" t="str">
            <v>BEL</v>
          </cell>
          <cell r="K28">
            <v>2940</v>
          </cell>
        </row>
        <row r="29">
          <cell r="B29" t="str">
            <v>BDL</v>
          </cell>
          <cell r="C29">
            <v>45501.382686800003</v>
          </cell>
          <cell r="F29" t="str">
            <v>BDL</v>
          </cell>
          <cell r="G29">
            <v>2489</v>
          </cell>
          <cell r="J29" t="str">
            <v>BDL</v>
          </cell>
          <cell r="K29">
            <v>352</v>
          </cell>
        </row>
        <row r="30">
          <cell r="B30" t="str">
            <v>DATAPATTNS</v>
          </cell>
          <cell r="C30">
            <v>15020.496467999999</v>
          </cell>
          <cell r="F30" t="str">
            <v>DATAPATTNS</v>
          </cell>
          <cell r="G30">
            <v>453</v>
          </cell>
          <cell r="J30" t="str">
            <v>DATAPATTNS</v>
          </cell>
          <cell r="K30">
            <v>124</v>
          </cell>
        </row>
        <row r="31">
          <cell r="B31" t="str">
            <v>GRSE</v>
          </cell>
          <cell r="C31">
            <v>20399.671944999998</v>
          </cell>
          <cell r="F31" t="str">
            <v>GRSE</v>
          </cell>
          <cell r="G31">
            <v>2561</v>
          </cell>
          <cell r="J31" t="str">
            <v>GRSE</v>
          </cell>
          <cell r="K31">
            <v>228</v>
          </cell>
        </row>
        <row r="32">
          <cell r="B32" t="str">
            <v>MIDHANI</v>
          </cell>
          <cell r="C32">
            <v>7471.1149832999999</v>
          </cell>
          <cell r="F32" t="str">
            <v>MIDHANI</v>
          </cell>
          <cell r="G32">
            <v>872</v>
          </cell>
          <cell r="J32" t="str">
            <v>MIDHANI</v>
          </cell>
          <cell r="K32">
            <v>156</v>
          </cell>
        </row>
        <row r="33">
          <cell r="B33" t="str">
            <v>ZENTEC</v>
          </cell>
          <cell r="C33">
            <v>14978.8238222</v>
          </cell>
          <cell r="F33" t="str">
            <v>ZENTEC</v>
          </cell>
          <cell r="G33">
            <v>219</v>
          </cell>
          <cell r="J33" t="str">
            <v>ZENTEC</v>
          </cell>
          <cell r="K33">
            <v>50</v>
          </cell>
        </row>
        <row r="34">
          <cell r="B34" t="str">
            <v>MTARTECH</v>
          </cell>
          <cell r="C34">
            <v>5451.8327878999999</v>
          </cell>
          <cell r="F34" t="str">
            <v>MTARTECH</v>
          </cell>
          <cell r="G34">
            <v>574</v>
          </cell>
          <cell r="J34" t="str">
            <v>MTARTECH</v>
          </cell>
          <cell r="K34">
            <v>103</v>
          </cell>
        </row>
        <row r="35">
          <cell r="B35" t="str">
            <v>ASTRAMICRO</v>
          </cell>
          <cell r="C35">
            <v>8733.0409841000001</v>
          </cell>
          <cell r="F35" t="str">
            <v>ASTRAMICRO</v>
          </cell>
          <cell r="G35">
            <v>815</v>
          </cell>
          <cell r="J35" t="str">
            <v>ASTRAMICRO</v>
          </cell>
          <cell r="K35">
            <v>70</v>
          </cell>
        </row>
        <row r="36">
          <cell r="B36" t="str">
            <v>APOLLO</v>
          </cell>
          <cell r="C36">
            <v>3285.3197676999998</v>
          </cell>
          <cell r="F36" t="str">
            <v>APOLLO</v>
          </cell>
          <cell r="G36">
            <v>297</v>
          </cell>
          <cell r="J36" t="str">
            <v>APOLLO</v>
          </cell>
          <cell r="K36">
            <v>19</v>
          </cell>
        </row>
        <row r="37">
          <cell r="B37" t="str">
            <v>DCXINDIA</v>
          </cell>
          <cell r="C37">
            <v>3736.9894155000002</v>
          </cell>
          <cell r="F37" t="str">
            <v>DCXINDIA</v>
          </cell>
          <cell r="G37">
            <v>1252</v>
          </cell>
          <cell r="J37" t="str">
            <v>DCXINDIA</v>
          </cell>
          <cell r="K37">
            <v>72</v>
          </cell>
        </row>
        <row r="38">
          <cell r="B38" t="str">
            <v>IDEAFORGE*</v>
          </cell>
          <cell r="C38">
            <v>2993.2745107999999</v>
          </cell>
          <cell r="F38" t="str">
            <v>IDEAFORGE*</v>
          </cell>
          <cell r="G38">
            <v>186</v>
          </cell>
          <cell r="J38" t="str">
            <v>IDEAFORGE*</v>
          </cell>
          <cell r="K38">
            <v>32</v>
          </cell>
        </row>
        <row r="39">
          <cell r="B39" t="str">
            <v>PARAS</v>
          </cell>
          <cell r="C39">
            <v>4519.8756372999997</v>
          </cell>
          <cell r="F39" t="str">
            <v>PARAS</v>
          </cell>
          <cell r="G39">
            <v>222</v>
          </cell>
          <cell r="J39" t="str">
            <v>PARAS</v>
          </cell>
          <cell r="K39">
            <v>36</v>
          </cell>
        </row>
        <row r="40">
          <cell r="B40" t="str">
            <v>ROSSELLIND</v>
          </cell>
          <cell r="C40">
            <v>2122.6887078999998</v>
          </cell>
          <cell r="F40" t="str">
            <v>ROSSELLIND</v>
          </cell>
          <cell r="G40">
            <v>354</v>
          </cell>
          <cell r="J40" t="str">
            <v>ROSSELLIND</v>
          </cell>
          <cell r="K40">
            <v>28</v>
          </cell>
        </row>
        <row r="41">
          <cell r="B41" t="str">
            <v>NIBE</v>
          </cell>
          <cell r="C41">
            <v>2951.241</v>
          </cell>
        </row>
        <row r="42">
          <cell r="B42" t="str">
            <v>TANAA</v>
          </cell>
          <cell r="C42">
            <v>1314.0422797000001</v>
          </cell>
        </row>
        <row r="43">
          <cell r="B43" t="str">
            <v>CFF</v>
          </cell>
          <cell r="C43">
            <v>1471.4621927999999</v>
          </cell>
        </row>
        <row r="44">
          <cell r="B44" t="str">
            <v>SIKA</v>
          </cell>
          <cell r="C44">
            <v>1113.8939725</v>
          </cell>
        </row>
        <row r="66">
          <cell r="C66" t="str">
            <v>SALES_5Y_GR</v>
          </cell>
          <cell r="G66" t="str">
            <v>CY_SALES GR</v>
          </cell>
        </row>
        <row r="67">
          <cell r="B67" t="str">
            <v>HAL</v>
          </cell>
          <cell r="C67">
            <v>7.6522227808349497E-2</v>
          </cell>
          <cell r="F67" t="str">
            <v>HAL</v>
          </cell>
          <cell r="G67">
            <v>8.1762749445676297E-2</v>
          </cell>
        </row>
        <row r="68">
          <cell r="B68" t="str">
            <v>BEL</v>
          </cell>
          <cell r="C68">
            <v>0.11083013737953062</v>
          </cell>
          <cell r="F68" t="str">
            <v>BEL</v>
          </cell>
          <cell r="G68">
            <v>4.3218806509945695E-2</v>
          </cell>
        </row>
        <row r="69">
          <cell r="B69" t="str">
            <v>BDL</v>
          </cell>
          <cell r="C69">
            <v>-0.11396655562474201</v>
          </cell>
          <cell r="F69" t="str">
            <v>BDL</v>
          </cell>
          <cell r="G69">
            <v>-0.10167464114832536</v>
          </cell>
        </row>
        <row r="70">
          <cell r="B70" t="str">
            <v>DATAPATTNS</v>
          </cell>
          <cell r="C70">
            <v>0.51371693346807001</v>
          </cell>
          <cell r="F70" t="str">
            <v>DATAPATTNS</v>
          </cell>
          <cell r="G70">
            <v>0.25746268656716409</v>
          </cell>
        </row>
        <row r="71">
          <cell r="B71" t="str">
            <v>GRSE</v>
          </cell>
          <cell r="C71">
            <v>0.13797157087261258</v>
          </cell>
          <cell r="F71" t="str">
            <v>GRSE</v>
          </cell>
          <cell r="G71">
            <v>0.31479591836734699</v>
          </cell>
        </row>
        <row r="72">
          <cell r="B72" t="str">
            <v>MIDHANI</v>
          </cell>
          <cell r="C72">
            <v>5.5379006914187956E-2</v>
          </cell>
          <cell r="F72" t="str">
            <v>MIDHANI</v>
          </cell>
          <cell r="G72">
            <v>0.29013539651837528</v>
          </cell>
        </row>
        <row r="73">
          <cell r="B73" t="str">
            <v>ZENTEC</v>
          </cell>
          <cell r="C73">
            <v>0.41213397362029625</v>
          </cell>
          <cell r="F73" t="str">
            <v>ZENTEC</v>
          </cell>
          <cell r="G73">
            <v>1.4227642276422765</v>
          </cell>
        </row>
        <row r="74">
          <cell r="B74" t="str">
            <v>MTARTECH</v>
          </cell>
          <cell r="C74">
            <v>0.29271549247162909</v>
          </cell>
          <cell r="F74" t="str">
            <v>MTARTECH</v>
          </cell>
          <cell r="G74">
            <v>0.15915119363395225</v>
          </cell>
        </row>
        <row r="75">
          <cell r="B75" t="str">
            <v>ASTRAMICRO</v>
          </cell>
          <cell r="C75">
            <v>0.17364108625028796</v>
          </cell>
          <cell r="F75" t="str">
            <v>ASTRAMICRO</v>
          </cell>
          <cell r="G75">
            <v>-5.3859964093356805E-3</v>
          </cell>
        </row>
        <row r="76">
          <cell r="B76" t="str">
            <v>APOLLO</v>
          </cell>
          <cell r="C76">
            <v>6.1858758794934632E-2</v>
          </cell>
          <cell r="F76" t="str">
            <v>APOLLO</v>
          </cell>
          <cell r="G76">
            <v>0.23560209424083767</v>
          </cell>
        </row>
        <row r="77">
          <cell r="B77" t="str">
            <v>DCXINDIA</v>
          </cell>
          <cell r="C77">
            <v>0.33075042894076834</v>
          </cell>
          <cell r="F77" t="str">
            <v>DCXINDIA</v>
          </cell>
          <cell r="G77">
            <v>-8.8829071332436116E-2</v>
          </cell>
        </row>
        <row r="78">
          <cell r="B78" t="str">
            <v>IDEAFORGE*</v>
          </cell>
          <cell r="C78">
            <v>1.3684359044831225</v>
          </cell>
          <cell r="F78" t="str">
            <v>IDEAFORGE*</v>
          </cell>
          <cell r="G78">
            <v>0.44217687074829937</v>
          </cell>
        </row>
        <row r="79">
          <cell r="B79" t="str">
            <v>PARAS</v>
          </cell>
          <cell r="C79">
            <v>9.1951595988549517E-2</v>
          </cell>
          <cell r="F79" t="str">
            <v>PARAS</v>
          </cell>
          <cell r="G79">
            <v>0.10828025477707004</v>
          </cell>
        </row>
        <row r="80">
          <cell r="B80" t="str">
            <v>ROSSELLIND</v>
          </cell>
          <cell r="C80">
            <v>0.12322720670278753</v>
          </cell>
          <cell r="F80" t="str">
            <v>ROSSELLIND</v>
          </cell>
          <cell r="G80">
            <v>4.2402826855123754E-2</v>
          </cell>
        </row>
        <row r="101">
          <cell r="C101" t="str">
            <v>MARGIN_23</v>
          </cell>
          <cell r="D101" t="str">
            <v>CY_MARGIN</v>
          </cell>
          <cell r="H101" t="str">
            <v>CUR. RATIO</v>
          </cell>
          <cell r="L101" t="str">
            <v>TR.DAYS</v>
          </cell>
        </row>
        <row r="102">
          <cell r="B102" t="str">
            <v>HAL</v>
          </cell>
          <cell r="C102">
            <v>0.21643703346083856</v>
          </cell>
          <cell r="D102">
            <v>0.21214450422751729</v>
          </cell>
          <cell r="G102" t="str">
            <v>HAL</v>
          </cell>
          <cell r="H102">
            <v>1.6349895153774465</v>
          </cell>
          <cell r="K102" t="str">
            <v>HAL</v>
          </cell>
          <cell r="L102">
            <v>68.819586288855049</v>
          </cell>
        </row>
        <row r="103">
          <cell r="B103" t="str">
            <v>BEL</v>
          </cell>
          <cell r="C103">
            <v>0.16578324123153265</v>
          </cell>
          <cell r="D103">
            <v>0.18963425203674814</v>
          </cell>
          <cell r="G103" t="str">
            <v>BEL</v>
          </cell>
          <cell r="H103">
            <v>1.5089890951959917</v>
          </cell>
          <cell r="K103" t="str">
            <v>BEL</v>
          </cell>
          <cell r="L103">
            <v>150.96847862862299</v>
          </cell>
        </row>
        <row r="104">
          <cell r="B104" t="str">
            <v>BDL</v>
          </cell>
          <cell r="C104">
            <v>0.14142225793491361</v>
          </cell>
          <cell r="D104">
            <v>0.21504660452729693</v>
          </cell>
          <cell r="G104" t="str">
            <v>BDL</v>
          </cell>
          <cell r="H104">
            <v>4.4096514745308308</v>
          </cell>
          <cell r="K104" t="str">
            <v>BDL</v>
          </cell>
          <cell r="L104">
            <v>81.828043390920044</v>
          </cell>
        </row>
        <row r="105">
          <cell r="B105" t="str">
            <v>DATAPATTNS</v>
          </cell>
          <cell r="C105">
            <v>0.27373068432671083</v>
          </cell>
          <cell r="D105">
            <v>0.32640949554896143</v>
          </cell>
          <cell r="G105" t="str">
            <v>DATAPATTNS</v>
          </cell>
          <cell r="H105">
            <v>5.1040000000000001</v>
          </cell>
          <cell r="K105" t="str">
            <v>DATAPATTNS</v>
          </cell>
          <cell r="L105">
            <v>277.98013245033115</v>
          </cell>
        </row>
        <row r="106">
          <cell r="B106" t="str">
            <v>GRSE</v>
          </cell>
          <cell r="C106">
            <v>8.9027723545490045E-2</v>
          </cell>
          <cell r="D106">
            <v>9.5071788901823828E-2</v>
          </cell>
          <cell r="G106" t="str">
            <v>GRSE</v>
          </cell>
          <cell r="H106">
            <v>1.0929967329587806</v>
          </cell>
          <cell r="K106" t="str">
            <v>GRSE</v>
          </cell>
          <cell r="L106">
            <v>16.675126903553299</v>
          </cell>
        </row>
        <row r="107">
          <cell r="B107" t="str">
            <v>MIDHANI</v>
          </cell>
          <cell r="C107">
            <v>0.17889908256880735</v>
          </cell>
          <cell r="D107">
            <v>6.7466266866566718E-2</v>
          </cell>
          <cell r="G107" t="str">
            <v>MIDHANI</v>
          </cell>
          <cell r="H107">
            <v>2.0245649948822928</v>
          </cell>
          <cell r="K107" t="str">
            <v>MIDHANI</v>
          </cell>
          <cell r="L107">
            <v>136.875</v>
          </cell>
        </row>
        <row r="108">
          <cell r="B108" t="str">
            <v>ZENTEC</v>
          </cell>
          <cell r="C108">
            <v>0.22831050228310501</v>
          </cell>
          <cell r="D108">
            <v>0.44966442953020136</v>
          </cell>
          <cell r="G108" t="str">
            <v>ZENTEC</v>
          </cell>
          <cell r="H108">
            <v>1.9469387755102041</v>
          </cell>
          <cell r="K108" t="str">
            <v>ZENTEC</v>
          </cell>
          <cell r="L108">
            <v>215</v>
          </cell>
        </row>
        <row r="109">
          <cell r="B109" t="str">
            <v>MTARTECH</v>
          </cell>
          <cell r="C109">
            <v>0.17944250871080139</v>
          </cell>
          <cell r="D109">
            <v>0.11670480549199085</v>
          </cell>
          <cell r="G109" t="str">
            <v>MTARTECH</v>
          </cell>
          <cell r="H109">
            <v>2.2828282828282829</v>
          </cell>
          <cell r="K109" t="str">
            <v>MTARTECH</v>
          </cell>
          <cell r="L109">
            <v>118.27526132404181</v>
          </cell>
        </row>
        <row r="110">
          <cell r="B110" t="str">
            <v>ASTRAMICRO</v>
          </cell>
          <cell r="C110">
            <v>8.5889570552147243E-2</v>
          </cell>
          <cell r="D110">
            <v>0.11913357400722022</v>
          </cell>
          <cell r="G110" t="str">
            <v>ASTRAMICRO</v>
          </cell>
          <cell r="H110">
            <v>3.75390625</v>
          </cell>
          <cell r="K110" t="str">
            <v>ASTRAMICRO</v>
          </cell>
          <cell r="L110">
            <v>126.74233128834355</v>
          </cell>
        </row>
        <row r="111">
          <cell r="B111" t="str">
            <v>APOLLO</v>
          </cell>
          <cell r="C111">
            <v>6.3973063973063973E-2</v>
          </cell>
          <cell r="D111">
            <v>7.6271186440677971E-2</v>
          </cell>
          <cell r="G111" t="str">
            <v>APOLLO</v>
          </cell>
          <cell r="H111">
            <v>1.9647435897435896</v>
          </cell>
          <cell r="K111" t="str">
            <v>APOLLO</v>
          </cell>
          <cell r="L111">
            <v>180.65656565656568</v>
          </cell>
        </row>
        <row r="112">
          <cell r="B112" t="str">
            <v>DCXINDIA</v>
          </cell>
          <cell r="C112">
            <v>5.7507987220447282E-2</v>
          </cell>
          <cell r="D112">
            <v>6.2038404726735601E-2</v>
          </cell>
          <cell r="G112" t="str">
            <v>DCXINDIA</v>
          </cell>
          <cell r="H112">
            <v>2.110891089108911</v>
          </cell>
          <cell r="K112" t="str">
            <v>DCXINDIA</v>
          </cell>
          <cell r="L112">
            <v>62.096645367412137</v>
          </cell>
        </row>
        <row r="113">
          <cell r="B113" t="str">
            <v>IDEAFORGE*</v>
          </cell>
          <cell r="C113">
            <v>0.17204301075268819</v>
          </cell>
          <cell r="D113">
            <v>0.1650943396226415</v>
          </cell>
          <cell r="G113" t="str">
            <v>IDEAFORGE*</v>
          </cell>
          <cell r="H113">
            <v>9.296875</v>
          </cell>
          <cell r="K113" t="str">
            <v>IDEAFORGE*</v>
          </cell>
          <cell r="L113">
            <v>51.021505376344081</v>
          </cell>
        </row>
        <row r="114">
          <cell r="B114" t="str">
            <v>PARAS</v>
          </cell>
          <cell r="C114">
            <v>0.16216216216216217</v>
          </cell>
          <cell r="D114">
            <v>0.11494252873563218</v>
          </cell>
          <cell r="G114" t="str">
            <v>PARAS</v>
          </cell>
          <cell r="H114">
            <v>2.9327731092436973</v>
          </cell>
          <cell r="K114" t="str">
            <v>PARAS</v>
          </cell>
          <cell r="L114">
            <v>287.72522522522524</v>
          </cell>
        </row>
        <row r="115">
          <cell r="B115" t="str">
            <v>ROSSELLIND</v>
          </cell>
          <cell r="C115">
            <v>7.909604519774012E-2</v>
          </cell>
          <cell r="D115">
            <v>0.10847457627118644</v>
          </cell>
          <cell r="G115" t="str">
            <v>ROSSELLIND</v>
          </cell>
          <cell r="H115">
            <v>1.1704545454545454</v>
          </cell>
          <cell r="K115" t="str">
            <v>ROSSELLIND</v>
          </cell>
          <cell r="L115">
            <v>71.144067796610173</v>
          </cell>
        </row>
        <row r="136">
          <cell r="C136" t="str">
            <v>DEBT2EQUITY</v>
          </cell>
          <cell r="G136" t="str">
            <v>ICR</v>
          </cell>
          <cell r="K136" t="str">
            <v>DEBTRATIO</v>
          </cell>
        </row>
        <row r="137">
          <cell r="B137" t="str">
            <v>HAL</v>
          </cell>
          <cell r="C137">
            <v>0</v>
          </cell>
          <cell r="F137" t="str">
            <v>HAL</v>
          </cell>
          <cell r="G137">
            <v>84.379310344827587</v>
          </cell>
          <cell r="J137" t="str">
            <v>HAL</v>
          </cell>
          <cell r="K137">
            <v>0.61162471721975809</v>
          </cell>
        </row>
        <row r="138">
          <cell r="B138" t="str">
            <v>BEL</v>
          </cell>
          <cell r="C138">
            <v>0</v>
          </cell>
          <cell r="F138" t="str">
            <v>BEL</v>
          </cell>
          <cell r="G138">
            <v>243.8</v>
          </cell>
          <cell r="J138" t="str">
            <v>BEL</v>
          </cell>
          <cell r="K138">
            <v>0.66269531250000002</v>
          </cell>
        </row>
        <row r="139">
          <cell r="B139" t="str">
            <v>BDL</v>
          </cell>
          <cell r="C139">
            <v>0</v>
          </cell>
          <cell r="F139" t="str">
            <v>BDL</v>
          </cell>
          <cell r="G139">
            <v>73.444444444444443</v>
          </cell>
          <cell r="J139" t="str">
            <v>BDL</v>
          </cell>
          <cell r="K139">
            <v>0.22677529182879377</v>
          </cell>
        </row>
        <row r="140">
          <cell r="B140" t="str">
            <v>DATAPATTNS</v>
          </cell>
          <cell r="C140">
            <v>0</v>
          </cell>
          <cell r="F140" t="str">
            <v>DATAPATTNS</v>
          </cell>
          <cell r="G140">
            <v>20.375</v>
          </cell>
          <cell r="J140" t="str">
            <v>DATAPATTNS</v>
          </cell>
          <cell r="K140">
            <v>0.19592476489028213</v>
          </cell>
        </row>
        <row r="141">
          <cell r="B141" t="str">
            <v>GRSE</v>
          </cell>
          <cell r="C141">
            <v>0</v>
          </cell>
          <cell r="F141" t="str">
            <v>GRSE</v>
          </cell>
          <cell r="G141">
            <v>16.89506172839506</v>
          </cell>
          <cell r="J141" t="str">
            <v>GRSE</v>
          </cell>
          <cell r="K141">
            <v>0.9149158179942265</v>
          </cell>
        </row>
        <row r="142">
          <cell r="B142" t="str">
            <v>MIDHANI</v>
          </cell>
          <cell r="C142">
            <v>0.29742033383915023</v>
          </cell>
          <cell r="F142" t="str">
            <v>MIDHANI</v>
          </cell>
          <cell r="G142">
            <v>7.884615384615385</v>
          </cell>
          <cell r="J142" t="str">
            <v>MIDHANI</v>
          </cell>
          <cell r="K142">
            <v>0.49393326592517695</v>
          </cell>
        </row>
        <row r="143">
          <cell r="B143" t="str">
            <v>ZENTEC</v>
          </cell>
          <cell r="C143">
            <v>1.1959287531806615E-3</v>
          </cell>
          <cell r="F143" t="str">
            <v>ZENTEC</v>
          </cell>
          <cell r="G143">
            <v>16.75</v>
          </cell>
          <cell r="J143" t="str">
            <v>ZENTEC</v>
          </cell>
          <cell r="K143">
            <v>0.51362683438155132</v>
          </cell>
        </row>
        <row r="144">
          <cell r="B144" t="str">
            <v>MTARTECH</v>
          </cell>
          <cell r="C144">
            <v>0.37670196671709533</v>
          </cell>
          <cell r="F144" t="str">
            <v>MTARTECH</v>
          </cell>
          <cell r="G144">
            <v>9.3064460767488164</v>
          </cell>
          <cell r="J144" t="str">
            <v>MTARTECH</v>
          </cell>
          <cell r="K144">
            <v>0.43805309734513276</v>
          </cell>
        </row>
        <row r="145">
          <cell r="B145" t="str">
            <v>ASTRAMICRO</v>
          </cell>
          <cell r="C145">
            <v>7.8250863060989648E-2</v>
          </cell>
          <cell r="F145" t="str">
            <v>ASTRAMICRO</v>
          </cell>
          <cell r="G145">
            <v>4.0999999999999996</v>
          </cell>
          <cell r="J145" t="str">
            <v>ASTRAMICRO</v>
          </cell>
          <cell r="K145">
            <v>0.26638917793964623</v>
          </cell>
        </row>
        <row r="146">
          <cell r="B146" t="str">
            <v>APOLLO</v>
          </cell>
          <cell r="C146">
            <v>0.39578454332552693</v>
          </cell>
          <cell r="F146" t="str">
            <v>APOLLO</v>
          </cell>
          <cell r="G146">
            <v>2.347826086956522</v>
          </cell>
          <cell r="J146" t="str">
            <v>APOLLO</v>
          </cell>
          <cell r="K146">
            <v>0.50897226753670477</v>
          </cell>
        </row>
        <row r="147">
          <cell r="B147" t="str">
            <v>DCXINDIA</v>
          </cell>
          <cell r="C147">
            <v>0.73265651438240276</v>
          </cell>
          <cell r="F147" t="str">
            <v>DCXINDIA</v>
          </cell>
          <cell r="G147">
            <v>3.1153846153846154</v>
          </cell>
          <cell r="J147" t="str">
            <v>DCXINDIA</v>
          </cell>
          <cell r="K147">
            <v>0.47373358348968103</v>
          </cell>
        </row>
        <row r="148">
          <cell r="B148" t="str">
            <v>IDEAFORGE*</v>
          </cell>
          <cell r="C148">
            <v>0</v>
          </cell>
          <cell r="F148" t="str">
            <v>IDEAFORGE*</v>
          </cell>
          <cell r="G148">
            <v>1.3604651162790697</v>
          </cell>
          <cell r="J148" t="str">
            <v>IDEAFORGE*</v>
          </cell>
          <cell r="K148">
            <v>0.10756302521008404</v>
          </cell>
        </row>
        <row r="149">
          <cell r="B149" t="str">
            <v>PARAS</v>
          </cell>
          <cell r="C149">
            <v>9.3457943925233641E-2</v>
          </cell>
          <cell r="F149" t="str">
            <v>PARAS</v>
          </cell>
          <cell r="G149">
            <v>6.5714285714285712</v>
          </cell>
          <cell r="J149" t="str">
            <v>PARAS</v>
          </cell>
          <cell r="K149">
            <v>0.34097421203438394</v>
          </cell>
        </row>
        <row r="150">
          <cell r="B150" t="str">
            <v>ROSSELLIND</v>
          </cell>
          <cell r="C150">
            <v>0.63987138263665599</v>
          </cell>
          <cell r="F150" t="str">
            <v>ROSSELLIND</v>
          </cell>
          <cell r="G150">
            <v>3.3333333333333335</v>
          </cell>
          <cell r="J150" t="str">
            <v>ROSSELLIND</v>
          </cell>
          <cell r="K150">
            <v>0.85436893203883491</v>
          </cell>
        </row>
        <row r="171">
          <cell r="C171" t="str">
            <v>ROE</v>
          </cell>
          <cell r="D171" t="str">
            <v>ROA</v>
          </cell>
          <cell r="H171" t="str">
            <v>TRAIL_PE</v>
          </cell>
          <cell r="I171" t="str">
            <v>PBV</v>
          </cell>
          <cell r="M171" t="str">
            <v>YIELD</v>
          </cell>
        </row>
        <row r="172">
          <cell r="B172" t="str">
            <v>HAL</v>
          </cell>
          <cell r="C172">
            <v>0.23164672681744108</v>
          </cell>
          <cell r="D172">
            <v>8.1107786514508382E-2</v>
          </cell>
          <cell r="G172" t="str">
            <v>HAL</v>
          </cell>
          <cell r="H172">
            <v>32.707380796864797</v>
          </cell>
          <cell r="I172">
            <v>7.8727729180559374</v>
          </cell>
          <cell r="L172" t="str">
            <v>HAL</v>
          </cell>
          <cell r="M172">
            <v>3.0574138791812283E-2</v>
          </cell>
        </row>
        <row r="173">
          <cell r="B173" t="str">
            <v>BEL</v>
          </cell>
          <cell r="C173">
            <v>0.19820670127418594</v>
          </cell>
          <cell r="D173">
            <v>8.1067666685049361E-2</v>
          </cell>
          <cell r="G173" t="str">
            <v>BEL</v>
          </cell>
          <cell r="H173">
            <v>39.86707566462168</v>
          </cell>
          <cell r="I173">
            <v>9.1443487759429409</v>
          </cell>
          <cell r="L173" t="str">
            <v>BEL</v>
          </cell>
          <cell r="M173">
            <v>2.5083354706334958E-2</v>
          </cell>
        </row>
        <row r="174">
          <cell r="B174" t="str">
            <v>BDL</v>
          </cell>
          <cell r="C174">
            <v>0.10435813815594426</v>
          </cell>
          <cell r="D174">
            <v>3.7861675809400884E-2</v>
          </cell>
          <cell r="G174" t="str">
            <v>BDL</v>
          </cell>
          <cell r="H174">
            <v>67.239984591679502</v>
          </cell>
          <cell r="I174">
            <v>8.9830047806524185</v>
          </cell>
          <cell r="L174" t="str">
            <v>BDL</v>
          </cell>
          <cell r="M174">
            <v>1.4872103348514796E-2</v>
          </cell>
        </row>
        <row r="175">
          <cell r="B175" t="str">
            <v>DATAPATTNS</v>
          </cell>
          <cell r="C175">
            <v>0.10324729392173189</v>
          </cell>
          <cell r="D175">
            <v>8.4124830393487116E-2</v>
          </cell>
          <cell r="G175" t="str">
            <v>DATAPATTNS</v>
          </cell>
          <cell r="H175">
            <v>74.027777777777786</v>
          </cell>
          <cell r="I175">
            <v>10.158663366336633</v>
          </cell>
          <cell r="L175" t="str">
            <v>DATAPATTNS</v>
          </cell>
          <cell r="M175">
            <v>1.350844277673546E-2</v>
          </cell>
        </row>
        <row r="176">
          <cell r="B176" t="str">
            <v>GRSE</v>
          </cell>
          <cell r="C176">
            <v>0.14578005115089515</v>
          </cell>
          <cell r="D176">
            <v>2.0585048754062838E-2</v>
          </cell>
          <cell r="G176" t="str">
            <v>GRSE</v>
          </cell>
          <cell r="H176">
            <v>31.035795887281033</v>
          </cell>
          <cell r="I176">
            <v>5.5821917808219181</v>
          </cell>
          <cell r="L176" t="str">
            <v>GRSE</v>
          </cell>
          <cell r="M176">
            <v>3.2220858895705522E-2</v>
          </cell>
        </row>
        <row r="177">
          <cell r="B177" t="str">
            <v>MIDHANI</v>
          </cell>
          <cell r="C177">
            <v>0.11836115326251896</v>
          </cell>
          <cell r="D177">
            <v>5.019305019305019E-2</v>
          </cell>
          <cell r="G177" t="str">
            <v>MIDHANI</v>
          </cell>
          <cell r="H177">
            <v>74.036850921273029</v>
          </cell>
          <cell r="I177">
            <v>5.4919601328903651</v>
          </cell>
          <cell r="L177" t="str">
            <v>MIDHANI</v>
          </cell>
          <cell r="M177">
            <v>1.3506787330316742E-2</v>
          </cell>
        </row>
        <row r="178">
          <cell r="B178" t="str">
            <v>ZENTEC</v>
          </cell>
          <cell r="C178">
            <v>0.1272264631043257</v>
          </cell>
          <cell r="D178">
            <v>7.7760497667185069E-2</v>
          </cell>
          <cell r="G178" t="str">
            <v>ZENTEC</v>
          </cell>
          <cell r="H178">
            <v>59.43911439114391</v>
          </cell>
          <cell r="I178">
            <v>16.067830423940148</v>
          </cell>
          <cell r="L178" t="str">
            <v>ZENTEC</v>
          </cell>
          <cell r="M178">
            <v>1.6823938415694066E-2</v>
          </cell>
        </row>
        <row r="179">
          <cell r="B179" t="str">
            <v>MTARTECH</v>
          </cell>
          <cell r="C179">
            <v>0.15582450832072617</v>
          </cell>
          <cell r="D179">
            <v>9.662288930581614E-2</v>
          </cell>
          <cell r="G179" t="str">
            <v>MTARTECH</v>
          </cell>
          <cell r="H179">
            <v>75.330717488789233</v>
          </cell>
          <cell r="I179">
            <v>9.0305419075144506</v>
          </cell>
          <cell r="L179" t="str">
            <v>MTARTECH</v>
          </cell>
          <cell r="M179">
            <v>1.3274797231936902E-2</v>
          </cell>
        </row>
        <row r="180">
          <cell r="B180" t="str">
            <v>ASTRAMICRO</v>
          </cell>
          <cell r="C180">
            <v>8.0552359033371698E-2</v>
          </cell>
          <cell r="D180">
            <v>5.9071729957805907E-2</v>
          </cell>
          <cell r="G180" t="str">
            <v>ASTRAMICRO</v>
          </cell>
          <cell r="H180">
            <v>74.818925233644862</v>
          </cell>
          <cell r="I180">
            <v>6.4983652762119508</v>
          </cell>
          <cell r="L180" t="str">
            <v>ASTRAMICRO</v>
          </cell>
          <cell r="M180">
            <v>1.3365602310875165E-2</v>
          </cell>
        </row>
        <row r="181">
          <cell r="B181" t="str">
            <v>APOLLO</v>
          </cell>
          <cell r="C181">
            <v>4.449648711943794E-2</v>
          </cell>
          <cell r="D181">
            <v>2.464332036316472E-2</v>
          </cell>
          <cell r="G181" t="str">
            <v>APOLLO</v>
          </cell>
          <cell r="H181">
            <v>179.51388888888889</v>
          </cell>
          <cell r="I181">
            <v>6.6061111111111108</v>
          </cell>
          <cell r="L181" t="str">
            <v>APOLLO</v>
          </cell>
          <cell r="M181">
            <v>5.5705996131528044E-3</v>
          </cell>
        </row>
        <row r="182">
          <cell r="B182" t="str">
            <v>DCXINDIA</v>
          </cell>
          <cell r="C182">
            <v>0.12182741116751269</v>
          </cell>
          <cell r="D182">
            <v>6.4400715563506267E-2</v>
          </cell>
          <cell r="G182" t="str">
            <v>DCXINDIA</v>
          </cell>
          <cell r="H182">
            <v>37.035755478662054</v>
          </cell>
          <cell r="I182">
            <v>5.0007377049180324</v>
          </cell>
          <cell r="L182" t="str">
            <v>DCXINDIA</v>
          </cell>
          <cell r="M182">
            <v>2.7000934288383679E-2</v>
          </cell>
        </row>
        <row r="183">
          <cell r="B183" t="str">
            <v>IDEAFORGE*</v>
          </cell>
          <cell r="C183">
            <v>5.0713153724247229E-2</v>
          </cell>
          <cell r="D183">
            <v>4.5133991537376586E-2</v>
          </cell>
          <cell r="G183" t="str">
            <v>IDEAFORGE*</v>
          </cell>
          <cell r="H183">
            <v>103.39943342776205</v>
          </cell>
          <cell r="I183">
            <v>4.5557206537890043</v>
          </cell>
          <cell r="L183" t="str">
            <v>IDEAFORGE*</v>
          </cell>
          <cell r="M183">
            <v>9.6712328767123278E-3</v>
          </cell>
        </row>
        <row r="184">
          <cell r="B184" t="str">
            <v>PARAS</v>
          </cell>
          <cell r="C184">
            <v>8.4112149532710276E-2</v>
          </cell>
          <cell r="D184">
            <v>6.2937062937062943E-2</v>
          </cell>
          <cell r="G184" t="str">
            <v>PARAS</v>
          </cell>
          <cell r="H184">
            <v>88.309608540925282</v>
          </cell>
          <cell r="I184">
            <v>6.2170342612419702</v>
          </cell>
          <cell r="L184" t="str">
            <v>PARAS</v>
          </cell>
          <cell r="M184">
            <v>1.1323796091073946E-2</v>
          </cell>
        </row>
        <row r="185">
          <cell r="B185" t="str">
            <v>ROSSELLIND</v>
          </cell>
          <cell r="C185">
            <v>9.0032154340836015E-2</v>
          </cell>
          <cell r="D185">
            <v>4.7619047619047616E-2</v>
          </cell>
          <cell r="G185" t="str">
            <v>ROSSELLIND</v>
          </cell>
          <cell r="H185">
            <v>133.4795321637427</v>
          </cell>
          <cell r="I185">
            <v>5.02437106918239</v>
          </cell>
          <cell r="L185" t="str">
            <v>ROSSELLIND</v>
          </cell>
          <cell r="M185">
            <v>7.4917853231106241E-3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profitfromit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FAFFD-8AF9-4DA7-89F0-AAF63B3E593E}">
  <sheetPr>
    <outlinePr summaryBelow="0" summaryRight="0"/>
  </sheetPr>
  <dimension ref="B1:AA1014"/>
  <sheetViews>
    <sheetView showGridLines="0" tabSelected="1" workbookViewId="0"/>
  </sheetViews>
  <sheetFormatPr defaultColWidth="14" defaultRowHeight="15" customHeight="1" x14ac:dyDescent="0.3"/>
  <cols>
    <col min="1" max="1" width="6.109375" customWidth="1"/>
    <col min="2" max="2" width="17.109375" customWidth="1"/>
  </cols>
  <sheetData>
    <row r="1" spans="2:23" ht="14.4" x14ac:dyDescent="0.3">
      <c r="C1" s="1"/>
      <c r="H1" s="2"/>
      <c r="J1" s="3" t="s">
        <v>0</v>
      </c>
      <c r="S1" s="3" t="s">
        <v>1</v>
      </c>
    </row>
    <row r="2" spans="2:23" ht="14.4" x14ac:dyDescent="0.3"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1</v>
      </c>
    </row>
    <row r="3" spans="2:23" ht="15" customHeight="1" x14ac:dyDescent="0.3">
      <c r="B3" s="5" t="s">
        <v>23</v>
      </c>
      <c r="C3" s="6">
        <f ca="1">IFERROR(__xludf.DUMMYFUNCTION("GOOGLEFINANCE(""NSE:""&amp;B3,""price"")"),290.95)</f>
        <v>290.95</v>
      </c>
      <c r="D3" s="6">
        <f ca="1">IFERROR(__xludf.DUMMYFUNCTION("GOOGLEFINANCE((""NSE:""&amp;B3),""marketcap"")/10000000"),212239.3796565)</f>
        <v>212239.37965650001</v>
      </c>
      <c r="E3" s="6">
        <f t="shared" ref="E3:F3" si="0">D29</f>
        <v>20979</v>
      </c>
      <c r="F3" s="6">
        <f t="shared" si="0"/>
        <v>4238</v>
      </c>
      <c r="G3" s="7">
        <v>76704</v>
      </c>
      <c r="H3" s="6">
        <f>G29</f>
        <v>5.85</v>
      </c>
      <c r="I3" s="8">
        <v>1</v>
      </c>
      <c r="J3" s="8">
        <v>731</v>
      </c>
      <c r="K3" s="6">
        <v>15351</v>
      </c>
      <c r="L3" s="8">
        <v>0</v>
      </c>
      <c r="M3" s="9">
        <v>62</v>
      </c>
      <c r="N3" s="6">
        <v>33891</v>
      </c>
      <c r="O3" s="6">
        <v>21990</v>
      </c>
      <c r="P3" s="9">
        <v>39155</v>
      </c>
      <c r="Q3" s="6">
        <v>23073</v>
      </c>
      <c r="R3" s="6">
        <v>7362</v>
      </c>
      <c r="S3" s="6">
        <v>4648</v>
      </c>
      <c r="T3" s="6">
        <v>-5888</v>
      </c>
      <c r="U3" s="6">
        <v>-1474</v>
      </c>
      <c r="V3" s="6">
        <v>-647</v>
      </c>
      <c r="W3" s="6">
        <f t="shared" ref="W3:W4" si="1">SUM(S3:U3)</f>
        <v>-2714</v>
      </c>
    </row>
    <row r="4" spans="2:23" ht="15" customHeight="1" x14ac:dyDescent="0.3">
      <c r="B4" s="10" t="s">
        <v>24</v>
      </c>
      <c r="C4" s="6">
        <v>201</v>
      </c>
      <c r="D4" s="6">
        <f ca="1">C4*D3/C3</f>
        <v>146623.52744786561</v>
      </c>
      <c r="E4" s="10">
        <f t="shared" ref="E4:F4" si="2">D31</f>
        <v>17646</v>
      </c>
      <c r="F4" s="10">
        <f t="shared" si="2"/>
        <v>3006</v>
      </c>
      <c r="G4" s="7">
        <v>60690</v>
      </c>
      <c r="H4" s="11">
        <f>G31</f>
        <v>4.09</v>
      </c>
      <c r="I4" s="12">
        <v>1</v>
      </c>
      <c r="J4" s="12">
        <v>731</v>
      </c>
      <c r="K4" s="12">
        <v>12851</v>
      </c>
      <c r="L4" s="12">
        <v>0</v>
      </c>
      <c r="M4" s="12">
        <v>61</v>
      </c>
      <c r="N4" s="12">
        <v>29903</v>
      </c>
      <c r="O4" s="12">
        <v>20508</v>
      </c>
      <c r="P4" s="12">
        <v>35054</v>
      </c>
      <c r="Q4" s="6">
        <v>21471</v>
      </c>
      <c r="R4" s="12">
        <v>7022</v>
      </c>
      <c r="S4" s="12">
        <v>1086</v>
      </c>
      <c r="T4" s="12">
        <v>2800</v>
      </c>
      <c r="U4" s="12">
        <v>-1261</v>
      </c>
      <c r="V4" s="12">
        <v>-563</v>
      </c>
      <c r="W4" s="6">
        <f t="shared" si="1"/>
        <v>2625</v>
      </c>
    </row>
    <row r="5" spans="2:23" ht="15" customHeight="1" x14ac:dyDescent="0.3">
      <c r="B5" s="13" t="s">
        <v>25</v>
      </c>
      <c r="C5" s="14">
        <f t="shared" ref="C5:K5" ca="1" si="3">(C3/C4)-1</f>
        <v>0.44751243781094519</v>
      </c>
      <c r="D5" s="14">
        <f t="shared" ca="1" si="3"/>
        <v>0.44751243781094541</v>
      </c>
      <c r="E5" s="14">
        <f t="shared" si="3"/>
        <v>0.18888133287997277</v>
      </c>
      <c r="F5" s="14">
        <f t="shared" si="3"/>
        <v>0.40984697272122417</v>
      </c>
      <c r="G5" s="14">
        <f t="shared" si="3"/>
        <v>0.26386554621848735</v>
      </c>
      <c r="H5" s="14">
        <f t="shared" si="3"/>
        <v>0.43031784841075793</v>
      </c>
      <c r="I5" s="14">
        <f t="shared" si="3"/>
        <v>0</v>
      </c>
      <c r="J5" s="14">
        <f t="shared" si="3"/>
        <v>0</v>
      </c>
      <c r="K5" s="14">
        <f t="shared" si="3"/>
        <v>0.1945373900863745</v>
      </c>
      <c r="L5" s="14"/>
      <c r="M5" s="14">
        <f t="shared" ref="M5:S5" si="4">(M3/M4)-1</f>
        <v>1.6393442622950838E-2</v>
      </c>
      <c r="N5" s="14">
        <f t="shared" si="4"/>
        <v>0.13336454536334141</v>
      </c>
      <c r="O5" s="14">
        <f t="shared" si="4"/>
        <v>7.2264482153306053E-2</v>
      </c>
      <c r="P5" s="14">
        <f t="shared" si="4"/>
        <v>0.11699092828207913</v>
      </c>
      <c r="Q5" s="14">
        <f t="shared" si="4"/>
        <v>7.4612267709934343E-2</v>
      </c>
      <c r="R5" s="14">
        <f t="shared" si="4"/>
        <v>4.8419253773853699E-2</v>
      </c>
      <c r="S5" s="14">
        <f t="shared" si="4"/>
        <v>3.2799263351749541</v>
      </c>
      <c r="T5" s="14">
        <v>3.1</v>
      </c>
      <c r="U5" s="14">
        <f t="shared" ref="U5:W5" si="5">(U3/U4)-1</f>
        <v>0.16891356066613805</v>
      </c>
      <c r="V5" s="14">
        <f t="shared" si="5"/>
        <v>0.14920071047957362</v>
      </c>
      <c r="W5" s="14">
        <f t="shared" si="5"/>
        <v>-2.0339047619047621</v>
      </c>
    </row>
    <row r="6" spans="2:23" ht="15" customHeight="1" x14ac:dyDescent="0.3">
      <c r="B6" s="15"/>
      <c r="C6" s="16"/>
      <c r="D6" s="16"/>
      <c r="E6" s="16"/>
      <c r="F6" s="16"/>
      <c r="G6" s="16"/>
      <c r="H6" s="17"/>
      <c r="I6" s="16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2:23" ht="15" customHeight="1" x14ac:dyDescent="0.3">
      <c r="B7" s="15" t="s">
        <v>25</v>
      </c>
      <c r="C7" s="16" t="s">
        <v>26</v>
      </c>
      <c r="D7" s="16"/>
      <c r="E7" s="16"/>
      <c r="F7" s="16" t="s">
        <v>27</v>
      </c>
      <c r="G7" s="16"/>
      <c r="H7" s="17"/>
      <c r="I7" s="16" t="s">
        <v>28</v>
      </c>
      <c r="J7" s="18"/>
      <c r="K7" s="18"/>
      <c r="L7" s="18" t="s">
        <v>29</v>
      </c>
      <c r="M7" s="18"/>
      <c r="N7" s="18"/>
      <c r="O7" s="18"/>
      <c r="P7" s="18"/>
      <c r="Q7" s="18"/>
      <c r="R7" s="18"/>
      <c r="S7" s="18"/>
    </row>
    <row r="8" spans="2:23" ht="14.4" x14ac:dyDescent="0.3">
      <c r="B8" s="3" t="s">
        <v>30</v>
      </c>
      <c r="C8" s="3" t="s">
        <v>31</v>
      </c>
      <c r="D8" s="3" t="s">
        <v>32</v>
      </c>
      <c r="E8" s="3" t="s">
        <v>33</v>
      </c>
      <c r="F8" s="3" t="s">
        <v>34</v>
      </c>
      <c r="G8" s="3" t="s">
        <v>35</v>
      </c>
      <c r="H8" s="4" t="s">
        <v>36</v>
      </c>
      <c r="I8" s="3" t="s">
        <v>37</v>
      </c>
      <c r="J8" s="3" t="s">
        <v>37</v>
      </c>
      <c r="K8" s="3" t="s">
        <v>38</v>
      </c>
      <c r="L8" s="3" t="s">
        <v>39</v>
      </c>
      <c r="M8" s="3" t="s">
        <v>40</v>
      </c>
      <c r="N8" s="3" t="s">
        <v>41</v>
      </c>
      <c r="O8" s="3" t="s">
        <v>42</v>
      </c>
      <c r="P8" s="3" t="s">
        <v>43</v>
      </c>
      <c r="Q8" s="15"/>
      <c r="R8" s="15"/>
      <c r="S8" s="15"/>
    </row>
    <row r="9" spans="2:23" ht="15" customHeight="1" x14ac:dyDescent="0.3">
      <c r="B9" s="19">
        <f>R16</f>
        <v>0.20100000000000001</v>
      </c>
      <c r="C9" s="19">
        <f>O34</f>
        <v>0.18638077285579641</v>
      </c>
      <c r="D9" s="19">
        <f>N3/O3</f>
        <v>1.5412005457025921</v>
      </c>
      <c r="E9" s="9">
        <f>(R3/E3)*365</f>
        <v>128.08665808665808</v>
      </c>
      <c r="F9" s="19">
        <f>L3/K3</f>
        <v>0</v>
      </c>
      <c r="G9" s="19">
        <f>Q3/P3</f>
        <v>0.58927340058740907</v>
      </c>
      <c r="H9" s="20">
        <f>O35</f>
        <v>712.86440677966107</v>
      </c>
      <c r="I9" s="21">
        <f>F3/K3</f>
        <v>0.27607321998566869</v>
      </c>
      <c r="J9" s="19">
        <f>F3/K3</f>
        <v>0.27607321998566869</v>
      </c>
      <c r="K9" s="19">
        <f>F3/P3</f>
        <v>0.10823649597752522</v>
      </c>
      <c r="L9" s="6">
        <f ca="1">C3/H3</f>
        <v>49.73504273504274</v>
      </c>
      <c r="M9" s="22">
        <f ca="1">H3/C3</f>
        <v>2.0106547516755457E-2</v>
      </c>
      <c r="N9" s="6">
        <f>K3/(J3/I3)</f>
        <v>21</v>
      </c>
      <c r="O9" s="6">
        <f ca="1">C3/N9</f>
        <v>13.854761904761904</v>
      </c>
      <c r="P9" s="23">
        <f ca="1">Q24</f>
        <v>5.3879629629629626</v>
      </c>
      <c r="Q9" s="15"/>
      <c r="R9" s="15"/>
      <c r="S9" s="15"/>
    </row>
    <row r="10" spans="2:23" ht="14.4" x14ac:dyDescent="0.3">
      <c r="C10" s="1"/>
      <c r="H10" s="2"/>
    </row>
    <row r="11" spans="2:23" ht="14.4" x14ac:dyDescent="0.3">
      <c r="B11" s="10" t="s">
        <v>44</v>
      </c>
      <c r="C11" s="3" t="s">
        <v>45</v>
      </c>
      <c r="D11" s="24" t="s">
        <v>46</v>
      </c>
      <c r="E11" s="24" t="s">
        <v>47</v>
      </c>
      <c r="F11" s="24" t="s">
        <v>48</v>
      </c>
      <c r="G11" s="24" t="s">
        <v>49</v>
      </c>
      <c r="H11" s="25" t="s">
        <v>50</v>
      </c>
    </row>
    <row r="12" spans="2:23" ht="14.4" x14ac:dyDescent="0.3">
      <c r="B12" s="10"/>
      <c r="C12" s="26" t="s">
        <v>51</v>
      </c>
      <c r="D12" s="27">
        <f t="shared" ref="D12:F12" si="6">FV(D18,5,0,-D13,0)</f>
        <v>94294.668815427038</v>
      </c>
      <c r="E12" s="27">
        <f t="shared" si="6"/>
        <v>15548.904189667732</v>
      </c>
      <c r="F12" s="28">
        <f t="shared" si="6"/>
        <v>21.501427532370137</v>
      </c>
      <c r="G12" s="27">
        <f t="shared" ref="G12:G14" si="7">F12*20</f>
        <v>430.02855064740277</v>
      </c>
      <c r="H12" s="29">
        <f t="shared" ref="H12:H14" si="8">F12*40%</f>
        <v>8.6005710129480555</v>
      </c>
    </row>
    <row r="13" spans="2:23" ht="14.4" x14ac:dyDescent="0.3">
      <c r="B13" s="10"/>
      <c r="C13" s="26" t="s">
        <v>52</v>
      </c>
      <c r="D13" s="27">
        <f>FV(D18,5,0,-D14,0)</f>
        <v>46881.11559768748</v>
      </c>
      <c r="E13" s="27">
        <f>D13*G18</f>
        <v>7730.5534224849043</v>
      </c>
      <c r="F13" s="28">
        <f>(E13*F14)/E14</f>
        <v>10.690009544796549</v>
      </c>
      <c r="G13" s="27">
        <f t="shared" si="7"/>
        <v>213.800190895931</v>
      </c>
      <c r="H13" s="29">
        <f t="shared" si="8"/>
        <v>4.2760038179186202</v>
      </c>
    </row>
    <row r="14" spans="2:23" ht="14.4" x14ac:dyDescent="0.3">
      <c r="B14" s="10"/>
      <c r="C14" s="26" t="s">
        <v>53</v>
      </c>
      <c r="D14" s="27">
        <f>FV(D17,1,0,-D30,0)</f>
        <v>23308.199999999997</v>
      </c>
      <c r="E14" s="27">
        <f>D14*G17</f>
        <v>4335.3251999999993</v>
      </c>
      <c r="F14" s="28">
        <f>FV(F17,1,0,-G30,0)</f>
        <v>5.9950000000000001</v>
      </c>
      <c r="G14" s="27">
        <f t="shared" si="7"/>
        <v>119.9</v>
      </c>
      <c r="H14" s="29">
        <f t="shared" si="8"/>
        <v>2.3980000000000001</v>
      </c>
    </row>
    <row r="15" spans="2:23" ht="14.4" x14ac:dyDescent="0.3">
      <c r="C15" s="1"/>
      <c r="E15" s="30"/>
      <c r="H15" s="2"/>
      <c r="N15" s="31" t="s">
        <v>54</v>
      </c>
      <c r="O15" s="31" t="s">
        <v>55</v>
      </c>
      <c r="P15" s="31" t="s">
        <v>56</v>
      </c>
      <c r="Q15" s="31" t="s">
        <v>57</v>
      </c>
      <c r="R15" s="31" t="s">
        <v>58</v>
      </c>
      <c r="S15" s="31" t="s">
        <v>59</v>
      </c>
    </row>
    <row r="16" spans="2:23" ht="15" customHeight="1" x14ac:dyDescent="0.3">
      <c r="B16" s="32" t="s">
        <v>44</v>
      </c>
      <c r="C16" s="3" t="s">
        <v>45</v>
      </c>
      <c r="D16" s="24" t="s">
        <v>46</v>
      </c>
      <c r="E16" s="24" t="s">
        <v>47</v>
      </c>
      <c r="F16" s="24" t="s">
        <v>60</v>
      </c>
      <c r="G16" s="24" t="s">
        <v>61</v>
      </c>
      <c r="H16" s="2"/>
      <c r="N16" s="33" t="s">
        <v>62</v>
      </c>
      <c r="O16" s="34">
        <v>0.06</v>
      </c>
      <c r="P16" s="34">
        <v>4.2999999999999997E-2</v>
      </c>
      <c r="Q16" s="34">
        <v>0.14299999999999999</v>
      </c>
      <c r="R16" s="34">
        <v>0.20100000000000001</v>
      </c>
      <c r="S16" s="35">
        <v>0.15</v>
      </c>
    </row>
    <row r="17" spans="2:27" ht="15" customHeight="1" x14ac:dyDescent="0.3">
      <c r="B17" s="36"/>
      <c r="C17" s="26" t="s">
        <v>63</v>
      </c>
      <c r="D17" s="37">
        <v>0.15</v>
      </c>
      <c r="E17" s="37">
        <f>(E14/E30)-1</f>
        <v>8.7910966122960899E-2</v>
      </c>
      <c r="F17" s="38">
        <v>0.09</v>
      </c>
      <c r="G17" s="39">
        <v>0.186</v>
      </c>
      <c r="H17" s="2"/>
      <c r="N17" s="33" t="s">
        <v>64</v>
      </c>
      <c r="O17" s="34">
        <v>0.34</v>
      </c>
      <c r="P17" s="34">
        <v>0.36</v>
      </c>
      <c r="Q17" s="34">
        <v>0.34</v>
      </c>
      <c r="R17" s="34">
        <v>0.47</v>
      </c>
      <c r="S17" s="35">
        <v>0.09</v>
      </c>
      <c r="U17" s="30"/>
    </row>
    <row r="18" spans="2:27" ht="15" customHeight="1" x14ac:dyDescent="0.3">
      <c r="B18" s="10"/>
      <c r="C18" s="26" t="s">
        <v>65</v>
      </c>
      <c r="D18" s="37">
        <v>0.15</v>
      </c>
      <c r="E18" s="37">
        <v>0.15</v>
      </c>
      <c r="F18" s="38">
        <v>0.15</v>
      </c>
      <c r="G18" s="39">
        <f>AVERAGE(H21:H24)</f>
        <v>0.16489695955243505</v>
      </c>
      <c r="H18" s="2"/>
      <c r="N18" s="33" t="s">
        <v>61</v>
      </c>
      <c r="O18" s="40">
        <v>0.16</v>
      </c>
      <c r="P18" s="40">
        <v>0.19</v>
      </c>
      <c r="Q18" s="40">
        <v>0.19900000000000001</v>
      </c>
      <c r="R18" s="40">
        <v>0.186</v>
      </c>
      <c r="S18" s="40">
        <v>0.186</v>
      </c>
    </row>
    <row r="19" spans="2:27" ht="14.4" x14ac:dyDescent="0.3">
      <c r="C19" s="1"/>
      <c r="H19" s="2"/>
    </row>
    <row r="20" spans="2:27" ht="14.4" x14ac:dyDescent="0.3">
      <c r="B20" s="32" t="s">
        <v>66</v>
      </c>
      <c r="C20" s="3" t="s">
        <v>45</v>
      </c>
      <c r="D20" s="24" t="s">
        <v>46</v>
      </c>
      <c r="E20" s="24" t="s">
        <v>47</v>
      </c>
      <c r="F20" s="24" t="s">
        <v>67</v>
      </c>
      <c r="G20" s="24" t="s">
        <v>48</v>
      </c>
      <c r="H20" s="25" t="s">
        <v>61</v>
      </c>
      <c r="I20" s="24" t="s">
        <v>68</v>
      </c>
      <c r="J20" s="24" t="s">
        <v>69</v>
      </c>
      <c r="K20" s="24" t="s">
        <v>70</v>
      </c>
      <c r="L20" s="24" t="s">
        <v>71</v>
      </c>
      <c r="N20" s="31" t="s">
        <v>72</v>
      </c>
      <c r="O20" s="31" t="s">
        <v>73</v>
      </c>
      <c r="P20" s="31" t="s">
        <v>74</v>
      </c>
      <c r="Q20" s="31" t="s">
        <v>75</v>
      </c>
      <c r="R20" s="31" t="s">
        <v>76</v>
      </c>
      <c r="S20" s="31" t="s">
        <v>77</v>
      </c>
    </row>
    <row r="21" spans="2:27" ht="14.4" x14ac:dyDescent="0.3">
      <c r="B21" s="36"/>
      <c r="C21" s="41" t="s">
        <v>78</v>
      </c>
      <c r="D21" s="42">
        <f t="shared" ref="D21:G21" si="9">(D30/D31)-1</f>
        <v>0.14858891533492002</v>
      </c>
      <c r="E21" s="42">
        <f t="shared" si="9"/>
        <v>0.3256819693945443</v>
      </c>
      <c r="F21" s="42">
        <f t="shared" si="9"/>
        <v>0</v>
      </c>
      <c r="G21" s="42">
        <f t="shared" si="9"/>
        <v>0.34474327628361867</v>
      </c>
      <c r="H21" s="39">
        <f>H30</f>
        <v>0.19661535425300966</v>
      </c>
      <c r="I21" s="42">
        <f t="shared" ref="I21:J21" si="10">(I30/I31)-1</f>
        <v>0.88399476668120358</v>
      </c>
      <c r="J21" s="42">
        <f t="shared" si="10"/>
        <v>0.35559360730593603</v>
      </c>
      <c r="K21" s="11">
        <f t="shared" ref="K21:L21" si="11">K30</f>
        <v>39.272727272727273</v>
      </c>
      <c r="L21" s="11">
        <f t="shared" si="11"/>
        <v>17.272727272727273</v>
      </c>
      <c r="N21" s="36" t="s">
        <v>60</v>
      </c>
      <c r="O21" s="36">
        <v>1.08</v>
      </c>
      <c r="P21" s="36">
        <v>1.22</v>
      </c>
      <c r="Q21" s="36">
        <v>2.46</v>
      </c>
      <c r="R21" s="36">
        <v>1.08</v>
      </c>
      <c r="S21" s="43">
        <f>SUM(O21:R21)</f>
        <v>5.84</v>
      </c>
    </row>
    <row r="22" spans="2:27" ht="14.4" x14ac:dyDescent="0.3">
      <c r="B22" s="36"/>
      <c r="C22" s="41" t="s">
        <v>79</v>
      </c>
      <c r="D22" s="42">
        <f t="shared" ref="D22:F22" si="12">(D30/D35)^(1/5)-1</f>
        <v>0.10618352785727714</v>
      </c>
      <c r="E22" s="42">
        <f t="shared" si="12"/>
        <v>0.16138798148892586</v>
      </c>
      <c r="F22" s="42">
        <f t="shared" si="12"/>
        <v>0.24641371938414869</v>
      </c>
      <c r="G22" s="42">
        <f>((3*G30)/G35)^(1/5)-1</f>
        <v>0.16345233808329063</v>
      </c>
      <c r="H22" s="39">
        <f>MEDIAN(H30:H35)</f>
        <v>0.15661059233166724</v>
      </c>
      <c r="I22" s="42">
        <f t="shared" ref="I22:J22" si="13">((3*I30)/I35)^(1/5)-1</f>
        <v>0.34176898053855354</v>
      </c>
      <c r="J22" s="42">
        <f t="shared" si="13"/>
        <v>0.31311995131579762</v>
      </c>
      <c r="K22" s="7">
        <f t="shared" ref="K22:L22" si="14">MEDIAN(K30:K35)</f>
        <v>21.198927058329726</v>
      </c>
      <c r="L22" s="7">
        <f t="shared" si="14"/>
        <v>10.857894253597241</v>
      </c>
      <c r="O22" s="44"/>
    </row>
    <row r="23" spans="2:27" ht="15" customHeight="1" x14ac:dyDescent="0.3">
      <c r="B23" s="10"/>
      <c r="C23" s="41" t="s">
        <v>80</v>
      </c>
      <c r="D23" s="42">
        <f t="shared" ref="D23:F23" si="15">(D30/D40)^(1/10)-1</f>
        <v>0.11288778624168638</v>
      </c>
      <c r="E23" s="42">
        <f t="shared" si="15"/>
        <v>0.15405041333955016</v>
      </c>
      <c r="F23" s="42">
        <f t="shared" si="15"/>
        <v>0.24762118038067027</v>
      </c>
      <c r="G23" s="42">
        <f>((91*G30)/G40)^(1/10)-1</f>
        <v>0.15545279497224107</v>
      </c>
      <c r="H23" s="39">
        <f>MEDIAN(H30:H40)</f>
        <v>0.15752072641136991</v>
      </c>
      <c r="I23" s="42">
        <f t="shared" ref="I23:J23" si="16">((91*I30)/I40)^(1/10)-1</f>
        <v>0.30472578258862137</v>
      </c>
      <c r="J23" s="42">
        <f t="shared" si="16"/>
        <v>0.25456797210649884</v>
      </c>
      <c r="K23" s="7">
        <f t="shared" ref="K23:L23" si="17">MEDIAN(K30:K40)</f>
        <v>24.388984509466436</v>
      </c>
      <c r="L23" s="7">
        <f t="shared" si="17"/>
        <v>12.284263959390863</v>
      </c>
      <c r="N23" s="45" t="s">
        <v>81</v>
      </c>
      <c r="O23" s="45" t="s">
        <v>82</v>
      </c>
      <c r="P23" s="45" t="s">
        <v>83</v>
      </c>
      <c r="Q23" s="45" t="s">
        <v>84</v>
      </c>
    </row>
    <row r="24" spans="2:27" ht="14.4" x14ac:dyDescent="0.3">
      <c r="B24" s="10"/>
      <c r="C24" s="41" t="s">
        <v>85</v>
      </c>
      <c r="D24" s="42">
        <f t="shared" ref="D24:F24" si="18">(D30/D50)^(1/20)-1</f>
        <v>0.10421222994970902</v>
      </c>
      <c r="E24" s="42">
        <f t="shared" si="18"/>
        <v>0.13768247742623396</v>
      </c>
      <c r="F24" s="42">
        <f t="shared" si="18"/>
        <v>0.11696964165579282</v>
      </c>
      <c r="G24" s="42">
        <f>((91*G30)/G50)^(1/20)-1</f>
        <v>0.13777251621276898</v>
      </c>
      <c r="H24" s="46">
        <f>MEDIAN(H30:H50)</f>
        <v>0.14884116521369339</v>
      </c>
      <c r="I24" s="42">
        <f t="shared" ref="I24:J24" si="19">((91*I30)/I50)^(1/20)-1</f>
        <v>0.18154671856024351</v>
      </c>
      <c r="J24" s="42">
        <f t="shared" si="19"/>
        <v>0.21326123358154558</v>
      </c>
      <c r="K24" s="47">
        <f t="shared" ref="K24:L24" si="20">MEDIAN(K30:K50)</f>
        <v>19.933333333333334</v>
      </c>
      <c r="L24" s="47">
        <f t="shared" si="20"/>
        <v>9.4315245478036172</v>
      </c>
      <c r="N24" s="48">
        <v>5.5</v>
      </c>
      <c r="O24" s="49">
        <v>5.84</v>
      </c>
      <c r="P24" s="50">
        <v>6</v>
      </c>
      <c r="Q24" s="51">
        <f ca="1">P26/9</f>
        <v>5.3879629629629626</v>
      </c>
    </row>
    <row r="25" spans="2:27" ht="15" customHeight="1" x14ac:dyDescent="0.3">
      <c r="B25" s="10"/>
      <c r="C25" s="41" t="s">
        <v>86</v>
      </c>
      <c r="D25" s="52">
        <f t="shared" ref="D25:F25" si="21">D30/D50</f>
        <v>7.2619132927266214</v>
      </c>
      <c r="E25" s="52">
        <f t="shared" si="21"/>
        <v>13.195364238410596</v>
      </c>
      <c r="F25" s="52">
        <f t="shared" si="21"/>
        <v>9.1374999999999993</v>
      </c>
      <c r="G25" s="53">
        <f>G27/G51</f>
        <v>10.918183934807917</v>
      </c>
      <c r="H25" s="54"/>
      <c r="I25" s="52">
        <f t="shared" ref="I25:J25" si="22">I27/I51</f>
        <v>44.970474137931035</v>
      </c>
      <c r="J25" s="52">
        <f t="shared" si="22"/>
        <v>50.61333333333333</v>
      </c>
      <c r="K25" s="55">
        <f t="shared" ref="K25:L25" si="23">AVERAGE(K21:K24)</f>
        <v>26.198493043464193</v>
      </c>
      <c r="L25" s="55">
        <f t="shared" si="23"/>
        <v>12.461602508379748</v>
      </c>
      <c r="N25" s="45" t="s">
        <v>87</v>
      </c>
      <c r="O25" s="45" t="s">
        <v>87</v>
      </c>
      <c r="P25" s="45" t="s">
        <v>88</v>
      </c>
      <c r="Q25" s="56"/>
    </row>
    <row r="26" spans="2:27" ht="14.4" x14ac:dyDescent="0.3">
      <c r="B26" s="15"/>
      <c r="C26" s="57"/>
      <c r="D26" s="58"/>
      <c r="E26" s="58"/>
      <c r="F26" s="59">
        <f>F31/F39</f>
        <v>9.1374999999999993</v>
      </c>
      <c r="G26" s="60"/>
      <c r="H26" s="59"/>
      <c r="I26" s="61"/>
      <c r="J26" s="61"/>
      <c r="K26" s="62"/>
      <c r="L26" s="62">
        <f>AVERAGE(K25:L25)</f>
        <v>19.330047775921969</v>
      </c>
      <c r="N26" s="63">
        <f>C4/N24</f>
        <v>36.545454545454547</v>
      </c>
      <c r="O26" s="64">
        <f ca="1">C3/O24</f>
        <v>49.820205479452056</v>
      </c>
      <c r="P26" s="65">
        <f ca="1">C3/P24</f>
        <v>48.491666666666667</v>
      </c>
      <c r="Q26" s="56"/>
    </row>
    <row r="27" spans="2:27" ht="14.4" x14ac:dyDescent="0.3">
      <c r="B27" s="61" t="s">
        <v>89</v>
      </c>
      <c r="C27" s="1"/>
      <c r="D27" s="66"/>
      <c r="E27" s="58"/>
      <c r="F27" s="58"/>
      <c r="G27" s="60">
        <f>(E31*G52)/E52</f>
        <v>375.14880000000005</v>
      </c>
      <c r="H27" s="59"/>
      <c r="I27" s="60">
        <f t="shared" ref="I27:J27" si="24">I31*91</f>
        <v>10433.15</v>
      </c>
      <c r="J27" s="60">
        <f t="shared" si="24"/>
        <v>6377.28</v>
      </c>
      <c r="K27" s="58"/>
      <c r="L27" s="58"/>
    </row>
    <row r="28" spans="2:27" ht="14.4" x14ac:dyDescent="0.3">
      <c r="B28" s="3" t="s">
        <v>90</v>
      </c>
      <c r="C28" s="3" t="s">
        <v>45</v>
      </c>
      <c r="D28" s="24" t="s">
        <v>46</v>
      </c>
      <c r="E28" s="24" t="s">
        <v>47</v>
      </c>
      <c r="F28" s="24" t="s">
        <v>67</v>
      </c>
      <c r="G28" s="24" t="s">
        <v>48</v>
      </c>
      <c r="H28" s="25" t="s">
        <v>61</v>
      </c>
      <c r="I28" s="24" t="s">
        <v>68</v>
      </c>
      <c r="J28" s="24" t="s">
        <v>69</v>
      </c>
      <c r="K28" s="24" t="s">
        <v>70</v>
      </c>
      <c r="L28" s="24" t="s">
        <v>71</v>
      </c>
      <c r="N28" s="31" t="s">
        <v>91</v>
      </c>
      <c r="O28" s="31" t="s">
        <v>92</v>
      </c>
      <c r="P28" s="31" t="s">
        <v>93</v>
      </c>
      <c r="Q28" s="67" t="s">
        <v>66</v>
      </c>
      <c r="S28" s="31" t="s">
        <v>91</v>
      </c>
      <c r="T28" s="31" t="s">
        <v>94</v>
      </c>
      <c r="U28" s="31" t="s">
        <v>95</v>
      </c>
      <c r="V28" s="67" t="s">
        <v>66</v>
      </c>
      <c r="X28" s="31" t="s">
        <v>91</v>
      </c>
      <c r="Y28" s="31" t="s">
        <v>96</v>
      </c>
      <c r="Z28" s="31" t="s">
        <v>97</v>
      </c>
      <c r="AA28" s="67" t="s">
        <v>66</v>
      </c>
    </row>
    <row r="29" spans="2:27" ht="14.4" x14ac:dyDescent="0.3">
      <c r="B29" s="36"/>
      <c r="C29" s="68" t="s">
        <v>98</v>
      </c>
      <c r="D29" s="69">
        <f>D30+O29-P29</f>
        <v>20979</v>
      </c>
      <c r="E29" s="69">
        <f>E30+O32-P32</f>
        <v>4238</v>
      </c>
      <c r="F29" s="36">
        <v>731</v>
      </c>
      <c r="G29" s="36">
        <v>5.85</v>
      </c>
      <c r="H29" s="70">
        <f t="shared" ref="H29:H52" si="25">E29/D29</f>
        <v>0.20201153534486868</v>
      </c>
      <c r="I29" s="36">
        <v>341</v>
      </c>
      <c r="J29" s="36">
        <v>204</v>
      </c>
      <c r="K29" s="71">
        <f t="shared" ref="K29:K52" si="26">I29/G29</f>
        <v>58.290598290598297</v>
      </c>
      <c r="L29" s="71">
        <f t="shared" ref="L29:L52" si="27">J29/G29</f>
        <v>34.871794871794876</v>
      </c>
      <c r="N29" s="36" t="s">
        <v>62</v>
      </c>
      <c r="O29" s="69">
        <v>4244</v>
      </c>
      <c r="P29" s="69">
        <v>3533</v>
      </c>
      <c r="Q29" s="70">
        <f t="shared" ref="Q29:Q33" si="28">(O29/P29)^(1/1)-1</f>
        <v>0.20124540050948192</v>
      </c>
      <c r="R29" s="72"/>
      <c r="S29" s="36" t="s">
        <v>62</v>
      </c>
      <c r="T29" s="69">
        <v>8564</v>
      </c>
      <c r="U29" s="69">
        <v>6479</v>
      </c>
      <c r="V29" s="70">
        <f t="shared" ref="V29:V33" si="29">(T29/U29)^(1/1)-1</f>
        <v>0.32180892112980408</v>
      </c>
      <c r="X29" s="36" t="s">
        <v>62</v>
      </c>
      <c r="Y29" s="69">
        <v>20268</v>
      </c>
      <c r="Z29" s="69">
        <v>17734</v>
      </c>
      <c r="AA29" s="70">
        <f t="shared" ref="AA29:AA33" si="30">(Y29/Z29)^(1/1)-1</f>
        <v>0.14288936506146377</v>
      </c>
    </row>
    <row r="30" spans="2:27" ht="14.4" x14ac:dyDescent="0.3">
      <c r="B30" s="36"/>
      <c r="C30" s="68" t="s">
        <v>99</v>
      </c>
      <c r="D30" s="36">
        <v>20268</v>
      </c>
      <c r="E30" s="36">
        <v>3985</v>
      </c>
      <c r="F30" s="36">
        <v>731</v>
      </c>
      <c r="G30" s="36">
        <v>5.5</v>
      </c>
      <c r="H30" s="70">
        <f t="shared" si="25"/>
        <v>0.19661535425300966</v>
      </c>
      <c r="I30" s="36">
        <v>216</v>
      </c>
      <c r="J30" s="36">
        <v>95</v>
      </c>
      <c r="K30" s="71">
        <f t="shared" si="26"/>
        <v>39.272727272727273</v>
      </c>
      <c r="L30" s="71">
        <f t="shared" si="27"/>
        <v>17.272727272727273</v>
      </c>
      <c r="N30" s="36" t="s">
        <v>100</v>
      </c>
      <c r="O30" s="69">
        <v>1.18</v>
      </c>
      <c r="P30" s="69">
        <v>1.07</v>
      </c>
      <c r="Q30" s="21">
        <f t="shared" si="28"/>
        <v>0.10280373831775691</v>
      </c>
      <c r="S30" s="36" t="s">
        <v>100</v>
      </c>
      <c r="T30" s="69">
        <v>4</v>
      </c>
      <c r="U30" s="69">
        <v>3</v>
      </c>
      <c r="V30" s="21">
        <f t="shared" si="29"/>
        <v>0.33333333333333326</v>
      </c>
      <c r="X30" s="36" t="s">
        <v>100</v>
      </c>
      <c r="Y30" s="69">
        <v>7.14</v>
      </c>
      <c r="Z30" s="69">
        <v>14.95</v>
      </c>
      <c r="AA30" s="21">
        <f t="shared" si="30"/>
        <v>-0.52240802675585285</v>
      </c>
    </row>
    <row r="31" spans="2:27" ht="14.4" x14ac:dyDescent="0.3">
      <c r="B31" s="36" t="s">
        <v>101</v>
      </c>
      <c r="C31" s="68" t="s">
        <v>102</v>
      </c>
      <c r="D31" s="36">
        <v>17646</v>
      </c>
      <c r="E31" s="36">
        <v>3006</v>
      </c>
      <c r="F31" s="36">
        <v>731</v>
      </c>
      <c r="G31" s="36">
        <v>4.09</v>
      </c>
      <c r="H31" s="70">
        <f t="shared" si="25"/>
        <v>0.17035022101326081</v>
      </c>
      <c r="I31" s="69">
        <v>114.65</v>
      </c>
      <c r="J31" s="69">
        <v>70.08</v>
      </c>
      <c r="K31" s="71">
        <f t="shared" si="26"/>
        <v>28.031784841075797</v>
      </c>
      <c r="L31" s="71">
        <f t="shared" si="27"/>
        <v>17.134474327628361</v>
      </c>
      <c r="N31" s="36" t="s">
        <v>103</v>
      </c>
      <c r="O31" s="69">
        <v>3404</v>
      </c>
      <c r="P31" s="69">
        <v>2970</v>
      </c>
      <c r="Q31" s="21">
        <f t="shared" si="28"/>
        <v>0.14612794612794611</v>
      </c>
      <c r="S31" s="36" t="s">
        <v>103</v>
      </c>
      <c r="T31" s="69">
        <v>6399</v>
      </c>
      <c r="U31" s="69">
        <v>4764</v>
      </c>
      <c r="V31" s="21">
        <f t="shared" si="29"/>
        <v>0.34319899244332497</v>
      </c>
      <c r="X31" s="36" t="s">
        <v>103</v>
      </c>
      <c r="Y31" s="69">
        <v>15672</v>
      </c>
      <c r="Z31" s="69">
        <v>14092</v>
      </c>
      <c r="AA31" s="21">
        <f t="shared" si="30"/>
        <v>0.1121203519727505</v>
      </c>
    </row>
    <row r="32" spans="2:27" ht="14.4" x14ac:dyDescent="0.3">
      <c r="B32" s="36"/>
      <c r="C32" s="26" t="s">
        <v>104</v>
      </c>
      <c r="D32" s="36">
        <v>15085</v>
      </c>
      <c r="E32" s="36">
        <v>2400</v>
      </c>
      <c r="F32" s="36">
        <v>244</v>
      </c>
      <c r="G32" s="73">
        <v>9.85</v>
      </c>
      <c r="H32" s="74">
        <f t="shared" si="25"/>
        <v>0.15909844216108718</v>
      </c>
      <c r="I32" s="36">
        <v>228</v>
      </c>
      <c r="J32" s="36">
        <v>121</v>
      </c>
      <c r="K32" s="71">
        <f t="shared" si="26"/>
        <v>23.147208121827411</v>
      </c>
      <c r="L32" s="71">
        <f t="shared" si="27"/>
        <v>12.284263959390863</v>
      </c>
      <c r="N32" s="36" t="s">
        <v>64</v>
      </c>
      <c r="O32" s="69">
        <v>791</v>
      </c>
      <c r="P32" s="69">
        <v>538</v>
      </c>
      <c r="Q32" s="21">
        <f t="shared" si="28"/>
        <v>0.47026022304832704</v>
      </c>
      <c r="R32" s="72"/>
      <c r="S32" s="36" t="s">
        <v>64</v>
      </c>
      <c r="T32" s="69">
        <v>1797</v>
      </c>
      <c r="U32" s="69">
        <v>1382</v>
      </c>
      <c r="V32" s="21">
        <f t="shared" si="29"/>
        <v>0.30028943560057897</v>
      </c>
      <c r="X32" s="36" t="s">
        <v>64</v>
      </c>
      <c r="Y32" s="69">
        <v>3985</v>
      </c>
      <c r="Z32" s="69">
        <v>2984</v>
      </c>
      <c r="AA32" s="21">
        <f t="shared" si="30"/>
        <v>0.33545576407506705</v>
      </c>
    </row>
    <row r="33" spans="2:27" ht="14.4" x14ac:dyDescent="0.3">
      <c r="B33" s="36"/>
      <c r="C33" s="26" t="s">
        <v>105</v>
      </c>
      <c r="D33" s="75">
        <v>14109</v>
      </c>
      <c r="E33" s="75">
        <v>2100</v>
      </c>
      <c r="F33" s="75">
        <v>244</v>
      </c>
      <c r="G33" s="76">
        <v>8.6199999999999992</v>
      </c>
      <c r="H33" s="74">
        <f t="shared" si="25"/>
        <v>0.14884116521369339</v>
      </c>
      <c r="I33" s="75">
        <v>155</v>
      </c>
      <c r="J33" s="75">
        <v>58</v>
      </c>
      <c r="K33" s="71">
        <f t="shared" si="26"/>
        <v>17.981438515081209</v>
      </c>
      <c r="L33" s="71">
        <f t="shared" si="27"/>
        <v>6.7285382830626457</v>
      </c>
      <c r="N33" s="36" t="s">
        <v>60</v>
      </c>
      <c r="O33" s="73">
        <v>1.08</v>
      </c>
      <c r="P33" s="73">
        <v>0.74</v>
      </c>
      <c r="Q33" s="21">
        <f t="shared" si="28"/>
        <v>0.45945945945945965</v>
      </c>
      <c r="S33" s="36" t="s">
        <v>60</v>
      </c>
      <c r="T33" s="73">
        <v>2.44</v>
      </c>
      <c r="U33" s="73">
        <v>1.86</v>
      </c>
      <c r="V33" s="21">
        <f t="shared" si="29"/>
        <v>0.31182795698924726</v>
      </c>
      <c r="X33" s="36" t="s">
        <v>60</v>
      </c>
      <c r="Y33" s="73">
        <v>5.45</v>
      </c>
      <c r="Z33" s="73">
        <v>4.09</v>
      </c>
      <c r="AA33" s="21">
        <f t="shared" si="30"/>
        <v>0.33251833740831316</v>
      </c>
    </row>
    <row r="34" spans="2:27" ht="14.4" x14ac:dyDescent="0.3">
      <c r="B34" s="10"/>
      <c r="C34" s="68" t="s">
        <v>106</v>
      </c>
      <c r="D34" s="75">
        <v>12637</v>
      </c>
      <c r="E34" s="75">
        <v>1825</v>
      </c>
      <c r="F34" s="75">
        <v>244</v>
      </c>
      <c r="G34" s="76">
        <v>7.49</v>
      </c>
      <c r="H34" s="74">
        <f t="shared" si="25"/>
        <v>0.14441718762364486</v>
      </c>
      <c r="I34" s="75">
        <v>122</v>
      </c>
      <c r="J34" s="75">
        <v>56</v>
      </c>
      <c r="K34" s="71">
        <f t="shared" si="26"/>
        <v>16.288384512683578</v>
      </c>
      <c r="L34" s="71">
        <f t="shared" si="27"/>
        <v>7.4766355140186915</v>
      </c>
      <c r="N34" s="36" t="s">
        <v>107</v>
      </c>
      <c r="O34" s="70">
        <f t="shared" ref="O34:P34" si="31">O32/O29</f>
        <v>0.18638077285579641</v>
      </c>
      <c r="P34" s="70">
        <f t="shared" si="31"/>
        <v>0.15227851684121144</v>
      </c>
      <c r="Q34" s="70">
        <f t="shared" ref="Q34:Q35" si="32">O34-P34</f>
        <v>3.410225601458497E-2</v>
      </c>
      <c r="R34" s="72"/>
      <c r="S34" s="36" t="s">
        <v>107</v>
      </c>
      <c r="T34" s="70">
        <f t="shared" ref="T34:U34" si="33">T32/T29</f>
        <v>0.20983185427370388</v>
      </c>
      <c r="U34" s="70">
        <f t="shared" si="33"/>
        <v>0.21330452230282451</v>
      </c>
      <c r="V34" s="70">
        <f t="shared" ref="V34:V35" si="34">T34-U34</f>
        <v>-3.4726680291206347E-3</v>
      </c>
      <c r="X34" s="36" t="s">
        <v>107</v>
      </c>
      <c r="Y34" s="70">
        <f t="shared" ref="Y34:Z34" si="35">Y32/Y29</f>
        <v>0.19661535425300966</v>
      </c>
      <c r="Z34" s="70">
        <f t="shared" si="35"/>
        <v>0.16826435096424947</v>
      </c>
      <c r="AA34" s="70">
        <f t="shared" ref="AA34:AA35" si="36">Y34-Z34</f>
        <v>2.8351003288760196E-2</v>
      </c>
    </row>
    <row r="35" spans="2:27" ht="14.4" x14ac:dyDescent="0.3">
      <c r="B35" s="10"/>
      <c r="C35" s="26" t="s">
        <v>108</v>
      </c>
      <c r="D35" s="75">
        <v>12237</v>
      </c>
      <c r="E35" s="75">
        <v>1886</v>
      </c>
      <c r="F35" s="75">
        <v>243</v>
      </c>
      <c r="G35" s="76">
        <v>7.74</v>
      </c>
      <c r="H35" s="74">
        <f t="shared" si="25"/>
        <v>0.15412274250224728</v>
      </c>
      <c r="I35" s="75">
        <v>149</v>
      </c>
      <c r="J35" s="75">
        <v>73</v>
      </c>
      <c r="K35" s="71">
        <f t="shared" si="26"/>
        <v>19.250645994832041</v>
      </c>
      <c r="L35" s="71">
        <f t="shared" si="27"/>
        <v>9.4315245478036172</v>
      </c>
      <c r="N35" s="36" t="s">
        <v>36</v>
      </c>
      <c r="O35" s="69">
        <f t="shared" ref="O35:P35" si="37">(O29-O31+O30)/O30</f>
        <v>712.86440677966107</v>
      </c>
      <c r="P35" s="69">
        <f t="shared" si="37"/>
        <v>527.1682242990654</v>
      </c>
      <c r="Q35" s="77">
        <f t="shared" si="32"/>
        <v>185.69618248059567</v>
      </c>
      <c r="S35" s="36" t="s">
        <v>36</v>
      </c>
      <c r="T35" s="69">
        <f t="shared" ref="T35:U35" si="38">(T29-T31+T30)/T30</f>
        <v>542.25</v>
      </c>
      <c r="U35" s="69">
        <f t="shared" si="38"/>
        <v>572.66666666666663</v>
      </c>
      <c r="V35" s="29">
        <f t="shared" si="34"/>
        <v>-30.416666666666629</v>
      </c>
      <c r="X35" s="36" t="s">
        <v>36</v>
      </c>
      <c r="Y35" s="69">
        <f t="shared" ref="Y35:Z35" si="39">(Y29-Y31+Y30)/Y30</f>
        <v>644.69747899159677</v>
      </c>
      <c r="Z35" s="69">
        <f t="shared" si="39"/>
        <v>244.61204013377926</v>
      </c>
      <c r="AA35" s="77">
        <f t="shared" si="36"/>
        <v>400.08543885781751</v>
      </c>
    </row>
    <row r="36" spans="2:27" ht="14.4" x14ac:dyDescent="0.3">
      <c r="B36" s="10"/>
      <c r="C36" s="26" t="s">
        <v>109</v>
      </c>
      <c r="D36" s="75">
        <v>10680</v>
      </c>
      <c r="E36" s="78">
        <v>1431</v>
      </c>
      <c r="F36" s="75">
        <v>243</v>
      </c>
      <c r="G36" s="79">
        <v>5.83</v>
      </c>
      <c r="H36" s="74">
        <f t="shared" si="25"/>
        <v>0.13398876404494381</v>
      </c>
      <c r="I36" s="75">
        <v>158</v>
      </c>
      <c r="J36" s="75">
        <v>112</v>
      </c>
      <c r="K36" s="71">
        <f t="shared" si="26"/>
        <v>27.101200686106345</v>
      </c>
      <c r="L36" s="71">
        <f t="shared" si="27"/>
        <v>19.21097770154374</v>
      </c>
    </row>
    <row r="37" spans="2:27" ht="14.4" x14ac:dyDescent="0.3">
      <c r="B37" s="61" t="s">
        <v>110</v>
      </c>
      <c r="C37" s="68" t="s">
        <v>111</v>
      </c>
      <c r="D37" s="75">
        <v>9640</v>
      </c>
      <c r="E37" s="75">
        <v>1523</v>
      </c>
      <c r="F37" s="75">
        <v>223</v>
      </c>
      <c r="G37" s="80">
        <v>6.53</v>
      </c>
      <c r="H37" s="74">
        <f t="shared" si="25"/>
        <v>0.15798755186721991</v>
      </c>
      <c r="I37" s="75">
        <v>162</v>
      </c>
      <c r="J37" s="75">
        <v>108</v>
      </c>
      <c r="K37" s="71">
        <f t="shared" si="26"/>
        <v>24.808575803981622</v>
      </c>
      <c r="L37" s="71">
        <f t="shared" si="27"/>
        <v>16.539050535987748</v>
      </c>
      <c r="S37" s="24" t="s">
        <v>112</v>
      </c>
      <c r="T37" s="31" t="s">
        <v>92</v>
      </c>
      <c r="U37" s="31" t="s">
        <v>93</v>
      </c>
      <c r="V37" s="24" t="s">
        <v>113</v>
      </c>
      <c r="W37" s="24" t="s">
        <v>25</v>
      </c>
    </row>
    <row r="38" spans="2:27" ht="14.4" x14ac:dyDescent="0.3">
      <c r="B38" s="61"/>
      <c r="C38" s="26" t="s">
        <v>114</v>
      </c>
      <c r="D38" s="81">
        <v>7548</v>
      </c>
      <c r="E38" s="75">
        <v>1386</v>
      </c>
      <c r="F38" s="75">
        <v>240</v>
      </c>
      <c r="G38" s="80">
        <v>58.1</v>
      </c>
      <c r="H38" s="74">
        <f t="shared" si="25"/>
        <v>0.18362480127186009</v>
      </c>
      <c r="I38" s="75">
        <v>1417</v>
      </c>
      <c r="J38" s="75">
        <v>975</v>
      </c>
      <c r="K38" s="71">
        <f t="shared" si="26"/>
        <v>24.388984509466436</v>
      </c>
      <c r="L38" s="71">
        <f t="shared" si="27"/>
        <v>16.781411359724611</v>
      </c>
      <c r="S38" s="10" t="s">
        <v>115</v>
      </c>
      <c r="T38" s="75">
        <v>2556</v>
      </c>
      <c r="U38" s="36">
        <v>1827</v>
      </c>
      <c r="V38" s="37">
        <f t="shared" ref="V38:V44" si="40">T38/$T$46</f>
        <v>0.75084161237067371</v>
      </c>
      <c r="W38" s="21">
        <f t="shared" ref="W38:W44" si="41">(T38/U38)-1</f>
        <v>0.39901477832512322</v>
      </c>
    </row>
    <row r="39" spans="2:27" ht="14.4" x14ac:dyDescent="0.3">
      <c r="B39" s="61" t="s">
        <v>116</v>
      </c>
      <c r="C39" s="26" t="s">
        <v>117</v>
      </c>
      <c r="D39" s="75">
        <v>7599</v>
      </c>
      <c r="E39" s="75">
        <v>1197</v>
      </c>
      <c r="F39" s="75">
        <v>80</v>
      </c>
      <c r="G39" s="76">
        <v>149</v>
      </c>
      <c r="H39" s="74">
        <f t="shared" si="25"/>
        <v>0.15752072641136991</v>
      </c>
      <c r="I39" s="75">
        <v>4140</v>
      </c>
      <c r="J39" s="75">
        <v>1040</v>
      </c>
      <c r="K39" s="71">
        <f t="shared" si="26"/>
        <v>27.785234899328859</v>
      </c>
      <c r="L39" s="71">
        <f t="shared" si="27"/>
        <v>6.9798657718120802</v>
      </c>
      <c r="S39" s="10" t="s">
        <v>118</v>
      </c>
      <c r="T39" s="75">
        <v>67</v>
      </c>
      <c r="U39" s="36">
        <v>63</v>
      </c>
      <c r="V39" s="37">
        <f t="shared" si="40"/>
        <v>1.9681685457290744E-2</v>
      </c>
      <c r="W39" s="21">
        <f t="shared" si="41"/>
        <v>6.3492063492063489E-2</v>
      </c>
    </row>
    <row r="40" spans="2:27" ht="14.4" x14ac:dyDescent="0.3">
      <c r="B40" s="10"/>
      <c r="C40" s="68" t="s">
        <v>119</v>
      </c>
      <c r="D40" s="75">
        <v>6955</v>
      </c>
      <c r="E40" s="75">
        <v>951</v>
      </c>
      <c r="F40" s="75">
        <v>80</v>
      </c>
      <c r="G40" s="76">
        <v>118</v>
      </c>
      <c r="H40" s="74">
        <f t="shared" si="25"/>
        <v>0.13673616103522646</v>
      </c>
      <c r="I40" s="75">
        <v>1375</v>
      </c>
      <c r="J40" s="75">
        <v>895</v>
      </c>
      <c r="K40" s="71">
        <f t="shared" si="26"/>
        <v>11.652542372881356</v>
      </c>
      <c r="L40" s="71">
        <f t="shared" si="27"/>
        <v>7.5847457627118642</v>
      </c>
      <c r="S40" s="82" t="s">
        <v>120</v>
      </c>
      <c r="T40" s="83">
        <v>-308</v>
      </c>
      <c r="U40" s="36">
        <v>66</v>
      </c>
      <c r="V40" s="37">
        <f t="shared" si="40"/>
        <v>-9.0477001803664914E-2</v>
      </c>
      <c r="W40" s="21">
        <f t="shared" si="41"/>
        <v>-5.666666666666667</v>
      </c>
    </row>
    <row r="41" spans="2:27" ht="14.4" x14ac:dyDescent="0.3">
      <c r="B41" s="10"/>
      <c r="C41" s="26" t="s">
        <v>121</v>
      </c>
      <c r="D41" s="75">
        <v>6898</v>
      </c>
      <c r="E41" s="75">
        <v>910</v>
      </c>
      <c r="F41" s="75">
        <v>80</v>
      </c>
      <c r="G41" s="76">
        <v>113</v>
      </c>
      <c r="H41" s="74">
        <f t="shared" si="25"/>
        <v>0.13192229631777327</v>
      </c>
      <c r="I41" s="75">
        <v>1583</v>
      </c>
      <c r="J41" s="75">
        <v>1107</v>
      </c>
      <c r="K41" s="71">
        <f t="shared" si="26"/>
        <v>14.008849557522124</v>
      </c>
      <c r="L41" s="71">
        <f t="shared" si="27"/>
        <v>9.7964601769911503</v>
      </c>
      <c r="S41" s="10" t="s">
        <v>122</v>
      </c>
      <c r="T41" s="75">
        <v>666</v>
      </c>
      <c r="U41" s="36">
        <v>628</v>
      </c>
      <c r="V41" s="37">
        <f t="shared" si="40"/>
        <v>0.19564182857545726</v>
      </c>
      <c r="W41" s="21">
        <f t="shared" si="41"/>
        <v>6.0509554140127486E-2</v>
      </c>
    </row>
    <row r="42" spans="2:27" ht="14.4" x14ac:dyDescent="0.3">
      <c r="B42" s="10"/>
      <c r="C42" s="26" t="s">
        <v>123</v>
      </c>
      <c r="D42" s="75">
        <v>6510</v>
      </c>
      <c r="E42" s="81">
        <v>846</v>
      </c>
      <c r="F42" s="75">
        <v>80</v>
      </c>
      <c r="G42" s="76">
        <v>105</v>
      </c>
      <c r="H42" s="74">
        <f t="shared" si="25"/>
        <v>0.12995391705069123</v>
      </c>
      <c r="I42" s="75">
        <v>1888</v>
      </c>
      <c r="J42" s="75">
        <v>1293</v>
      </c>
      <c r="K42" s="71">
        <f t="shared" si="26"/>
        <v>17.980952380952381</v>
      </c>
      <c r="L42" s="71">
        <f t="shared" si="27"/>
        <v>12.314285714285715</v>
      </c>
      <c r="S42" s="10" t="s">
        <v>124</v>
      </c>
      <c r="T42" s="69">
        <v>1.18</v>
      </c>
      <c r="U42" s="69">
        <v>1.07</v>
      </c>
      <c r="V42" s="37">
        <f t="shared" si="40"/>
        <v>3.4663266924780711E-4</v>
      </c>
      <c r="W42" s="21">
        <f t="shared" si="41"/>
        <v>0.10280373831775691</v>
      </c>
    </row>
    <row r="43" spans="2:27" ht="14.4" x14ac:dyDescent="0.3">
      <c r="B43" s="75"/>
      <c r="C43" s="68" t="s">
        <v>125</v>
      </c>
      <c r="D43" s="75">
        <v>6022</v>
      </c>
      <c r="E43" s="75">
        <v>877</v>
      </c>
      <c r="F43" s="75">
        <v>80</v>
      </c>
      <c r="G43" s="76">
        <v>109</v>
      </c>
      <c r="H43" s="74">
        <f t="shared" si="25"/>
        <v>0.14563268017270009</v>
      </c>
      <c r="I43" s="75">
        <v>2212</v>
      </c>
      <c r="J43" s="75">
        <v>1602</v>
      </c>
      <c r="K43" s="71">
        <f t="shared" si="26"/>
        <v>20.293577981651374</v>
      </c>
      <c r="L43" s="71">
        <f t="shared" si="27"/>
        <v>14.697247706422019</v>
      </c>
      <c r="S43" s="10" t="s">
        <v>126</v>
      </c>
      <c r="T43" s="75">
        <v>108</v>
      </c>
      <c r="U43" s="36">
        <v>109</v>
      </c>
      <c r="V43" s="37">
        <f t="shared" si="40"/>
        <v>3.1725701931155231E-2</v>
      </c>
      <c r="W43" s="21">
        <f t="shared" si="41"/>
        <v>-9.1743119266054496E-3</v>
      </c>
    </row>
    <row r="44" spans="2:27" ht="14.4" x14ac:dyDescent="0.3">
      <c r="B44" s="10"/>
      <c r="C44" s="26" t="s">
        <v>127</v>
      </c>
      <c r="D44" s="75">
        <v>5777</v>
      </c>
      <c r="E44" s="81">
        <v>737</v>
      </c>
      <c r="F44" s="75">
        <v>80</v>
      </c>
      <c r="G44" s="84">
        <v>92</v>
      </c>
      <c r="H44" s="74">
        <f t="shared" si="25"/>
        <v>0.12757486584732561</v>
      </c>
      <c r="I44" s="75">
        <v>2252</v>
      </c>
      <c r="J44" s="75">
        <v>830</v>
      </c>
      <c r="K44" s="71">
        <f t="shared" si="26"/>
        <v>24.478260869565219</v>
      </c>
      <c r="L44" s="71">
        <f t="shared" si="27"/>
        <v>9.0217391304347831</v>
      </c>
      <c r="S44" s="10" t="s">
        <v>128</v>
      </c>
      <c r="T44" s="75">
        <v>314</v>
      </c>
      <c r="U44" s="36">
        <v>241</v>
      </c>
      <c r="V44" s="37">
        <f t="shared" si="40"/>
        <v>9.2239540799840203E-2</v>
      </c>
      <c r="W44" s="21">
        <f t="shared" si="41"/>
        <v>0.30290456431535273</v>
      </c>
    </row>
    <row r="45" spans="2:27" ht="14.4" x14ac:dyDescent="0.3">
      <c r="B45" s="10"/>
      <c r="C45" s="26" t="s">
        <v>129</v>
      </c>
      <c r="D45" s="75">
        <v>5632</v>
      </c>
      <c r="E45" s="81">
        <v>753</v>
      </c>
      <c r="F45" s="75">
        <v>80</v>
      </c>
      <c r="G45" s="84">
        <v>94</v>
      </c>
      <c r="H45" s="74">
        <f t="shared" si="25"/>
        <v>0.13370028409090909</v>
      </c>
      <c r="I45" s="75">
        <v>1360</v>
      </c>
      <c r="J45" s="75">
        <v>545</v>
      </c>
      <c r="K45" s="71">
        <f t="shared" si="26"/>
        <v>14.468085106382979</v>
      </c>
      <c r="L45" s="71">
        <f t="shared" si="27"/>
        <v>5.7978723404255321</v>
      </c>
    </row>
    <row r="46" spans="2:27" ht="14.4" x14ac:dyDescent="0.3">
      <c r="B46" s="10"/>
      <c r="C46" s="68" t="s">
        <v>130</v>
      </c>
      <c r="D46" s="85">
        <v>4451</v>
      </c>
      <c r="E46" s="75">
        <v>837</v>
      </c>
      <c r="F46" s="75">
        <v>80</v>
      </c>
      <c r="G46" s="76">
        <v>104.7</v>
      </c>
      <c r="H46" s="74">
        <f t="shared" si="25"/>
        <v>0.18804762974612446</v>
      </c>
      <c r="I46" s="75">
        <v>2180</v>
      </c>
      <c r="J46" s="75">
        <v>1040</v>
      </c>
      <c r="K46" s="71">
        <f t="shared" si="26"/>
        <v>20.821394460362942</v>
      </c>
      <c r="L46" s="71">
        <f t="shared" si="27"/>
        <v>9.9331423113658062</v>
      </c>
      <c r="S46" s="86" t="s">
        <v>131</v>
      </c>
      <c r="T46" s="87">
        <f t="shared" ref="T46:U46" si="42">SUM(T38:T44)</f>
        <v>3404.18</v>
      </c>
      <c r="U46" s="87">
        <f t="shared" si="42"/>
        <v>2935.07</v>
      </c>
      <c r="V46" s="88">
        <f>T46/$T$46</f>
        <v>1</v>
      </c>
      <c r="W46" s="89">
        <f>(T46/U46)-1</f>
        <v>0.15982923746282029</v>
      </c>
    </row>
    <row r="47" spans="2:27" ht="14.4" x14ac:dyDescent="0.3">
      <c r="B47" s="10"/>
      <c r="C47" s="26" t="s">
        <v>132</v>
      </c>
      <c r="D47" s="75">
        <v>3952</v>
      </c>
      <c r="E47" s="75">
        <v>718</v>
      </c>
      <c r="F47" s="75">
        <v>80</v>
      </c>
      <c r="G47" s="76">
        <v>90</v>
      </c>
      <c r="H47" s="74">
        <f t="shared" si="25"/>
        <v>0.18168016194331985</v>
      </c>
      <c r="I47" s="75">
        <v>1794</v>
      </c>
      <c r="J47" s="75">
        <v>815</v>
      </c>
      <c r="K47" s="71">
        <f t="shared" si="26"/>
        <v>19.933333333333334</v>
      </c>
      <c r="L47" s="71">
        <f t="shared" si="27"/>
        <v>9.0555555555555554</v>
      </c>
    </row>
    <row r="48" spans="2:27" ht="14.4" x14ac:dyDescent="0.3">
      <c r="B48" s="10"/>
      <c r="C48" s="26" t="s">
        <v>133</v>
      </c>
      <c r="D48" s="90">
        <v>3535</v>
      </c>
      <c r="E48" s="90">
        <v>583</v>
      </c>
      <c r="F48" s="75">
        <v>80</v>
      </c>
      <c r="G48" s="91">
        <v>72.88</v>
      </c>
      <c r="H48" s="74">
        <f t="shared" si="25"/>
        <v>0.16492220650636491</v>
      </c>
      <c r="I48" s="75">
        <v>1398</v>
      </c>
      <c r="J48" s="75">
        <v>660</v>
      </c>
      <c r="K48" s="71">
        <f t="shared" si="26"/>
        <v>19.182217343578486</v>
      </c>
      <c r="L48" s="71">
        <f t="shared" si="27"/>
        <v>9.0559824368825463</v>
      </c>
    </row>
    <row r="49" spans="2:15" ht="14.4" x14ac:dyDescent="0.3">
      <c r="B49" s="10"/>
      <c r="C49" s="68" t="s">
        <v>134</v>
      </c>
      <c r="D49" s="90">
        <v>3212</v>
      </c>
      <c r="E49" s="90">
        <v>446</v>
      </c>
      <c r="F49" s="75">
        <v>80</v>
      </c>
      <c r="G49" s="91">
        <v>55.79</v>
      </c>
      <c r="H49" s="74">
        <f t="shared" si="25"/>
        <v>0.13885429638854296</v>
      </c>
      <c r="I49" s="75">
        <v>753</v>
      </c>
      <c r="J49" s="75">
        <v>345</v>
      </c>
      <c r="K49" s="71">
        <f t="shared" si="26"/>
        <v>13.497042480731315</v>
      </c>
      <c r="L49" s="71">
        <f t="shared" si="27"/>
        <v>6.1839039254346657</v>
      </c>
    </row>
    <row r="50" spans="2:15" ht="14.4" x14ac:dyDescent="0.3">
      <c r="B50" s="10"/>
      <c r="C50" s="26" t="s">
        <v>135</v>
      </c>
      <c r="D50" s="90">
        <v>2791</v>
      </c>
      <c r="E50" s="90">
        <v>302</v>
      </c>
      <c r="F50" s="75">
        <v>80</v>
      </c>
      <c r="G50" s="91">
        <v>37.869999999999997</v>
      </c>
      <c r="H50" s="74">
        <f t="shared" si="25"/>
        <v>0.10820494446434969</v>
      </c>
      <c r="I50" s="75">
        <v>699</v>
      </c>
      <c r="J50" s="75">
        <v>181</v>
      </c>
      <c r="K50" s="71">
        <f t="shared" si="26"/>
        <v>18.457882228677054</v>
      </c>
      <c r="L50" s="71">
        <f t="shared" si="27"/>
        <v>4.7795088460522841</v>
      </c>
    </row>
    <row r="51" spans="2:15" ht="14.4" x14ac:dyDescent="0.3">
      <c r="B51" s="10"/>
      <c r="C51" s="26" t="s">
        <v>136</v>
      </c>
      <c r="D51" s="90">
        <v>2571</v>
      </c>
      <c r="E51" s="90">
        <v>274</v>
      </c>
      <c r="F51" s="75">
        <v>80</v>
      </c>
      <c r="G51" s="91">
        <v>34.36</v>
      </c>
      <c r="H51" s="74">
        <f t="shared" si="25"/>
        <v>0.10657331777518475</v>
      </c>
      <c r="I51" s="75">
        <v>232</v>
      </c>
      <c r="J51" s="90">
        <v>126</v>
      </c>
      <c r="K51" s="71">
        <f t="shared" si="26"/>
        <v>6.7520372526193251</v>
      </c>
      <c r="L51" s="71">
        <f t="shared" si="27"/>
        <v>3.6670547147846335</v>
      </c>
      <c r="N51" s="92" t="s">
        <v>137</v>
      </c>
      <c r="O51" s="93"/>
    </row>
    <row r="52" spans="2:15" ht="14.4" x14ac:dyDescent="0.3">
      <c r="B52" s="10"/>
      <c r="C52" s="68" t="s">
        <v>138</v>
      </c>
      <c r="D52" s="90">
        <v>1942</v>
      </c>
      <c r="E52" s="90">
        <v>200</v>
      </c>
      <c r="F52" s="75">
        <v>80</v>
      </c>
      <c r="G52" s="91">
        <v>24.96</v>
      </c>
      <c r="H52" s="74">
        <f t="shared" si="25"/>
        <v>0.10298661174047374</v>
      </c>
      <c r="I52" s="75">
        <v>152</v>
      </c>
      <c r="J52" s="90">
        <v>44.05</v>
      </c>
      <c r="K52" s="71">
        <f t="shared" si="26"/>
        <v>6.0897435897435894</v>
      </c>
      <c r="L52" s="71">
        <f t="shared" si="27"/>
        <v>1.7648237179487178</v>
      </c>
      <c r="N52" s="15"/>
      <c r="O52" s="94"/>
    </row>
    <row r="53" spans="2:15" ht="14.4" x14ac:dyDescent="0.3">
      <c r="H53" s="2"/>
      <c r="N53" s="10" t="s">
        <v>139</v>
      </c>
      <c r="O53" s="95">
        <v>0.51139999999999997</v>
      </c>
    </row>
    <row r="54" spans="2:15" ht="14.4" x14ac:dyDescent="0.3">
      <c r="H54" s="2"/>
      <c r="N54" s="10" t="s">
        <v>140</v>
      </c>
      <c r="O54" s="95">
        <v>0.29820000000000002</v>
      </c>
    </row>
    <row r="55" spans="2:15" ht="14.4" x14ac:dyDescent="0.3">
      <c r="H55" s="2"/>
      <c r="N55" s="10" t="s">
        <v>141</v>
      </c>
      <c r="O55" s="95">
        <v>0.1158</v>
      </c>
    </row>
    <row r="56" spans="2:15" ht="14.4" x14ac:dyDescent="0.3">
      <c r="H56" s="2"/>
      <c r="N56" s="10" t="s">
        <v>142</v>
      </c>
      <c r="O56" s="95">
        <v>6.0199999999999997E-2</v>
      </c>
    </row>
    <row r="57" spans="2:15" ht="14.4" x14ac:dyDescent="0.3">
      <c r="H57" s="2"/>
    </row>
    <row r="58" spans="2:15" ht="14.4" x14ac:dyDescent="0.3">
      <c r="G58" s="96"/>
      <c r="H58" s="2"/>
    </row>
    <row r="59" spans="2:15" ht="14.4" x14ac:dyDescent="0.3">
      <c r="C59" s="1"/>
      <c r="H59" s="2"/>
    </row>
    <row r="60" spans="2:15" ht="14.4" x14ac:dyDescent="0.3">
      <c r="C60" s="1"/>
      <c r="H60" s="2"/>
    </row>
    <row r="61" spans="2:15" ht="14.4" x14ac:dyDescent="0.3">
      <c r="C61" s="1"/>
      <c r="D61" s="96"/>
      <c r="H61" s="2"/>
    </row>
    <row r="62" spans="2:15" ht="14.4" x14ac:dyDescent="0.3">
      <c r="C62" s="1"/>
      <c r="H62" s="2"/>
    </row>
    <row r="63" spans="2:15" ht="14.4" x14ac:dyDescent="0.3">
      <c r="C63" s="1"/>
      <c r="H63" s="2"/>
    </row>
    <row r="64" spans="2:15" ht="14.4" x14ac:dyDescent="0.3">
      <c r="C64" s="1"/>
      <c r="H64" s="2"/>
    </row>
    <row r="65" spans="3:8" ht="14.4" x14ac:dyDescent="0.3">
      <c r="C65" s="1"/>
      <c r="H65" s="2"/>
    </row>
    <row r="66" spans="3:8" ht="14.4" x14ac:dyDescent="0.3">
      <c r="H66" s="2"/>
    </row>
    <row r="67" spans="3:8" ht="14.4" x14ac:dyDescent="0.3">
      <c r="C67" s="97"/>
      <c r="D67" s="2"/>
      <c r="H67" s="2"/>
    </row>
    <row r="68" spans="3:8" ht="14.4" x14ac:dyDescent="0.3">
      <c r="C68" s="97"/>
      <c r="D68" s="98"/>
      <c r="H68" s="2"/>
    </row>
    <row r="69" spans="3:8" ht="14.4" x14ac:dyDescent="0.3">
      <c r="C69" s="97"/>
      <c r="D69" s="98"/>
      <c r="H69" s="2"/>
    </row>
    <row r="70" spans="3:8" ht="14.4" x14ac:dyDescent="0.3">
      <c r="D70" s="96"/>
      <c r="H70" s="2"/>
    </row>
    <row r="71" spans="3:8" ht="14.4" x14ac:dyDescent="0.3">
      <c r="H71" s="2"/>
    </row>
    <row r="72" spans="3:8" ht="14.4" x14ac:dyDescent="0.3">
      <c r="H72" s="2"/>
    </row>
    <row r="73" spans="3:8" ht="14.4" x14ac:dyDescent="0.3">
      <c r="H73" s="2"/>
    </row>
    <row r="74" spans="3:8" ht="14.4" x14ac:dyDescent="0.3">
      <c r="C74" s="1"/>
      <c r="H74" s="2"/>
    </row>
    <row r="75" spans="3:8" ht="14.4" x14ac:dyDescent="0.3">
      <c r="C75" s="1"/>
      <c r="H75" s="2"/>
    </row>
    <row r="76" spans="3:8" ht="14.4" x14ac:dyDescent="0.3">
      <c r="C76" s="1"/>
      <c r="H76" s="2"/>
    </row>
    <row r="77" spans="3:8" ht="14.4" x14ac:dyDescent="0.3">
      <c r="C77" s="1"/>
      <c r="H77" s="2"/>
    </row>
    <row r="78" spans="3:8" ht="14.4" x14ac:dyDescent="0.3">
      <c r="C78" s="1"/>
      <c r="H78" s="2"/>
    </row>
    <row r="79" spans="3:8" ht="14.4" x14ac:dyDescent="0.3">
      <c r="C79" s="1"/>
      <c r="H79" s="2"/>
    </row>
    <row r="80" spans="3:8" ht="14.4" x14ac:dyDescent="0.3">
      <c r="C80" s="1"/>
      <c r="H80" s="2"/>
    </row>
    <row r="81" spans="3:8" ht="14.4" x14ac:dyDescent="0.3">
      <c r="C81" s="1"/>
      <c r="H81" s="2"/>
    </row>
    <row r="82" spans="3:8" ht="14.4" x14ac:dyDescent="0.3">
      <c r="C82" s="1"/>
      <c r="H82" s="2"/>
    </row>
    <row r="83" spans="3:8" ht="14.4" x14ac:dyDescent="0.3">
      <c r="C83" s="1"/>
      <c r="H83" s="2"/>
    </row>
    <row r="84" spans="3:8" ht="14.4" x14ac:dyDescent="0.3">
      <c r="C84" s="1"/>
      <c r="H84" s="2"/>
    </row>
    <row r="85" spans="3:8" ht="14.4" x14ac:dyDescent="0.3">
      <c r="C85" s="1"/>
      <c r="H85" s="2"/>
    </row>
    <row r="86" spans="3:8" ht="14.4" x14ac:dyDescent="0.3">
      <c r="C86" s="1"/>
      <c r="H86" s="2"/>
    </row>
    <row r="87" spans="3:8" ht="14.4" x14ac:dyDescent="0.3">
      <c r="C87" s="1"/>
      <c r="H87" s="2"/>
    </row>
    <row r="88" spans="3:8" ht="14.4" x14ac:dyDescent="0.3">
      <c r="C88" s="1"/>
      <c r="H88" s="2"/>
    </row>
    <row r="89" spans="3:8" ht="14.4" x14ac:dyDescent="0.3">
      <c r="C89" s="1"/>
      <c r="H89" s="2"/>
    </row>
    <row r="90" spans="3:8" ht="14.4" x14ac:dyDescent="0.3">
      <c r="C90" s="1"/>
      <c r="H90" s="2"/>
    </row>
    <row r="91" spans="3:8" ht="14.4" x14ac:dyDescent="0.3">
      <c r="C91" s="1"/>
      <c r="H91" s="2"/>
    </row>
    <row r="92" spans="3:8" ht="14.4" x14ac:dyDescent="0.3">
      <c r="C92" s="1"/>
      <c r="H92" s="2"/>
    </row>
    <row r="93" spans="3:8" ht="14.4" x14ac:dyDescent="0.3">
      <c r="C93" s="1"/>
      <c r="H93" s="2"/>
    </row>
    <row r="94" spans="3:8" ht="14.4" x14ac:dyDescent="0.3">
      <c r="C94" s="1"/>
      <c r="H94" s="2"/>
    </row>
    <row r="95" spans="3:8" ht="14.4" x14ac:dyDescent="0.3">
      <c r="C95" s="1"/>
      <c r="H95" s="2"/>
    </row>
    <row r="96" spans="3:8" ht="14.4" x14ac:dyDescent="0.3">
      <c r="C96" s="1"/>
      <c r="H96" s="2"/>
    </row>
    <row r="97" spans="3:8" ht="14.4" x14ac:dyDescent="0.3">
      <c r="C97" s="1"/>
      <c r="H97" s="2"/>
    </row>
    <row r="98" spans="3:8" ht="14.4" x14ac:dyDescent="0.3">
      <c r="C98" s="1"/>
      <c r="H98" s="2"/>
    </row>
    <row r="99" spans="3:8" ht="14.4" x14ac:dyDescent="0.3">
      <c r="C99" s="1"/>
      <c r="H99" s="2"/>
    </row>
    <row r="100" spans="3:8" ht="14.4" x14ac:dyDescent="0.3">
      <c r="C100" s="1"/>
      <c r="H100" s="2"/>
    </row>
    <row r="101" spans="3:8" ht="14.4" x14ac:dyDescent="0.3">
      <c r="C101" s="1"/>
      <c r="H101" s="2"/>
    </row>
    <row r="102" spans="3:8" ht="14.4" x14ac:dyDescent="0.3">
      <c r="C102" s="1"/>
      <c r="H102" s="2"/>
    </row>
    <row r="103" spans="3:8" ht="14.4" x14ac:dyDescent="0.3">
      <c r="C103" s="1"/>
      <c r="H103" s="2"/>
    </row>
    <row r="104" spans="3:8" ht="14.4" x14ac:dyDescent="0.3">
      <c r="C104" s="1"/>
      <c r="H104" s="2"/>
    </row>
    <row r="105" spans="3:8" ht="14.4" x14ac:dyDescent="0.3">
      <c r="C105" s="1"/>
      <c r="H105" s="2"/>
    </row>
    <row r="106" spans="3:8" ht="14.4" x14ac:dyDescent="0.3">
      <c r="C106" s="1"/>
      <c r="H106" s="2"/>
    </row>
    <row r="107" spans="3:8" ht="14.4" x14ac:dyDescent="0.3">
      <c r="C107" s="1"/>
      <c r="H107" s="2"/>
    </row>
    <row r="108" spans="3:8" ht="14.4" x14ac:dyDescent="0.3">
      <c r="C108" s="1"/>
      <c r="H108" s="2"/>
    </row>
    <row r="109" spans="3:8" ht="14.4" x14ac:dyDescent="0.3">
      <c r="C109" s="1"/>
      <c r="H109" s="2"/>
    </row>
    <row r="110" spans="3:8" ht="14.4" x14ac:dyDescent="0.3">
      <c r="C110" s="1"/>
      <c r="H110" s="2"/>
    </row>
    <row r="111" spans="3:8" ht="14.4" x14ac:dyDescent="0.3">
      <c r="C111" s="1"/>
      <c r="H111" s="2"/>
    </row>
    <row r="112" spans="3:8" ht="14.4" x14ac:dyDescent="0.3">
      <c r="C112" s="1"/>
      <c r="H112" s="2"/>
    </row>
    <row r="113" spans="3:8" ht="14.4" x14ac:dyDescent="0.3">
      <c r="C113" s="1"/>
      <c r="H113" s="2"/>
    </row>
    <row r="114" spans="3:8" ht="14.4" x14ac:dyDescent="0.3">
      <c r="C114" s="1"/>
      <c r="H114" s="2"/>
    </row>
    <row r="115" spans="3:8" ht="14.4" x14ac:dyDescent="0.3">
      <c r="C115" s="1"/>
      <c r="H115" s="2"/>
    </row>
    <row r="116" spans="3:8" ht="14.4" x14ac:dyDescent="0.3">
      <c r="C116" s="1"/>
      <c r="H116" s="2"/>
    </row>
    <row r="117" spans="3:8" ht="14.4" x14ac:dyDescent="0.3">
      <c r="C117" s="1"/>
      <c r="H117" s="2"/>
    </row>
    <row r="118" spans="3:8" ht="14.4" x14ac:dyDescent="0.3">
      <c r="C118" s="1"/>
      <c r="H118" s="2"/>
    </row>
    <row r="119" spans="3:8" ht="14.4" x14ac:dyDescent="0.3">
      <c r="C119" s="1"/>
      <c r="H119" s="2"/>
    </row>
    <row r="120" spans="3:8" ht="14.4" x14ac:dyDescent="0.3">
      <c r="C120" s="1"/>
      <c r="H120" s="2"/>
    </row>
    <row r="121" spans="3:8" ht="14.4" x14ac:dyDescent="0.3">
      <c r="C121" s="1"/>
      <c r="H121" s="2"/>
    </row>
    <row r="122" spans="3:8" ht="14.4" x14ac:dyDescent="0.3">
      <c r="C122" s="1"/>
      <c r="H122" s="2"/>
    </row>
    <row r="123" spans="3:8" ht="14.4" x14ac:dyDescent="0.3">
      <c r="C123" s="1"/>
      <c r="H123" s="2"/>
    </row>
    <row r="124" spans="3:8" ht="14.4" x14ac:dyDescent="0.3">
      <c r="C124" s="1"/>
      <c r="H124" s="2"/>
    </row>
    <row r="125" spans="3:8" ht="14.4" x14ac:dyDescent="0.3">
      <c r="C125" s="1"/>
      <c r="H125" s="2"/>
    </row>
    <row r="126" spans="3:8" ht="14.4" x14ac:dyDescent="0.3">
      <c r="C126" s="1"/>
      <c r="H126" s="2"/>
    </row>
    <row r="127" spans="3:8" ht="14.4" x14ac:dyDescent="0.3">
      <c r="C127" s="1"/>
      <c r="H127" s="2"/>
    </row>
    <row r="128" spans="3:8" ht="14.4" x14ac:dyDescent="0.3">
      <c r="C128" s="1"/>
      <c r="H128" s="2"/>
    </row>
    <row r="129" spans="3:8" ht="14.4" x14ac:dyDescent="0.3">
      <c r="C129" s="1"/>
      <c r="H129" s="2"/>
    </row>
    <row r="130" spans="3:8" ht="14.4" x14ac:dyDescent="0.3">
      <c r="C130" s="1"/>
      <c r="H130" s="2"/>
    </row>
    <row r="131" spans="3:8" ht="14.4" x14ac:dyDescent="0.3">
      <c r="C131" s="1"/>
      <c r="H131" s="2"/>
    </row>
    <row r="132" spans="3:8" ht="14.4" x14ac:dyDescent="0.3">
      <c r="C132" s="1"/>
      <c r="H132" s="2"/>
    </row>
    <row r="133" spans="3:8" ht="14.4" x14ac:dyDescent="0.3">
      <c r="C133" s="1"/>
      <c r="H133" s="2"/>
    </row>
    <row r="134" spans="3:8" ht="14.4" x14ac:dyDescent="0.3">
      <c r="C134" s="1"/>
      <c r="H134" s="2"/>
    </row>
    <row r="135" spans="3:8" ht="14.4" x14ac:dyDescent="0.3">
      <c r="C135" s="1"/>
      <c r="H135" s="2"/>
    </row>
    <row r="136" spans="3:8" ht="14.4" x14ac:dyDescent="0.3">
      <c r="C136" s="1"/>
      <c r="H136" s="2"/>
    </row>
    <row r="137" spans="3:8" ht="14.4" x14ac:dyDescent="0.3">
      <c r="C137" s="1"/>
      <c r="H137" s="2"/>
    </row>
    <row r="138" spans="3:8" ht="14.4" x14ac:dyDescent="0.3">
      <c r="C138" s="1"/>
      <c r="H138" s="2"/>
    </row>
    <row r="139" spans="3:8" ht="14.4" x14ac:dyDescent="0.3">
      <c r="C139" s="1"/>
      <c r="H139" s="2"/>
    </row>
    <row r="140" spans="3:8" ht="14.4" x14ac:dyDescent="0.3">
      <c r="C140" s="1"/>
      <c r="H140" s="2"/>
    </row>
    <row r="141" spans="3:8" ht="14.4" x14ac:dyDescent="0.3">
      <c r="C141" s="1"/>
      <c r="H141" s="2"/>
    </row>
    <row r="142" spans="3:8" ht="14.4" x14ac:dyDescent="0.3">
      <c r="C142" s="1"/>
      <c r="H142" s="2"/>
    </row>
    <row r="143" spans="3:8" ht="14.4" x14ac:dyDescent="0.3">
      <c r="C143" s="1"/>
      <c r="H143" s="2"/>
    </row>
    <row r="144" spans="3:8" ht="14.4" x14ac:dyDescent="0.3">
      <c r="C144" s="1"/>
      <c r="H144" s="2"/>
    </row>
    <row r="145" spans="3:8" ht="14.4" x14ac:dyDescent="0.3">
      <c r="C145" s="1"/>
      <c r="H145" s="2"/>
    </row>
    <row r="146" spans="3:8" ht="14.4" x14ac:dyDescent="0.3">
      <c r="C146" s="1"/>
      <c r="H146" s="2"/>
    </row>
    <row r="147" spans="3:8" ht="14.4" x14ac:dyDescent="0.3">
      <c r="C147" s="1"/>
      <c r="H147" s="2"/>
    </row>
    <row r="148" spans="3:8" ht="14.4" x14ac:dyDescent="0.3">
      <c r="C148" s="1"/>
      <c r="H148" s="2"/>
    </row>
    <row r="149" spans="3:8" ht="14.4" x14ac:dyDescent="0.3">
      <c r="C149" s="1"/>
      <c r="H149" s="2"/>
    </row>
    <row r="150" spans="3:8" ht="14.4" x14ac:dyDescent="0.3">
      <c r="C150" s="1"/>
      <c r="H150" s="2"/>
    </row>
    <row r="151" spans="3:8" ht="14.4" x14ac:dyDescent="0.3">
      <c r="C151" s="1"/>
      <c r="H151" s="2"/>
    </row>
    <row r="152" spans="3:8" ht="14.4" x14ac:dyDescent="0.3">
      <c r="C152" s="1"/>
      <c r="H152" s="2"/>
    </row>
    <row r="153" spans="3:8" ht="14.4" x14ac:dyDescent="0.3">
      <c r="C153" s="1"/>
      <c r="H153" s="2"/>
    </row>
    <row r="154" spans="3:8" ht="14.4" x14ac:dyDescent="0.3">
      <c r="C154" s="1"/>
      <c r="H154" s="2"/>
    </row>
    <row r="155" spans="3:8" ht="14.4" x14ac:dyDescent="0.3">
      <c r="C155" s="1"/>
      <c r="H155" s="2"/>
    </row>
    <row r="156" spans="3:8" ht="14.4" x14ac:dyDescent="0.3">
      <c r="C156" s="1"/>
      <c r="H156" s="2"/>
    </row>
    <row r="157" spans="3:8" ht="14.4" x14ac:dyDescent="0.3">
      <c r="C157" s="1"/>
      <c r="H157" s="2"/>
    </row>
    <row r="158" spans="3:8" ht="14.4" x14ac:dyDescent="0.3">
      <c r="C158" s="1"/>
      <c r="H158" s="2"/>
    </row>
    <row r="159" spans="3:8" ht="14.4" x14ac:dyDescent="0.3">
      <c r="C159" s="1"/>
      <c r="H159" s="2"/>
    </row>
    <row r="160" spans="3:8" ht="14.4" x14ac:dyDescent="0.3">
      <c r="C160" s="1"/>
      <c r="H160" s="2"/>
    </row>
    <row r="161" spans="3:8" ht="14.4" x14ac:dyDescent="0.3">
      <c r="C161" s="1"/>
      <c r="H161" s="2"/>
    </row>
    <row r="162" spans="3:8" ht="14.4" x14ac:dyDescent="0.3">
      <c r="C162" s="1"/>
      <c r="H162" s="2"/>
    </row>
    <row r="163" spans="3:8" ht="14.4" x14ac:dyDescent="0.3">
      <c r="C163" s="1"/>
      <c r="H163" s="2"/>
    </row>
    <row r="164" spans="3:8" ht="14.4" x14ac:dyDescent="0.3">
      <c r="C164" s="1"/>
      <c r="H164" s="2"/>
    </row>
    <row r="165" spans="3:8" ht="14.4" x14ac:dyDescent="0.3">
      <c r="C165" s="1"/>
      <c r="H165" s="2"/>
    </row>
    <row r="166" spans="3:8" ht="14.4" x14ac:dyDescent="0.3">
      <c r="C166" s="1"/>
      <c r="H166" s="2"/>
    </row>
    <row r="167" spans="3:8" ht="14.4" x14ac:dyDescent="0.3">
      <c r="C167" s="1"/>
      <c r="H167" s="2"/>
    </row>
    <row r="168" spans="3:8" ht="14.4" x14ac:dyDescent="0.3">
      <c r="C168" s="1"/>
      <c r="H168" s="2"/>
    </row>
    <row r="169" spans="3:8" ht="14.4" x14ac:dyDescent="0.3">
      <c r="C169" s="1"/>
      <c r="H169" s="2"/>
    </row>
    <row r="170" spans="3:8" ht="14.4" x14ac:dyDescent="0.3">
      <c r="C170" s="1"/>
      <c r="H170" s="2"/>
    </row>
    <row r="171" spans="3:8" ht="14.4" x14ac:dyDescent="0.3">
      <c r="C171" s="1"/>
      <c r="H171" s="2"/>
    </row>
    <row r="172" spans="3:8" ht="14.4" x14ac:dyDescent="0.3">
      <c r="C172" s="1"/>
      <c r="H172" s="2"/>
    </row>
    <row r="173" spans="3:8" ht="14.4" x14ac:dyDescent="0.3">
      <c r="C173" s="1"/>
      <c r="H173" s="2"/>
    </row>
    <row r="174" spans="3:8" ht="14.4" x14ac:dyDescent="0.3">
      <c r="C174" s="1"/>
      <c r="H174" s="2"/>
    </row>
    <row r="175" spans="3:8" ht="14.4" x14ac:dyDescent="0.3">
      <c r="C175" s="1"/>
      <c r="H175" s="2"/>
    </row>
    <row r="176" spans="3:8" ht="14.4" x14ac:dyDescent="0.3">
      <c r="C176" s="1"/>
      <c r="H176" s="2"/>
    </row>
    <row r="177" spans="3:8" ht="14.4" x14ac:dyDescent="0.3">
      <c r="C177" s="1"/>
      <c r="H177" s="2"/>
    </row>
    <row r="178" spans="3:8" ht="14.4" x14ac:dyDescent="0.3">
      <c r="C178" s="1"/>
      <c r="H178" s="2"/>
    </row>
    <row r="179" spans="3:8" ht="14.4" x14ac:dyDescent="0.3">
      <c r="C179" s="1"/>
      <c r="H179" s="2"/>
    </row>
    <row r="180" spans="3:8" ht="14.4" x14ac:dyDescent="0.3">
      <c r="C180" s="1"/>
      <c r="H180" s="2"/>
    </row>
    <row r="181" spans="3:8" ht="14.4" x14ac:dyDescent="0.3">
      <c r="C181" s="1"/>
      <c r="H181" s="2"/>
    </row>
    <row r="182" spans="3:8" ht="14.4" x14ac:dyDescent="0.3">
      <c r="C182" s="1"/>
      <c r="H182" s="2"/>
    </row>
    <row r="183" spans="3:8" ht="14.4" x14ac:dyDescent="0.3">
      <c r="C183" s="1"/>
      <c r="H183" s="2"/>
    </row>
    <row r="184" spans="3:8" ht="14.4" x14ac:dyDescent="0.3">
      <c r="C184" s="1"/>
      <c r="H184" s="2"/>
    </row>
    <row r="185" spans="3:8" ht="14.4" x14ac:dyDescent="0.3">
      <c r="C185" s="1"/>
      <c r="H185" s="2"/>
    </row>
    <row r="186" spans="3:8" ht="14.4" x14ac:dyDescent="0.3">
      <c r="C186" s="1"/>
      <c r="H186" s="2"/>
    </row>
    <row r="187" spans="3:8" ht="14.4" x14ac:dyDescent="0.3">
      <c r="C187" s="1"/>
      <c r="H187" s="2"/>
    </row>
    <row r="188" spans="3:8" ht="14.4" x14ac:dyDescent="0.3">
      <c r="C188" s="1"/>
      <c r="H188" s="2"/>
    </row>
    <row r="189" spans="3:8" ht="14.4" x14ac:dyDescent="0.3">
      <c r="C189" s="1"/>
      <c r="H189" s="2"/>
    </row>
    <row r="190" spans="3:8" ht="14.4" x14ac:dyDescent="0.3">
      <c r="C190" s="1"/>
      <c r="H190" s="2"/>
    </row>
    <row r="191" spans="3:8" ht="14.4" x14ac:dyDescent="0.3">
      <c r="C191" s="1"/>
      <c r="H191" s="2"/>
    </row>
    <row r="192" spans="3:8" ht="14.4" x14ac:dyDescent="0.3">
      <c r="C192" s="1"/>
      <c r="H192" s="2"/>
    </row>
    <row r="193" spans="3:8" ht="14.4" x14ac:dyDescent="0.3">
      <c r="C193" s="1"/>
      <c r="H193" s="2"/>
    </row>
    <row r="194" spans="3:8" ht="14.4" x14ac:dyDescent="0.3">
      <c r="C194" s="1"/>
      <c r="H194" s="2"/>
    </row>
    <row r="195" spans="3:8" ht="14.4" x14ac:dyDescent="0.3">
      <c r="C195" s="1"/>
      <c r="H195" s="2"/>
    </row>
    <row r="196" spans="3:8" ht="14.4" x14ac:dyDescent="0.3">
      <c r="C196" s="1"/>
      <c r="H196" s="2"/>
    </row>
    <row r="197" spans="3:8" ht="14.4" x14ac:dyDescent="0.3">
      <c r="C197" s="1"/>
      <c r="H197" s="2"/>
    </row>
    <row r="198" spans="3:8" ht="14.4" x14ac:dyDescent="0.3">
      <c r="C198" s="1"/>
      <c r="H198" s="2"/>
    </row>
    <row r="199" spans="3:8" ht="14.4" x14ac:dyDescent="0.3">
      <c r="C199" s="1"/>
      <c r="H199" s="2"/>
    </row>
    <row r="200" spans="3:8" ht="14.4" x14ac:dyDescent="0.3">
      <c r="C200" s="1"/>
      <c r="H200" s="2"/>
    </row>
    <row r="201" spans="3:8" ht="14.4" x14ac:dyDescent="0.3">
      <c r="C201" s="1"/>
      <c r="H201" s="2"/>
    </row>
    <row r="202" spans="3:8" ht="14.4" x14ac:dyDescent="0.3">
      <c r="C202" s="1"/>
      <c r="H202" s="2"/>
    </row>
    <row r="203" spans="3:8" ht="14.4" x14ac:dyDescent="0.3">
      <c r="C203" s="1"/>
      <c r="H203" s="2"/>
    </row>
    <row r="204" spans="3:8" ht="14.4" x14ac:dyDescent="0.3">
      <c r="C204" s="1"/>
      <c r="H204" s="2"/>
    </row>
    <row r="205" spans="3:8" ht="14.4" x14ac:dyDescent="0.3">
      <c r="C205" s="1"/>
      <c r="H205" s="2"/>
    </row>
    <row r="206" spans="3:8" ht="14.4" x14ac:dyDescent="0.3">
      <c r="C206" s="1"/>
      <c r="H206" s="2"/>
    </row>
    <row r="207" spans="3:8" ht="14.4" x14ac:dyDescent="0.3">
      <c r="C207" s="1"/>
      <c r="H207" s="2"/>
    </row>
    <row r="208" spans="3:8" ht="14.4" x14ac:dyDescent="0.3">
      <c r="C208" s="1"/>
      <c r="H208" s="2"/>
    </row>
    <row r="209" spans="3:8" ht="14.4" x14ac:dyDescent="0.3">
      <c r="C209" s="1"/>
      <c r="H209" s="2"/>
    </row>
    <row r="210" spans="3:8" ht="14.4" x14ac:dyDescent="0.3">
      <c r="C210" s="1"/>
      <c r="H210" s="2"/>
    </row>
    <row r="211" spans="3:8" ht="14.4" x14ac:dyDescent="0.3">
      <c r="C211" s="1"/>
      <c r="H211" s="2"/>
    </row>
    <row r="212" spans="3:8" ht="14.4" x14ac:dyDescent="0.3">
      <c r="C212" s="1"/>
      <c r="H212" s="2"/>
    </row>
    <row r="213" spans="3:8" ht="14.4" x14ac:dyDescent="0.3">
      <c r="C213" s="1"/>
      <c r="H213" s="2"/>
    </row>
    <row r="214" spans="3:8" ht="14.4" x14ac:dyDescent="0.3">
      <c r="C214" s="1"/>
      <c r="H214" s="2"/>
    </row>
    <row r="215" spans="3:8" ht="14.4" x14ac:dyDescent="0.3">
      <c r="C215" s="1"/>
      <c r="H215" s="2"/>
    </row>
    <row r="216" spans="3:8" ht="14.4" x14ac:dyDescent="0.3">
      <c r="C216" s="1"/>
      <c r="H216" s="2"/>
    </row>
    <row r="217" spans="3:8" ht="14.4" x14ac:dyDescent="0.3">
      <c r="C217" s="1"/>
      <c r="H217" s="2"/>
    </row>
    <row r="218" spans="3:8" ht="14.4" x14ac:dyDescent="0.3">
      <c r="C218" s="1"/>
      <c r="H218" s="2"/>
    </row>
    <row r="219" spans="3:8" ht="14.4" x14ac:dyDescent="0.3">
      <c r="C219" s="1"/>
      <c r="H219" s="2"/>
    </row>
    <row r="220" spans="3:8" ht="14.4" x14ac:dyDescent="0.3">
      <c r="C220" s="1"/>
      <c r="H220" s="2"/>
    </row>
    <row r="221" spans="3:8" ht="14.4" x14ac:dyDescent="0.3">
      <c r="C221" s="1"/>
      <c r="H221" s="2"/>
    </row>
    <row r="222" spans="3:8" ht="14.4" x14ac:dyDescent="0.3">
      <c r="C222" s="1"/>
      <c r="H222" s="2"/>
    </row>
    <row r="223" spans="3:8" ht="14.4" x14ac:dyDescent="0.3">
      <c r="C223" s="1"/>
      <c r="H223" s="2"/>
    </row>
    <row r="224" spans="3:8" ht="14.4" x14ac:dyDescent="0.3">
      <c r="C224" s="1"/>
      <c r="H224" s="2"/>
    </row>
    <row r="225" spans="3:8" ht="14.4" x14ac:dyDescent="0.3">
      <c r="C225" s="1"/>
      <c r="H225" s="2"/>
    </row>
    <row r="226" spans="3:8" ht="14.4" x14ac:dyDescent="0.3">
      <c r="C226" s="1"/>
      <c r="H226" s="2"/>
    </row>
    <row r="227" spans="3:8" ht="14.4" x14ac:dyDescent="0.3">
      <c r="C227" s="1"/>
      <c r="H227" s="2"/>
    </row>
    <row r="228" spans="3:8" ht="14.4" x14ac:dyDescent="0.3">
      <c r="C228" s="1"/>
      <c r="H228" s="2"/>
    </row>
    <row r="229" spans="3:8" ht="14.4" x14ac:dyDescent="0.3">
      <c r="C229" s="1"/>
      <c r="H229" s="2"/>
    </row>
    <row r="230" spans="3:8" ht="14.4" x14ac:dyDescent="0.3">
      <c r="C230" s="1"/>
      <c r="H230" s="2"/>
    </row>
    <row r="231" spans="3:8" ht="14.4" x14ac:dyDescent="0.3">
      <c r="C231" s="1"/>
      <c r="H231" s="2"/>
    </row>
    <row r="232" spans="3:8" ht="14.4" x14ac:dyDescent="0.3">
      <c r="C232" s="1"/>
      <c r="H232" s="2"/>
    </row>
    <row r="233" spans="3:8" ht="14.4" x14ac:dyDescent="0.3">
      <c r="C233" s="1"/>
      <c r="H233" s="2"/>
    </row>
    <row r="234" spans="3:8" ht="14.4" x14ac:dyDescent="0.3">
      <c r="C234" s="1"/>
      <c r="H234" s="2"/>
    </row>
    <row r="235" spans="3:8" ht="14.4" x14ac:dyDescent="0.3">
      <c r="C235" s="1"/>
      <c r="H235" s="2"/>
    </row>
    <row r="236" spans="3:8" ht="14.4" x14ac:dyDescent="0.3">
      <c r="C236" s="1"/>
      <c r="H236" s="2"/>
    </row>
    <row r="237" spans="3:8" ht="14.4" x14ac:dyDescent="0.3">
      <c r="C237" s="1"/>
      <c r="H237" s="2"/>
    </row>
    <row r="238" spans="3:8" ht="14.4" x14ac:dyDescent="0.3">
      <c r="C238" s="1"/>
      <c r="H238" s="2"/>
    </row>
    <row r="239" spans="3:8" ht="14.4" x14ac:dyDescent="0.3">
      <c r="C239" s="1"/>
      <c r="H239" s="2"/>
    </row>
    <row r="240" spans="3:8" ht="14.4" x14ac:dyDescent="0.3">
      <c r="C240" s="1"/>
      <c r="H240" s="2"/>
    </row>
    <row r="241" spans="3:8" ht="14.4" x14ac:dyDescent="0.3">
      <c r="C241" s="1"/>
      <c r="H241" s="2"/>
    </row>
    <row r="242" spans="3:8" ht="14.4" x14ac:dyDescent="0.3">
      <c r="C242" s="1"/>
      <c r="H242" s="2"/>
    </row>
    <row r="243" spans="3:8" ht="14.4" x14ac:dyDescent="0.3">
      <c r="C243" s="1"/>
      <c r="H243" s="2"/>
    </row>
    <row r="244" spans="3:8" ht="14.4" x14ac:dyDescent="0.3">
      <c r="C244" s="1"/>
      <c r="H244" s="2"/>
    </row>
    <row r="245" spans="3:8" ht="14.4" x14ac:dyDescent="0.3">
      <c r="C245" s="1"/>
      <c r="H245" s="2"/>
    </row>
    <row r="246" spans="3:8" ht="14.4" x14ac:dyDescent="0.3">
      <c r="C246" s="1"/>
      <c r="H246" s="2"/>
    </row>
    <row r="247" spans="3:8" ht="14.4" x14ac:dyDescent="0.3">
      <c r="C247" s="1"/>
      <c r="H247" s="2"/>
    </row>
    <row r="248" spans="3:8" ht="14.4" x14ac:dyDescent="0.3">
      <c r="C248" s="1"/>
      <c r="H248" s="2"/>
    </row>
    <row r="249" spans="3:8" ht="14.4" x14ac:dyDescent="0.3">
      <c r="C249" s="1"/>
      <c r="H249" s="2"/>
    </row>
    <row r="250" spans="3:8" ht="14.4" x14ac:dyDescent="0.3">
      <c r="C250" s="1"/>
      <c r="H250" s="2"/>
    </row>
    <row r="251" spans="3:8" ht="14.4" x14ac:dyDescent="0.3">
      <c r="C251" s="1"/>
      <c r="H251" s="2"/>
    </row>
    <row r="252" spans="3:8" ht="14.4" x14ac:dyDescent="0.3">
      <c r="C252" s="1"/>
      <c r="H252" s="2"/>
    </row>
    <row r="253" spans="3:8" ht="14.4" x14ac:dyDescent="0.3">
      <c r="C253" s="1"/>
      <c r="H253" s="2"/>
    </row>
    <row r="254" spans="3:8" ht="14.4" x14ac:dyDescent="0.3">
      <c r="C254" s="1"/>
      <c r="H254" s="2"/>
    </row>
    <row r="255" spans="3:8" ht="14.4" x14ac:dyDescent="0.3">
      <c r="C255" s="1"/>
      <c r="H255" s="2"/>
    </row>
    <row r="256" spans="3:8" ht="14.4" x14ac:dyDescent="0.3">
      <c r="C256" s="1"/>
      <c r="H256" s="2"/>
    </row>
    <row r="257" spans="3:8" ht="14.4" x14ac:dyDescent="0.3">
      <c r="C257" s="1"/>
      <c r="H257" s="2"/>
    </row>
    <row r="258" spans="3:8" ht="14.4" x14ac:dyDescent="0.3">
      <c r="C258" s="1"/>
      <c r="H258" s="2"/>
    </row>
    <row r="259" spans="3:8" ht="14.4" x14ac:dyDescent="0.3">
      <c r="C259" s="1"/>
      <c r="H259" s="2"/>
    </row>
    <row r="260" spans="3:8" ht="14.4" x14ac:dyDescent="0.3">
      <c r="C260" s="1"/>
      <c r="H260" s="2"/>
    </row>
    <row r="261" spans="3:8" ht="14.4" x14ac:dyDescent="0.3">
      <c r="C261" s="1"/>
      <c r="H261" s="2"/>
    </row>
    <row r="262" spans="3:8" ht="14.4" x14ac:dyDescent="0.3">
      <c r="C262" s="1"/>
      <c r="H262" s="2"/>
    </row>
    <row r="263" spans="3:8" ht="14.4" x14ac:dyDescent="0.3">
      <c r="C263" s="1"/>
      <c r="H263" s="2"/>
    </row>
    <row r="264" spans="3:8" ht="14.4" x14ac:dyDescent="0.3">
      <c r="C264" s="1"/>
      <c r="H264" s="2"/>
    </row>
    <row r="265" spans="3:8" ht="14.4" x14ac:dyDescent="0.3">
      <c r="C265" s="1"/>
      <c r="H265" s="2"/>
    </row>
    <row r="266" spans="3:8" ht="14.4" x14ac:dyDescent="0.3">
      <c r="C266" s="1"/>
      <c r="H266" s="2"/>
    </row>
    <row r="267" spans="3:8" ht="14.4" x14ac:dyDescent="0.3">
      <c r="C267" s="1"/>
      <c r="H267" s="2"/>
    </row>
    <row r="268" spans="3:8" ht="14.4" x14ac:dyDescent="0.3">
      <c r="C268" s="1"/>
      <c r="H268" s="2"/>
    </row>
    <row r="269" spans="3:8" ht="14.4" x14ac:dyDescent="0.3">
      <c r="C269" s="1"/>
      <c r="H269" s="2"/>
    </row>
    <row r="270" spans="3:8" ht="14.4" x14ac:dyDescent="0.3">
      <c r="C270" s="1"/>
      <c r="H270" s="2"/>
    </row>
    <row r="271" spans="3:8" ht="14.4" x14ac:dyDescent="0.3">
      <c r="C271" s="1"/>
      <c r="H271" s="2"/>
    </row>
    <row r="272" spans="3:8" ht="14.4" x14ac:dyDescent="0.3">
      <c r="C272" s="1"/>
      <c r="H272" s="2"/>
    </row>
    <row r="273" spans="3:8" ht="14.4" x14ac:dyDescent="0.3">
      <c r="C273" s="1"/>
      <c r="H273" s="2"/>
    </row>
    <row r="274" spans="3:8" ht="14.4" x14ac:dyDescent="0.3">
      <c r="C274" s="1"/>
      <c r="H274" s="2"/>
    </row>
    <row r="275" spans="3:8" ht="14.4" x14ac:dyDescent="0.3">
      <c r="C275" s="1"/>
      <c r="H275" s="2"/>
    </row>
    <row r="276" spans="3:8" ht="14.4" x14ac:dyDescent="0.3">
      <c r="C276" s="1"/>
      <c r="H276" s="2"/>
    </row>
    <row r="277" spans="3:8" ht="14.4" x14ac:dyDescent="0.3">
      <c r="C277" s="1"/>
      <c r="H277" s="2"/>
    </row>
    <row r="278" spans="3:8" ht="14.4" x14ac:dyDescent="0.3">
      <c r="C278" s="1"/>
      <c r="H278" s="2"/>
    </row>
    <row r="279" spans="3:8" ht="14.4" x14ac:dyDescent="0.3">
      <c r="C279" s="1"/>
      <c r="H279" s="2"/>
    </row>
    <row r="280" spans="3:8" ht="14.4" x14ac:dyDescent="0.3">
      <c r="C280" s="1"/>
      <c r="H280" s="2"/>
    </row>
    <row r="281" spans="3:8" ht="14.4" x14ac:dyDescent="0.3">
      <c r="C281" s="1"/>
      <c r="H281" s="2"/>
    </row>
    <row r="282" spans="3:8" ht="14.4" x14ac:dyDescent="0.3">
      <c r="C282" s="1"/>
      <c r="H282" s="2"/>
    </row>
    <row r="283" spans="3:8" ht="14.4" x14ac:dyDescent="0.3">
      <c r="C283" s="1"/>
      <c r="H283" s="2"/>
    </row>
    <row r="284" spans="3:8" ht="14.4" x14ac:dyDescent="0.3">
      <c r="C284" s="1"/>
      <c r="H284" s="2"/>
    </row>
    <row r="285" spans="3:8" ht="14.4" x14ac:dyDescent="0.3">
      <c r="C285" s="1"/>
      <c r="H285" s="2"/>
    </row>
    <row r="286" spans="3:8" ht="14.4" x14ac:dyDescent="0.3">
      <c r="C286" s="1"/>
      <c r="H286" s="2"/>
    </row>
    <row r="287" spans="3:8" ht="14.4" x14ac:dyDescent="0.3">
      <c r="C287" s="1"/>
      <c r="H287" s="2"/>
    </row>
    <row r="288" spans="3:8" ht="14.4" x14ac:dyDescent="0.3">
      <c r="C288" s="1"/>
      <c r="H288" s="2"/>
    </row>
    <row r="289" spans="3:8" ht="14.4" x14ac:dyDescent="0.3">
      <c r="C289" s="1"/>
      <c r="H289" s="2"/>
    </row>
    <row r="290" spans="3:8" ht="14.4" x14ac:dyDescent="0.3">
      <c r="C290" s="1"/>
      <c r="H290" s="2"/>
    </row>
    <row r="291" spans="3:8" ht="14.4" x14ac:dyDescent="0.3">
      <c r="C291" s="1"/>
      <c r="H291" s="2"/>
    </row>
    <row r="292" spans="3:8" ht="14.4" x14ac:dyDescent="0.3">
      <c r="C292" s="1"/>
      <c r="H292" s="2"/>
    </row>
    <row r="293" spans="3:8" ht="14.4" x14ac:dyDescent="0.3">
      <c r="C293" s="1"/>
      <c r="H293" s="2"/>
    </row>
    <row r="294" spans="3:8" ht="14.4" x14ac:dyDescent="0.3">
      <c r="C294" s="1"/>
      <c r="H294" s="2"/>
    </row>
    <row r="295" spans="3:8" ht="14.4" x14ac:dyDescent="0.3">
      <c r="C295" s="1"/>
      <c r="H295" s="2"/>
    </row>
    <row r="296" spans="3:8" ht="14.4" x14ac:dyDescent="0.3">
      <c r="C296" s="1"/>
      <c r="H296" s="2"/>
    </row>
    <row r="297" spans="3:8" ht="14.4" x14ac:dyDescent="0.3">
      <c r="C297" s="1"/>
      <c r="H297" s="2"/>
    </row>
    <row r="298" spans="3:8" ht="14.4" x14ac:dyDescent="0.3">
      <c r="C298" s="1"/>
      <c r="H298" s="2"/>
    </row>
    <row r="299" spans="3:8" ht="14.4" x14ac:dyDescent="0.3">
      <c r="C299" s="1"/>
      <c r="H299" s="2"/>
    </row>
    <row r="300" spans="3:8" ht="14.4" x14ac:dyDescent="0.3">
      <c r="C300" s="1"/>
      <c r="H300" s="2"/>
    </row>
    <row r="301" spans="3:8" ht="14.4" x14ac:dyDescent="0.3">
      <c r="C301" s="1"/>
      <c r="H301" s="2"/>
    </row>
    <row r="302" spans="3:8" ht="14.4" x14ac:dyDescent="0.3">
      <c r="C302" s="1"/>
      <c r="H302" s="2"/>
    </row>
    <row r="303" spans="3:8" ht="14.4" x14ac:dyDescent="0.3">
      <c r="C303" s="1"/>
      <c r="H303" s="2"/>
    </row>
    <row r="304" spans="3:8" ht="14.4" x14ac:dyDescent="0.3">
      <c r="C304" s="1"/>
      <c r="H304" s="2"/>
    </row>
    <row r="305" spans="3:8" ht="14.4" x14ac:dyDescent="0.3">
      <c r="C305" s="1"/>
      <c r="H305" s="2"/>
    </row>
    <row r="306" spans="3:8" ht="14.4" x14ac:dyDescent="0.3">
      <c r="C306" s="1"/>
      <c r="H306" s="2"/>
    </row>
    <row r="307" spans="3:8" ht="14.4" x14ac:dyDescent="0.3">
      <c r="C307" s="1"/>
      <c r="H307" s="2"/>
    </row>
    <row r="308" spans="3:8" ht="14.4" x14ac:dyDescent="0.3">
      <c r="C308" s="1"/>
      <c r="H308" s="2"/>
    </row>
    <row r="309" spans="3:8" ht="14.4" x14ac:dyDescent="0.3">
      <c r="C309" s="1"/>
      <c r="H309" s="2"/>
    </row>
    <row r="310" spans="3:8" ht="14.4" x14ac:dyDescent="0.3">
      <c r="C310" s="1"/>
      <c r="H310" s="2"/>
    </row>
    <row r="311" spans="3:8" ht="14.4" x14ac:dyDescent="0.3">
      <c r="C311" s="1"/>
      <c r="H311" s="2"/>
    </row>
    <row r="312" spans="3:8" ht="14.4" x14ac:dyDescent="0.3">
      <c r="C312" s="1"/>
      <c r="H312" s="2"/>
    </row>
    <row r="313" spans="3:8" ht="14.4" x14ac:dyDescent="0.3">
      <c r="C313" s="1"/>
      <c r="H313" s="2"/>
    </row>
    <row r="314" spans="3:8" ht="14.4" x14ac:dyDescent="0.3">
      <c r="C314" s="1"/>
      <c r="H314" s="2"/>
    </row>
    <row r="315" spans="3:8" ht="14.4" x14ac:dyDescent="0.3">
      <c r="C315" s="1"/>
      <c r="H315" s="2"/>
    </row>
    <row r="316" spans="3:8" ht="14.4" x14ac:dyDescent="0.3">
      <c r="C316" s="1"/>
      <c r="H316" s="2"/>
    </row>
    <row r="317" spans="3:8" ht="14.4" x14ac:dyDescent="0.3">
      <c r="C317" s="1"/>
      <c r="H317" s="2"/>
    </row>
    <row r="318" spans="3:8" ht="14.4" x14ac:dyDescent="0.3">
      <c r="C318" s="1"/>
      <c r="H318" s="2"/>
    </row>
    <row r="319" spans="3:8" ht="14.4" x14ac:dyDescent="0.3">
      <c r="C319" s="1"/>
      <c r="H319" s="2"/>
    </row>
    <row r="320" spans="3:8" ht="14.4" x14ac:dyDescent="0.3">
      <c r="C320" s="1"/>
      <c r="H320" s="2"/>
    </row>
    <row r="321" spans="3:8" ht="14.4" x14ac:dyDescent="0.3">
      <c r="C321" s="1"/>
      <c r="H321" s="2"/>
    </row>
    <row r="322" spans="3:8" ht="14.4" x14ac:dyDescent="0.3">
      <c r="C322" s="1"/>
      <c r="H322" s="2"/>
    </row>
    <row r="323" spans="3:8" ht="14.4" x14ac:dyDescent="0.3">
      <c r="C323" s="1"/>
      <c r="H323" s="2"/>
    </row>
    <row r="324" spans="3:8" ht="14.4" x14ac:dyDescent="0.3">
      <c r="C324" s="1"/>
      <c r="H324" s="2"/>
    </row>
    <row r="325" spans="3:8" ht="14.4" x14ac:dyDescent="0.3">
      <c r="C325" s="1"/>
      <c r="H325" s="2"/>
    </row>
    <row r="326" spans="3:8" ht="14.4" x14ac:dyDescent="0.3">
      <c r="C326" s="1"/>
      <c r="H326" s="2"/>
    </row>
    <row r="327" spans="3:8" ht="14.4" x14ac:dyDescent="0.3">
      <c r="C327" s="1"/>
      <c r="H327" s="2"/>
    </row>
    <row r="328" spans="3:8" ht="14.4" x14ac:dyDescent="0.3">
      <c r="C328" s="1"/>
      <c r="H328" s="2"/>
    </row>
    <row r="329" spans="3:8" ht="14.4" x14ac:dyDescent="0.3">
      <c r="C329" s="1"/>
      <c r="H329" s="2"/>
    </row>
    <row r="330" spans="3:8" ht="14.4" x14ac:dyDescent="0.3">
      <c r="C330" s="1"/>
      <c r="H330" s="2"/>
    </row>
    <row r="331" spans="3:8" ht="14.4" x14ac:dyDescent="0.3">
      <c r="C331" s="1"/>
      <c r="H331" s="2"/>
    </row>
    <row r="332" spans="3:8" ht="14.4" x14ac:dyDescent="0.3">
      <c r="C332" s="1"/>
      <c r="H332" s="2"/>
    </row>
    <row r="333" spans="3:8" ht="14.4" x14ac:dyDescent="0.3">
      <c r="C333" s="1"/>
      <c r="H333" s="2"/>
    </row>
    <row r="334" spans="3:8" ht="14.4" x14ac:dyDescent="0.3">
      <c r="C334" s="1"/>
      <c r="H334" s="2"/>
    </row>
    <row r="335" spans="3:8" ht="14.4" x14ac:dyDescent="0.3">
      <c r="C335" s="1"/>
      <c r="H335" s="2"/>
    </row>
    <row r="336" spans="3:8" ht="14.4" x14ac:dyDescent="0.3">
      <c r="C336" s="1"/>
      <c r="H336" s="2"/>
    </row>
    <row r="337" spans="3:8" ht="14.4" x14ac:dyDescent="0.3">
      <c r="C337" s="1"/>
      <c r="H337" s="2"/>
    </row>
    <row r="338" spans="3:8" ht="14.4" x14ac:dyDescent="0.3">
      <c r="C338" s="1"/>
      <c r="H338" s="2"/>
    </row>
    <row r="339" spans="3:8" ht="14.4" x14ac:dyDescent="0.3">
      <c r="C339" s="1"/>
      <c r="H339" s="2"/>
    </row>
    <row r="340" spans="3:8" ht="14.4" x14ac:dyDescent="0.3">
      <c r="C340" s="1"/>
      <c r="H340" s="2"/>
    </row>
    <row r="341" spans="3:8" ht="14.4" x14ac:dyDescent="0.3">
      <c r="C341" s="1"/>
      <c r="H341" s="2"/>
    </row>
    <row r="342" spans="3:8" ht="14.4" x14ac:dyDescent="0.3">
      <c r="C342" s="1"/>
      <c r="H342" s="2"/>
    </row>
    <row r="343" spans="3:8" ht="14.4" x14ac:dyDescent="0.3">
      <c r="C343" s="1"/>
      <c r="H343" s="2"/>
    </row>
    <row r="344" spans="3:8" ht="14.4" x14ac:dyDescent="0.3">
      <c r="C344" s="1"/>
      <c r="H344" s="2"/>
    </row>
    <row r="345" spans="3:8" ht="14.4" x14ac:dyDescent="0.3">
      <c r="C345" s="1"/>
      <c r="H345" s="2"/>
    </row>
    <row r="346" spans="3:8" ht="14.4" x14ac:dyDescent="0.3">
      <c r="C346" s="1"/>
      <c r="H346" s="2"/>
    </row>
    <row r="347" spans="3:8" ht="14.4" x14ac:dyDescent="0.3">
      <c r="C347" s="1"/>
      <c r="H347" s="2"/>
    </row>
    <row r="348" spans="3:8" ht="14.4" x14ac:dyDescent="0.3">
      <c r="C348" s="1"/>
      <c r="H348" s="2"/>
    </row>
    <row r="349" spans="3:8" ht="14.4" x14ac:dyDescent="0.3">
      <c r="C349" s="1"/>
      <c r="H349" s="2"/>
    </row>
    <row r="350" spans="3:8" ht="14.4" x14ac:dyDescent="0.3">
      <c r="C350" s="1"/>
      <c r="H350" s="2"/>
    </row>
    <row r="351" spans="3:8" ht="14.4" x14ac:dyDescent="0.3">
      <c r="C351" s="1"/>
      <c r="H351" s="2"/>
    </row>
    <row r="352" spans="3:8" ht="14.4" x14ac:dyDescent="0.3">
      <c r="C352" s="1"/>
      <c r="H352" s="2"/>
    </row>
    <row r="353" spans="3:8" ht="14.4" x14ac:dyDescent="0.3">
      <c r="C353" s="1"/>
      <c r="H353" s="2"/>
    </row>
    <row r="354" spans="3:8" ht="14.4" x14ac:dyDescent="0.3">
      <c r="C354" s="1"/>
      <c r="H354" s="2"/>
    </row>
    <row r="355" spans="3:8" ht="14.4" x14ac:dyDescent="0.3">
      <c r="C355" s="1"/>
      <c r="H355" s="2"/>
    </row>
    <row r="356" spans="3:8" ht="14.4" x14ac:dyDescent="0.3">
      <c r="C356" s="1"/>
      <c r="H356" s="2"/>
    </row>
    <row r="357" spans="3:8" ht="14.4" x14ac:dyDescent="0.3">
      <c r="C357" s="1"/>
      <c r="H357" s="2"/>
    </row>
    <row r="358" spans="3:8" ht="14.4" x14ac:dyDescent="0.3">
      <c r="C358" s="1"/>
      <c r="H358" s="2"/>
    </row>
    <row r="359" spans="3:8" ht="14.4" x14ac:dyDescent="0.3">
      <c r="C359" s="1"/>
      <c r="H359" s="2"/>
    </row>
    <row r="360" spans="3:8" ht="14.4" x14ac:dyDescent="0.3">
      <c r="C360" s="1"/>
      <c r="H360" s="2"/>
    </row>
    <row r="361" spans="3:8" ht="14.4" x14ac:dyDescent="0.3">
      <c r="C361" s="1"/>
      <c r="H361" s="2"/>
    </row>
    <row r="362" spans="3:8" ht="14.4" x14ac:dyDescent="0.3">
      <c r="C362" s="1"/>
      <c r="H362" s="2"/>
    </row>
    <row r="363" spans="3:8" ht="14.4" x14ac:dyDescent="0.3">
      <c r="C363" s="1"/>
      <c r="H363" s="2"/>
    </row>
    <row r="364" spans="3:8" ht="14.4" x14ac:dyDescent="0.3">
      <c r="C364" s="1"/>
      <c r="H364" s="2"/>
    </row>
    <row r="365" spans="3:8" ht="14.4" x14ac:dyDescent="0.3">
      <c r="C365" s="1"/>
      <c r="H365" s="2"/>
    </row>
    <row r="366" spans="3:8" ht="14.4" x14ac:dyDescent="0.3">
      <c r="C366" s="1"/>
      <c r="H366" s="2"/>
    </row>
    <row r="367" spans="3:8" ht="14.4" x14ac:dyDescent="0.3">
      <c r="C367" s="1"/>
      <c r="H367" s="2"/>
    </row>
    <row r="368" spans="3:8" ht="14.4" x14ac:dyDescent="0.3">
      <c r="C368" s="1"/>
      <c r="H368" s="2"/>
    </row>
    <row r="369" spans="3:8" ht="14.4" x14ac:dyDescent="0.3">
      <c r="C369" s="1"/>
      <c r="H369" s="2"/>
    </row>
    <row r="370" spans="3:8" ht="14.4" x14ac:dyDescent="0.3">
      <c r="C370" s="1"/>
      <c r="H370" s="2"/>
    </row>
    <row r="371" spans="3:8" ht="14.4" x14ac:dyDescent="0.3">
      <c r="C371" s="1"/>
      <c r="H371" s="2"/>
    </row>
    <row r="372" spans="3:8" ht="14.4" x14ac:dyDescent="0.3">
      <c r="C372" s="1"/>
      <c r="H372" s="2"/>
    </row>
    <row r="373" spans="3:8" ht="14.4" x14ac:dyDescent="0.3">
      <c r="C373" s="1"/>
      <c r="H373" s="2"/>
    </row>
    <row r="374" spans="3:8" ht="14.4" x14ac:dyDescent="0.3">
      <c r="C374" s="1"/>
      <c r="H374" s="2"/>
    </row>
    <row r="375" spans="3:8" ht="14.4" x14ac:dyDescent="0.3">
      <c r="C375" s="1"/>
      <c r="H375" s="2"/>
    </row>
    <row r="376" spans="3:8" ht="14.4" x14ac:dyDescent="0.3">
      <c r="C376" s="1"/>
      <c r="H376" s="2"/>
    </row>
    <row r="377" spans="3:8" ht="14.4" x14ac:dyDescent="0.3">
      <c r="C377" s="1"/>
      <c r="H377" s="2"/>
    </row>
    <row r="378" spans="3:8" ht="14.4" x14ac:dyDescent="0.3">
      <c r="C378" s="1"/>
      <c r="H378" s="2"/>
    </row>
    <row r="379" spans="3:8" ht="14.4" x14ac:dyDescent="0.3">
      <c r="C379" s="1"/>
      <c r="H379" s="2"/>
    </row>
    <row r="380" spans="3:8" ht="14.4" x14ac:dyDescent="0.3">
      <c r="C380" s="1"/>
      <c r="H380" s="2"/>
    </row>
    <row r="381" spans="3:8" ht="14.4" x14ac:dyDescent="0.3">
      <c r="C381" s="1"/>
      <c r="H381" s="2"/>
    </row>
    <row r="382" spans="3:8" ht="14.4" x14ac:dyDescent="0.3">
      <c r="C382" s="1"/>
      <c r="H382" s="2"/>
    </row>
    <row r="383" spans="3:8" ht="14.4" x14ac:dyDescent="0.3">
      <c r="C383" s="1"/>
      <c r="H383" s="2"/>
    </row>
    <row r="384" spans="3:8" ht="14.4" x14ac:dyDescent="0.3">
      <c r="C384" s="1"/>
      <c r="H384" s="2"/>
    </row>
    <row r="385" spans="3:8" ht="14.4" x14ac:dyDescent="0.3">
      <c r="C385" s="1"/>
      <c r="H385" s="2"/>
    </row>
    <row r="386" spans="3:8" ht="14.4" x14ac:dyDescent="0.3">
      <c r="C386" s="1"/>
      <c r="H386" s="2"/>
    </row>
    <row r="387" spans="3:8" ht="14.4" x14ac:dyDescent="0.3">
      <c r="C387" s="1"/>
      <c r="H387" s="2"/>
    </row>
    <row r="388" spans="3:8" ht="14.4" x14ac:dyDescent="0.3">
      <c r="C388" s="1"/>
      <c r="H388" s="2"/>
    </row>
    <row r="389" spans="3:8" ht="14.4" x14ac:dyDescent="0.3">
      <c r="C389" s="1"/>
      <c r="H389" s="2"/>
    </row>
    <row r="390" spans="3:8" ht="14.4" x14ac:dyDescent="0.3">
      <c r="C390" s="1"/>
      <c r="H390" s="2"/>
    </row>
    <row r="391" spans="3:8" ht="14.4" x14ac:dyDescent="0.3">
      <c r="C391" s="1"/>
      <c r="H391" s="2"/>
    </row>
    <row r="392" spans="3:8" ht="14.4" x14ac:dyDescent="0.3">
      <c r="C392" s="1"/>
      <c r="H392" s="2"/>
    </row>
    <row r="393" spans="3:8" ht="14.4" x14ac:dyDescent="0.3">
      <c r="C393" s="1"/>
      <c r="H393" s="2"/>
    </row>
    <row r="394" spans="3:8" ht="14.4" x14ac:dyDescent="0.3">
      <c r="C394" s="1"/>
      <c r="H394" s="2"/>
    </row>
    <row r="395" spans="3:8" ht="14.4" x14ac:dyDescent="0.3">
      <c r="C395" s="1"/>
      <c r="H395" s="2"/>
    </row>
    <row r="396" spans="3:8" ht="14.4" x14ac:dyDescent="0.3">
      <c r="C396" s="1"/>
      <c r="H396" s="2"/>
    </row>
    <row r="397" spans="3:8" ht="14.4" x14ac:dyDescent="0.3">
      <c r="C397" s="1"/>
      <c r="H397" s="2"/>
    </row>
    <row r="398" spans="3:8" ht="14.4" x14ac:dyDescent="0.3">
      <c r="C398" s="1"/>
      <c r="H398" s="2"/>
    </row>
    <row r="399" spans="3:8" ht="14.4" x14ac:dyDescent="0.3">
      <c r="C399" s="1"/>
      <c r="H399" s="2"/>
    </row>
    <row r="400" spans="3:8" ht="14.4" x14ac:dyDescent="0.3">
      <c r="C400" s="1"/>
      <c r="H400" s="2"/>
    </row>
    <row r="401" spans="3:8" ht="14.4" x14ac:dyDescent="0.3">
      <c r="C401" s="1"/>
      <c r="H401" s="2"/>
    </row>
    <row r="402" spans="3:8" ht="14.4" x14ac:dyDescent="0.3">
      <c r="C402" s="1"/>
      <c r="H402" s="2"/>
    </row>
    <row r="403" spans="3:8" ht="14.4" x14ac:dyDescent="0.3">
      <c r="C403" s="1"/>
      <c r="H403" s="2"/>
    </row>
    <row r="404" spans="3:8" ht="14.4" x14ac:dyDescent="0.3">
      <c r="C404" s="1"/>
      <c r="H404" s="2"/>
    </row>
    <row r="405" spans="3:8" ht="14.4" x14ac:dyDescent="0.3">
      <c r="C405" s="1"/>
      <c r="H405" s="2"/>
    </row>
    <row r="406" spans="3:8" ht="14.4" x14ac:dyDescent="0.3">
      <c r="C406" s="1"/>
      <c r="H406" s="2"/>
    </row>
    <row r="407" spans="3:8" ht="14.4" x14ac:dyDescent="0.3">
      <c r="C407" s="1"/>
      <c r="H407" s="2"/>
    </row>
    <row r="408" spans="3:8" ht="14.4" x14ac:dyDescent="0.3">
      <c r="C408" s="1"/>
      <c r="H408" s="2"/>
    </row>
    <row r="409" spans="3:8" ht="14.4" x14ac:dyDescent="0.3">
      <c r="C409" s="1"/>
      <c r="H409" s="2"/>
    </row>
    <row r="410" spans="3:8" ht="14.4" x14ac:dyDescent="0.3">
      <c r="C410" s="1"/>
      <c r="H410" s="2"/>
    </row>
    <row r="411" spans="3:8" ht="14.4" x14ac:dyDescent="0.3">
      <c r="C411" s="1"/>
      <c r="H411" s="2"/>
    </row>
    <row r="412" spans="3:8" ht="14.4" x14ac:dyDescent="0.3">
      <c r="C412" s="1"/>
      <c r="H412" s="2"/>
    </row>
    <row r="413" spans="3:8" ht="14.4" x14ac:dyDescent="0.3">
      <c r="C413" s="1"/>
      <c r="H413" s="2"/>
    </row>
    <row r="414" spans="3:8" ht="14.4" x14ac:dyDescent="0.3">
      <c r="C414" s="1"/>
      <c r="H414" s="2"/>
    </row>
    <row r="415" spans="3:8" ht="14.4" x14ac:dyDescent="0.3">
      <c r="C415" s="1"/>
      <c r="H415" s="2"/>
    </row>
    <row r="416" spans="3:8" ht="14.4" x14ac:dyDescent="0.3">
      <c r="C416" s="1"/>
      <c r="H416" s="2"/>
    </row>
    <row r="417" spans="3:8" ht="14.4" x14ac:dyDescent="0.3">
      <c r="C417" s="1"/>
      <c r="H417" s="2"/>
    </row>
    <row r="418" spans="3:8" ht="14.4" x14ac:dyDescent="0.3">
      <c r="C418" s="1"/>
      <c r="H418" s="2"/>
    </row>
    <row r="419" spans="3:8" ht="14.4" x14ac:dyDescent="0.3">
      <c r="C419" s="1"/>
      <c r="H419" s="2"/>
    </row>
    <row r="420" spans="3:8" ht="14.4" x14ac:dyDescent="0.3">
      <c r="C420" s="1"/>
      <c r="H420" s="2"/>
    </row>
    <row r="421" spans="3:8" ht="14.4" x14ac:dyDescent="0.3">
      <c r="C421" s="1"/>
      <c r="H421" s="2"/>
    </row>
    <row r="422" spans="3:8" ht="14.4" x14ac:dyDescent="0.3">
      <c r="C422" s="1"/>
      <c r="H422" s="2"/>
    </row>
    <row r="423" spans="3:8" ht="14.4" x14ac:dyDescent="0.3">
      <c r="C423" s="1"/>
      <c r="H423" s="2"/>
    </row>
    <row r="424" spans="3:8" ht="14.4" x14ac:dyDescent="0.3">
      <c r="C424" s="1"/>
      <c r="H424" s="2"/>
    </row>
    <row r="425" spans="3:8" ht="14.4" x14ac:dyDescent="0.3">
      <c r="C425" s="1"/>
      <c r="H425" s="2"/>
    </row>
    <row r="426" spans="3:8" ht="14.4" x14ac:dyDescent="0.3">
      <c r="C426" s="1"/>
      <c r="H426" s="2"/>
    </row>
    <row r="427" spans="3:8" ht="14.4" x14ac:dyDescent="0.3">
      <c r="C427" s="1"/>
      <c r="H427" s="2"/>
    </row>
    <row r="428" spans="3:8" ht="14.4" x14ac:dyDescent="0.3">
      <c r="C428" s="1"/>
      <c r="H428" s="2"/>
    </row>
    <row r="429" spans="3:8" ht="14.4" x14ac:dyDescent="0.3">
      <c r="C429" s="1"/>
      <c r="H429" s="2"/>
    </row>
    <row r="430" spans="3:8" ht="14.4" x14ac:dyDescent="0.3">
      <c r="C430" s="1"/>
      <c r="H430" s="2"/>
    </row>
    <row r="431" spans="3:8" ht="14.4" x14ac:dyDescent="0.3">
      <c r="C431" s="1"/>
      <c r="H431" s="2"/>
    </row>
    <row r="432" spans="3:8" ht="14.4" x14ac:dyDescent="0.3">
      <c r="C432" s="1"/>
      <c r="H432" s="2"/>
    </row>
    <row r="433" spans="3:8" ht="14.4" x14ac:dyDescent="0.3">
      <c r="C433" s="1"/>
      <c r="H433" s="2"/>
    </row>
    <row r="434" spans="3:8" ht="14.4" x14ac:dyDescent="0.3">
      <c r="C434" s="1"/>
      <c r="H434" s="2"/>
    </row>
    <row r="435" spans="3:8" ht="14.4" x14ac:dyDescent="0.3">
      <c r="C435" s="1"/>
      <c r="H435" s="2"/>
    </row>
    <row r="436" spans="3:8" ht="14.4" x14ac:dyDescent="0.3">
      <c r="C436" s="1"/>
      <c r="H436" s="2"/>
    </row>
    <row r="437" spans="3:8" ht="14.4" x14ac:dyDescent="0.3">
      <c r="C437" s="1"/>
      <c r="H437" s="2"/>
    </row>
    <row r="438" spans="3:8" ht="14.4" x14ac:dyDescent="0.3">
      <c r="C438" s="1"/>
      <c r="H438" s="2"/>
    </row>
    <row r="439" spans="3:8" ht="14.4" x14ac:dyDescent="0.3">
      <c r="C439" s="1"/>
      <c r="H439" s="2"/>
    </row>
    <row r="440" spans="3:8" ht="14.4" x14ac:dyDescent="0.3">
      <c r="C440" s="1"/>
      <c r="H440" s="2"/>
    </row>
    <row r="441" spans="3:8" ht="14.4" x14ac:dyDescent="0.3">
      <c r="C441" s="1"/>
      <c r="H441" s="2"/>
    </row>
    <row r="442" spans="3:8" ht="14.4" x14ac:dyDescent="0.3">
      <c r="C442" s="1"/>
      <c r="H442" s="2"/>
    </row>
    <row r="443" spans="3:8" ht="14.4" x14ac:dyDescent="0.3">
      <c r="C443" s="1"/>
      <c r="H443" s="2"/>
    </row>
    <row r="444" spans="3:8" ht="14.4" x14ac:dyDescent="0.3">
      <c r="C444" s="1"/>
      <c r="H444" s="2"/>
    </row>
    <row r="445" spans="3:8" ht="14.4" x14ac:dyDescent="0.3">
      <c r="C445" s="1"/>
      <c r="H445" s="2"/>
    </row>
    <row r="446" spans="3:8" ht="14.4" x14ac:dyDescent="0.3">
      <c r="C446" s="1"/>
      <c r="H446" s="2"/>
    </row>
    <row r="447" spans="3:8" ht="14.4" x14ac:dyDescent="0.3">
      <c r="C447" s="1"/>
      <c r="H447" s="2"/>
    </row>
    <row r="448" spans="3:8" ht="14.4" x14ac:dyDescent="0.3">
      <c r="C448" s="1"/>
      <c r="H448" s="2"/>
    </row>
    <row r="449" spans="3:8" ht="14.4" x14ac:dyDescent="0.3">
      <c r="C449" s="1"/>
      <c r="H449" s="2"/>
    </row>
    <row r="450" spans="3:8" ht="14.4" x14ac:dyDescent="0.3">
      <c r="C450" s="1"/>
      <c r="H450" s="2"/>
    </row>
    <row r="451" spans="3:8" ht="14.4" x14ac:dyDescent="0.3">
      <c r="C451" s="1"/>
      <c r="H451" s="2"/>
    </row>
    <row r="452" spans="3:8" ht="14.4" x14ac:dyDescent="0.3">
      <c r="C452" s="1"/>
      <c r="H452" s="2"/>
    </row>
    <row r="453" spans="3:8" ht="14.4" x14ac:dyDescent="0.3">
      <c r="C453" s="1"/>
      <c r="H453" s="2"/>
    </row>
    <row r="454" spans="3:8" ht="14.4" x14ac:dyDescent="0.3">
      <c r="C454" s="1"/>
      <c r="H454" s="2"/>
    </row>
    <row r="455" spans="3:8" ht="14.4" x14ac:dyDescent="0.3">
      <c r="C455" s="1"/>
      <c r="H455" s="2"/>
    </row>
    <row r="456" spans="3:8" ht="14.4" x14ac:dyDescent="0.3">
      <c r="C456" s="1"/>
      <c r="H456" s="2"/>
    </row>
    <row r="457" spans="3:8" ht="14.4" x14ac:dyDescent="0.3">
      <c r="C457" s="1"/>
      <c r="H457" s="2"/>
    </row>
    <row r="458" spans="3:8" ht="14.4" x14ac:dyDescent="0.3">
      <c r="C458" s="1"/>
      <c r="H458" s="2"/>
    </row>
    <row r="459" spans="3:8" ht="14.4" x14ac:dyDescent="0.3">
      <c r="C459" s="1"/>
      <c r="H459" s="2"/>
    </row>
    <row r="460" spans="3:8" ht="14.4" x14ac:dyDescent="0.3">
      <c r="C460" s="1"/>
      <c r="H460" s="2"/>
    </row>
    <row r="461" spans="3:8" ht="14.4" x14ac:dyDescent="0.3">
      <c r="C461" s="1"/>
      <c r="H461" s="2"/>
    </row>
    <row r="462" spans="3:8" ht="14.4" x14ac:dyDescent="0.3">
      <c r="C462" s="1"/>
      <c r="H462" s="2"/>
    </row>
    <row r="463" spans="3:8" ht="14.4" x14ac:dyDescent="0.3">
      <c r="C463" s="1"/>
      <c r="H463" s="2"/>
    </row>
    <row r="464" spans="3:8" ht="14.4" x14ac:dyDescent="0.3">
      <c r="C464" s="1"/>
      <c r="H464" s="2"/>
    </row>
    <row r="465" spans="3:8" ht="14.4" x14ac:dyDescent="0.3">
      <c r="C465" s="1"/>
      <c r="H465" s="2"/>
    </row>
    <row r="466" spans="3:8" ht="14.4" x14ac:dyDescent="0.3">
      <c r="C466" s="1"/>
      <c r="H466" s="2"/>
    </row>
    <row r="467" spans="3:8" ht="14.4" x14ac:dyDescent="0.3">
      <c r="C467" s="1"/>
      <c r="H467" s="2"/>
    </row>
    <row r="468" spans="3:8" ht="14.4" x14ac:dyDescent="0.3">
      <c r="C468" s="1"/>
      <c r="H468" s="2"/>
    </row>
    <row r="469" spans="3:8" ht="14.4" x14ac:dyDescent="0.3">
      <c r="C469" s="1"/>
      <c r="H469" s="2"/>
    </row>
    <row r="470" spans="3:8" ht="14.4" x14ac:dyDescent="0.3">
      <c r="C470" s="1"/>
      <c r="H470" s="2"/>
    </row>
    <row r="471" spans="3:8" ht="14.4" x14ac:dyDescent="0.3">
      <c r="C471" s="1"/>
      <c r="H471" s="2"/>
    </row>
    <row r="472" spans="3:8" ht="14.4" x14ac:dyDescent="0.3">
      <c r="C472" s="1"/>
      <c r="H472" s="2"/>
    </row>
    <row r="473" spans="3:8" ht="14.4" x14ac:dyDescent="0.3">
      <c r="C473" s="1"/>
      <c r="H473" s="2"/>
    </row>
    <row r="474" spans="3:8" ht="14.4" x14ac:dyDescent="0.3">
      <c r="C474" s="1"/>
      <c r="H474" s="2"/>
    </row>
    <row r="475" spans="3:8" ht="14.4" x14ac:dyDescent="0.3">
      <c r="C475" s="1"/>
      <c r="H475" s="2"/>
    </row>
    <row r="476" spans="3:8" ht="14.4" x14ac:dyDescent="0.3">
      <c r="C476" s="1"/>
      <c r="H476" s="2"/>
    </row>
    <row r="477" spans="3:8" ht="14.4" x14ac:dyDescent="0.3">
      <c r="C477" s="1"/>
      <c r="H477" s="2"/>
    </row>
    <row r="478" spans="3:8" ht="14.4" x14ac:dyDescent="0.3">
      <c r="C478" s="1"/>
      <c r="H478" s="2"/>
    </row>
    <row r="479" spans="3:8" ht="14.4" x14ac:dyDescent="0.3">
      <c r="C479" s="1"/>
      <c r="H479" s="2"/>
    </row>
    <row r="480" spans="3:8" ht="14.4" x14ac:dyDescent="0.3">
      <c r="C480" s="1"/>
      <c r="H480" s="2"/>
    </row>
    <row r="481" spans="3:8" ht="14.4" x14ac:dyDescent="0.3">
      <c r="C481" s="1"/>
      <c r="H481" s="2"/>
    </row>
    <row r="482" spans="3:8" ht="14.4" x14ac:dyDescent="0.3">
      <c r="C482" s="1"/>
      <c r="H482" s="2"/>
    </row>
    <row r="483" spans="3:8" ht="14.4" x14ac:dyDescent="0.3">
      <c r="C483" s="1"/>
      <c r="H483" s="2"/>
    </row>
    <row r="484" spans="3:8" ht="14.4" x14ac:dyDescent="0.3">
      <c r="C484" s="1"/>
      <c r="H484" s="2"/>
    </row>
    <row r="485" spans="3:8" ht="14.4" x14ac:dyDescent="0.3">
      <c r="C485" s="1"/>
      <c r="H485" s="2"/>
    </row>
    <row r="486" spans="3:8" ht="14.4" x14ac:dyDescent="0.3">
      <c r="C486" s="1"/>
      <c r="H486" s="2"/>
    </row>
    <row r="487" spans="3:8" ht="14.4" x14ac:dyDescent="0.3">
      <c r="C487" s="1"/>
      <c r="H487" s="2"/>
    </row>
    <row r="488" spans="3:8" ht="14.4" x14ac:dyDescent="0.3">
      <c r="C488" s="1"/>
      <c r="H488" s="2"/>
    </row>
    <row r="489" spans="3:8" ht="14.4" x14ac:dyDescent="0.3">
      <c r="C489" s="1"/>
      <c r="H489" s="2"/>
    </row>
    <row r="490" spans="3:8" ht="14.4" x14ac:dyDescent="0.3">
      <c r="C490" s="1"/>
      <c r="H490" s="2"/>
    </row>
    <row r="491" spans="3:8" ht="14.4" x14ac:dyDescent="0.3">
      <c r="C491" s="1"/>
      <c r="H491" s="2"/>
    </row>
    <row r="492" spans="3:8" ht="14.4" x14ac:dyDescent="0.3">
      <c r="C492" s="1"/>
      <c r="H492" s="2"/>
    </row>
    <row r="493" spans="3:8" ht="14.4" x14ac:dyDescent="0.3">
      <c r="C493" s="1"/>
      <c r="H493" s="2"/>
    </row>
    <row r="494" spans="3:8" ht="14.4" x14ac:dyDescent="0.3">
      <c r="C494" s="1"/>
      <c r="H494" s="2"/>
    </row>
    <row r="495" spans="3:8" ht="14.4" x14ac:dyDescent="0.3">
      <c r="C495" s="1"/>
      <c r="H495" s="2"/>
    </row>
    <row r="496" spans="3:8" ht="14.4" x14ac:dyDescent="0.3">
      <c r="C496" s="1"/>
      <c r="H496" s="2"/>
    </row>
    <row r="497" spans="3:8" ht="14.4" x14ac:dyDescent="0.3">
      <c r="C497" s="1"/>
      <c r="H497" s="2"/>
    </row>
    <row r="498" spans="3:8" ht="14.4" x14ac:dyDescent="0.3">
      <c r="C498" s="1"/>
      <c r="H498" s="2"/>
    </row>
    <row r="499" spans="3:8" ht="14.4" x14ac:dyDescent="0.3">
      <c r="C499" s="1"/>
      <c r="H499" s="2"/>
    </row>
    <row r="500" spans="3:8" ht="14.4" x14ac:dyDescent="0.3">
      <c r="C500" s="1"/>
      <c r="H500" s="2"/>
    </row>
    <row r="501" spans="3:8" ht="14.4" x14ac:dyDescent="0.3">
      <c r="C501" s="1"/>
      <c r="H501" s="2"/>
    </row>
    <row r="502" spans="3:8" ht="14.4" x14ac:dyDescent="0.3">
      <c r="C502" s="1"/>
      <c r="H502" s="2"/>
    </row>
    <row r="503" spans="3:8" ht="14.4" x14ac:dyDescent="0.3">
      <c r="C503" s="1"/>
      <c r="H503" s="2"/>
    </row>
    <row r="504" spans="3:8" ht="14.4" x14ac:dyDescent="0.3">
      <c r="C504" s="1"/>
      <c r="H504" s="2"/>
    </row>
    <row r="505" spans="3:8" ht="14.4" x14ac:dyDescent="0.3">
      <c r="C505" s="1"/>
      <c r="H505" s="2"/>
    </row>
    <row r="506" spans="3:8" ht="14.4" x14ac:dyDescent="0.3">
      <c r="C506" s="1"/>
      <c r="H506" s="2"/>
    </row>
    <row r="507" spans="3:8" ht="14.4" x14ac:dyDescent="0.3">
      <c r="C507" s="1"/>
      <c r="H507" s="2"/>
    </row>
    <row r="508" spans="3:8" ht="14.4" x14ac:dyDescent="0.3">
      <c r="C508" s="1"/>
      <c r="H508" s="2"/>
    </row>
    <row r="509" spans="3:8" ht="14.4" x14ac:dyDescent="0.3">
      <c r="C509" s="1"/>
      <c r="H509" s="2"/>
    </row>
    <row r="510" spans="3:8" ht="14.4" x14ac:dyDescent="0.3">
      <c r="C510" s="1"/>
      <c r="H510" s="2"/>
    </row>
    <row r="511" spans="3:8" ht="14.4" x14ac:dyDescent="0.3">
      <c r="C511" s="1"/>
      <c r="H511" s="2"/>
    </row>
    <row r="512" spans="3:8" ht="14.4" x14ac:dyDescent="0.3">
      <c r="C512" s="1"/>
      <c r="H512" s="2"/>
    </row>
    <row r="513" spans="3:8" ht="14.4" x14ac:dyDescent="0.3">
      <c r="C513" s="1"/>
      <c r="H513" s="2"/>
    </row>
    <row r="514" spans="3:8" ht="14.4" x14ac:dyDescent="0.3">
      <c r="C514" s="1"/>
      <c r="H514" s="2"/>
    </row>
    <row r="515" spans="3:8" ht="14.4" x14ac:dyDescent="0.3">
      <c r="C515" s="1"/>
      <c r="H515" s="2"/>
    </row>
    <row r="516" spans="3:8" ht="14.4" x14ac:dyDescent="0.3">
      <c r="C516" s="1"/>
      <c r="H516" s="2"/>
    </row>
    <row r="517" spans="3:8" ht="14.4" x14ac:dyDescent="0.3">
      <c r="C517" s="1"/>
      <c r="H517" s="2"/>
    </row>
    <row r="518" spans="3:8" ht="14.4" x14ac:dyDescent="0.3">
      <c r="C518" s="1"/>
      <c r="H518" s="2"/>
    </row>
    <row r="519" spans="3:8" ht="14.4" x14ac:dyDescent="0.3">
      <c r="C519" s="1"/>
      <c r="H519" s="2"/>
    </row>
    <row r="520" spans="3:8" ht="14.4" x14ac:dyDescent="0.3">
      <c r="C520" s="1"/>
      <c r="H520" s="2"/>
    </row>
    <row r="521" spans="3:8" ht="14.4" x14ac:dyDescent="0.3">
      <c r="C521" s="1"/>
      <c r="H521" s="2"/>
    </row>
    <row r="522" spans="3:8" ht="14.4" x14ac:dyDescent="0.3">
      <c r="C522" s="1"/>
      <c r="H522" s="2"/>
    </row>
    <row r="523" spans="3:8" ht="14.4" x14ac:dyDescent="0.3">
      <c r="C523" s="1"/>
      <c r="H523" s="2"/>
    </row>
    <row r="524" spans="3:8" ht="14.4" x14ac:dyDescent="0.3">
      <c r="C524" s="1"/>
      <c r="H524" s="2"/>
    </row>
    <row r="525" spans="3:8" ht="14.4" x14ac:dyDescent="0.3">
      <c r="C525" s="1"/>
      <c r="H525" s="2"/>
    </row>
    <row r="526" spans="3:8" ht="14.4" x14ac:dyDescent="0.3">
      <c r="C526" s="1"/>
      <c r="H526" s="2"/>
    </row>
    <row r="527" spans="3:8" ht="14.4" x14ac:dyDescent="0.3">
      <c r="C527" s="1"/>
      <c r="H527" s="2"/>
    </row>
    <row r="528" spans="3:8" ht="14.4" x14ac:dyDescent="0.3">
      <c r="C528" s="1"/>
      <c r="H528" s="2"/>
    </row>
    <row r="529" spans="3:8" ht="14.4" x14ac:dyDescent="0.3">
      <c r="C529" s="1"/>
      <c r="H529" s="2"/>
    </row>
    <row r="530" spans="3:8" ht="14.4" x14ac:dyDescent="0.3">
      <c r="C530" s="1"/>
      <c r="H530" s="2"/>
    </row>
    <row r="531" spans="3:8" ht="14.4" x14ac:dyDescent="0.3">
      <c r="C531" s="1"/>
      <c r="H531" s="2"/>
    </row>
    <row r="532" spans="3:8" ht="14.4" x14ac:dyDescent="0.3">
      <c r="C532" s="1"/>
      <c r="H532" s="2"/>
    </row>
    <row r="533" spans="3:8" ht="14.4" x14ac:dyDescent="0.3">
      <c r="C533" s="1"/>
      <c r="H533" s="2"/>
    </row>
    <row r="534" spans="3:8" ht="14.4" x14ac:dyDescent="0.3">
      <c r="C534" s="1"/>
      <c r="H534" s="2"/>
    </row>
    <row r="535" spans="3:8" ht="14.4" x14ac:dyDescent="0.3">
      <c r="C535" s="1"/>
      <c r="H535" s="2"/>
    </row>
    <row r="536" spans="3:8" ht="14.4" x14ac:dyDescent="0.3">
      <c r="C536" s="1"/>
      <c r="H536" s="2"/>
    </row>
    <row r="537" spans="3:8" ht="14.4" x14ac:dyDescent="0.3">
      <c r="C537" s="1"/>
      <c r="H537" s="2"/>
    </row>
    <row r="538" spans="3:8" ht="14.4" x14ac:dyDescent="0.3">
      <c r="C538" s="1"/>
      <c r="H538" s="2"/>
    </row>
    <row r="539" spans="3:8" ht="14.4" x14ac:dyDescent="0.3">
      <c r="C539" s="1"/>
      <c r="H539" s="2"/>
    </row>
    <row r="540" spans="3:8" ht="14.4" x14ac:dyDescent="0.3">
      <c r="C540" s="1"/>
      <c r="H540" s="2"/>
    </row>
    <row r="541" spans="3:8" ht="14.4" x14ac:dyDescent="0.3">
      <c r="C541" s="1"/>
      <c r="H541" s="2"/>
    </row>
    <row r="542" spans="3:8" ht="14.4" x14ac:dyDescent="0.3">
      <c r="C542" s="1"/>
      <c r="H542" s="2"/>
    </row>
    <row r="543" spans="3:8" ht="14.4" x14ac:dyDescent="0.3">
      <c r="C543" s="1"/>
      <c r="H543" s="2"/>
    </row>
    <row r="544" spans="3:8" ht="14.4" x14ac:dyDescent="0.3">
      <c r="C544" s="1"/>
      <c r="H544" s="2"/>
    </row>
    <row r="545" spans="3:8" ht="14.4" x14ac:dyDescent="0.3">
      <c r="C545" s="1"/>
      <c r="H545" s="2"/>
    </row>
    <row r="546" spans="3:8" ht="14.4" x14ac:dyDescent="0.3">
      <c r="C546" s="1"/>
      <c r="H546" s="2"/>
    </row>
    <row r="547" spans="3:8" ht="14.4" x14ac:dyDescent="0.3">
      <c r="C547" s="1"/>
      <c r="H547" s="2"/>
    </row>
    <row r="548" spans="3:8" ht="14.4" x14ac:dyDescent="0.3">
      <c r="C548" s="1"/>
      <c r="H548" s="2"/>
    </row>
    <row r="549" spans="3:8" ht="14.4" x14ac:dyDescent="0.3">
      <c r="C549" s="1"/>
      <c r="H549" s="2"/>
    </row>
    <row r="550" spans="3:8" ht="14.4" x14ac:dyDescent="0.3">
      <c r="C550" s="1"/>
      <c r="H550" s="2"/>
    </row>
    <row r="551" spans="3:8" ht="14.4" x14ac:dyDescent="0.3">
      <c r="C551" s="1"/>
      <c r="H551" s="2"/>
    </row>
    <row r="552" spans="3:8" ht="14.4" x14ac:dyDescent="0.3">
      <c r="C552" s="1"/>
      <c r="H552" s="2"/>
    </row>
    <row r="553" spans="3:8" ht="14.4" x14ac:dyDescent="0.3">
      <c r="C553" s="1"/>
      <c r="H553" s="2"/>
    </row>
    <row r="554" spans="3:8" ht="14.4" x14ac:dyDescent="0.3">
      <c r="C554" s="1"/>
      <c r="H554" s="2"/>
    </row>
    <row r="555" spans="3:8" ht="14.4" x14ac:dyDescent="0.3">
      <c r="C555" s="1"/>
      <c r="H555" s="2"/>
    </row>
    <row r="556" spans="3:8" ht="14.4" x14ac:dyDescent="0.3">
      <c r="C556" s="1"/>
      <c r="H556" s="2"/>
    </row>
    <row r="557" spans="3:8" ht="14.4" x14ac:dyDescent="0.3">
      <c r="C557" s="1"/>
      <c r="H557" s="2"/>
    </row>
    <row r="558" spans="3:8" ht="14.4" x14ac:dyDescent="0.3">
      <c r="C558" s="1"/>
      <c r="H558" s="2"/>
    </row>
    <row r="559" spans="3:8" ht="14.4" x14ac:dyDescent="0.3">
      <c r="C559" s="1"/>
      <c r="H559" s="2"/>
    </row>
    <row r="560" spans="3:8" ht="14.4" x14ac:dyDescent="0.3">
      <c r="C560" s="1"/>
      <c r="H560" s="2"/>
    </row>
    <row r="561" spans="3:8" ht="14.4" x14ac:dyDescent="0.3">
      <c r="C561" s="1"/>
      <c r="H561" s="2"/>
    </row>
    <row r="562" spans="3:8" ht="14.4" x14ac:dyDescent="0.3">
      <c r="C562" s="1"/>
      <c r="H562" s="2"/>
    </row>
    <row r="563" spans="3:8" ht="14.4" x14ac:dyDescent="0.3">
      <c r="C563" s="1"/>
      <c r="H563" s="2"/>
    </row>
    <row r="564" spans="3:8" ht="14.4" x14ac:dyDescent="0.3">
      <c r="C564" s="1"/>
      <c r="H564" s="2"/>
    </row>
    <row r="565" spans="3:8" ht="14.4" x14ac:dyDescent="0.3">
      <c r="C565" s="1"/>
      <c r="H565" s="2"/>
    </row>
    <row r="566" spans="3:8" ht="14.4" x14ac:dyDescent="0.3">
      <c r="C566" s="1"/>
      <c r="H566" s="2"/>
    </row>
    <row r="567" spans="3:8" ht="14.4" x14ac:dyDescent="0.3">
      <c r="C567" s="1"/>
      <c r="H567" s="2"/>
    </row>
    <row r="568" spans="3:8" ht="14.4" x14ac:dyDescent="0.3">
      <c r="C568" s="1"/>
      <c r="H568" s="2"/>
    </row>
    <row r="569" spans="3:8" ht="14.4" x14ac:dyDescent="0.3">
      <c r="C569" s="1"/>
      <c r="H569" s="2"/>
    </row>
    <row r="570" spans="3:8" ht="14.4" x14ac:dyDescent="0.3">
      <c r="C570" s="1"/>
      <c r="H570" s="2"/>
    </row>
    <row r="571" spans="3:8" ht="14.4" x14ac:dyDescent="0.3">
      <c r="C571" s="1"/>
      <c r="H571" s="2"/>
    </row>
    <row r="572" spans="3:8" ht="14.4" x14ac:dyDescent="0.3">
      <c r="C572" s="1"/>
      <c r="H572" s="2"/>
    </row>
    <row r="573" spans="3:8" ht="14.4" x14ac:dyDescent="0.3">
      <c r="C573" s="1"/>
      <c r="H573" s="2"/>
    </row>
    <row r="574" spans="3:8" ht="14.4" x14ac:dyDescent="0.3">
      <c r="C574" s="1"/>
      <c r="H574" s="2"/>
    </row>
    <row r="575" spans="3:8" ht="14.4" x14ac:dyDescent="0.3">
      <c r="C575" s="1"/>
      <c r="H575" s="2"/>
    </row>
    <row r="576" spans="3:8" ht="14.4" x14ac:dyDescent="0.3">
      <c r="C576" s="1"/>
      <c r="H576" s="2"/>
    </row>
    <row r="577" spans="3:8" ht="14.4" x14ac:dyDescent="0.3">
      <c r="C577" s="1"/>
      <c r="H577" s="2"/>
    </row>
    <row r="578" spans="3:8" ht="14.4" x14ac:dyDescent="0.3">
      <c r="C578" s="1"/>
      <c r="H578" s="2"/>
    </row>
    <row r="579" spans="3:8" ht="14.4" x14ac:dyDescent="0.3">
      <c r="C579" s="1"/>
      <c r="H579" s="2"/>
    </row>
    <row r="580" spans="3:8" ht="14.4" x14ac:dyDescent="0.3">
      <c r="C580" s="1"/>
      <c r="H580" s="2"/>
    </row>
    <row r="581" spans="3:8" ht="14.4" x14ac:dyDescent="0.3">
      <c r="C581" s="1"/>
      <c r="H581" s="2"/>
    </row>
    <row r="582" spans="3:8" ht="14.4" x14ac:dyDescent="0.3">
      <c r="C582" s="1"/>
      <c r="H582" s="2"/>
    </row>
    <row r="583" spans="3:8" ht="14.4" x14ac:dyDescent="0.3">
      <c r="C583" s="1"/>
      <c r="H583" s="2"/>
    </row>
    <row r="584" spans="3:8" ht="14.4" x14ac:dyDescent="0.3">
      <c r="C584" s="1"/>
      <c r="H584" s="2"/>
    </row>
    <row r="585" spans="3:8" ht="14.4" x14ac:dyDescent="0.3">
      <c r="C585" s="1"/>
      <c r="H585" s="2"/>
    </row>
    <row r="586" spans="3:8" ht="14.4" x14ac:dyDescent="0.3">
      <c r="C586" s="1"/>
      <c r="H586" s="2"/>
    </row>
    <row r="587" spans="3:8" ht="14.4" x14ac:dyDescent="0.3">
      <c r="C587" s="1"/>
      <c r="H587" s="2"/>
    </row>
    <row r="588" spans="3:8" ht="14.4" x14ac:dyDescent="0.3">
      <c r="C588" s="1"/>
      <c r="H588" s="2"/>
    </row>
    <row r="589" spans="3:8" ht="14.4" x14ac:dyDescent="0.3">
      <c r="C589" s="1"/>
      <c r="H589" s="2"/>
    </row>
    <row r="590" spans="3:8" ht="14.4" x14ac:dyDescent="0.3">
      <c r="C590" s="1"/>
      <c r="H590" s="2"/>
    </row>
    <row r="591" spans="3:8" ht="14.4" x14ac:dyDescent="0.3">
      <c r="C591" s="1"/>
      <c r="H591" s="2"/>
    </row>
    <row r="592" spans="3:8" ht="14.4" x14ac:dyDescent="0.3">
      <c r="C592" s="1"/>
      <c r="H592" s="2"/>
    </row>
    <row r="593" spans="3:8" ht="14.4" x14ac:dyDescent="0.3">
      <c r="C593" s="1"/>
      <c r="H593" s="2"/>
    </row>
    <row r="594" spans="3:8" ht="14.4" x14ac:dyDescent="0.3">
      <c r="C594" s="1"/>
      <c r="H594" s="2"/>
    </row>
    <row r="595" spans="3:8" ht="14.4" x14ac:dyDescent="0.3">
      <c r="C595" s="1"/>
      <c r="H595" s="2"/>
    </row>
    <row r="596" spans="3:8" ht="14.4" x14ac:dyDescent="0.3">
      <c r="C596" s="1"/>
      <c r="H596" s="2"/>
    </row>
    <row r="597" spans="3:8" ht="14.4" x14ac:dyDescent="0.3">
      <c r="C597" s="1"/>
      <c r="H597" s="2"/>
    </row>
    <row r="598" spans="3:8" ht="14.4" x14ac:dyDescent="0.3">
      <c r="C598" s="1"/>
      <c r="H598" s="2"/>
    </row>
    <row r="599" spans="3:8" ht="14.4" x14ac:dyDescent="0.3">
      <c r="C599" s="1"/>
      <c r="H599" s="2"/>
    </row>
    <row r="600" spans="3:8" ht="14.4" x14ac:dyDescent="0.3">
      <c r="C600" s="1"/>
      <c r="H600" s="2"/>
    </row>
    <row r="601" spans="3:8" ht="14.4" x14ac:dyDescent="0.3">
      <c r="C601" s="1"/>
      <c r="H601" s="2"/>
    </row>
    <row r="602" spans="3:8" ht="14.4" x14ac:dyDescent="0.3">
      <c r="C602" s="1"/>
      <c r="H602" s="2"/>
    </row>
    <row r="603" spans="3:8" ht="14.4" x14ac:dyDescent="0.3">
      <c r="C603" s="1"/>
      <c r="H603" s="2"/>
    </row>
    <row r="604" spans="3:8" ht="14.4" x14ac:dyDescent="0.3">
      <c r="C604" s="1"/>
      <c r="H604" s="2"/>
    </row>
    <row r="605" spans="3:8" ht="14.4" x14ac:dyDescent="0.3">
      <c r="C605" s="1"/>
      <c r="H605" s="2"/>
    </row>
    <row r="606" spans="3:8" ht="14.4" x14ac:dyDescent="0.3">
      <c r="C606" s="1"/>
      <c r="H606" s="2"/>
    </row>
    <row r="607" spans="3:8" ht="14.4" x14ac:dyDescent="0.3">
      <c r="C607" s="1"/>
      <c r="H607" s="2"/>
    </row>
    <row r="608" spans="3:8" ht="14.4" x14ac:dyDescent="0.3">
      <c r="C608" s="1"/>
      <c r="H608" s="2"/>
    </row>
    <row r="609" spans="3:8" ht="14.4" x14ac:dyDescent="0.3">
      <c r="C609" s="1"/>
      <c r="H609" s="2"/>
    </row>
    <row r="610" spans="3:8" ht="14.4" x14ac:dyDescent="0.3">
      <c r="C610" s="1"/>
      <c r="H610" s="2"/>
    </row>
    <row r="611" spans="3:8" ht="14.4" x14ac:dyDescent="0.3">
      <c r="C611" s="1"/>
      <c r="H611" s="2"/>
    </row>
    <row r="612" spans="3:8" ht="14.4" x14ac:dyDescent="0.3">
      <c r="C612" s="1"/>
      <c r="H612" s="2"/>
    </row>
    <row r="613" spans="3:8" ht="14.4" x14ac:dyDescent="0.3">
      <c r="C613" s="1"/>
      <c r="H613" s="2"/>
    </row>
    <row r="614" spans="3:8" ht="14.4" x14ac:dyDescent="0.3">
      <c r="C614" s="1"/>
      <c r="H614" s="2"/>
    </row>
    <row r="615" spans="3:8" ht="14.4" x14ac:dyDescent="0.3">
      <c r="C615" s="1"/>
      <c r="H615" s="2"/>
    </row>
    <row r="616" spans="3:8" ht="14.4" x14ac:dyDescent="0.3">
      <c r="C616" s="1"/>
      <c r="H616" s="2"/>
    </row>
    <row r="617" spans="3:8" ht="14.4" x14ac:dyDescent="0.3">
      <c r="C617" s="1"/>
      <c r="H617" s="2"/>
    </row>
    <row r="618" spans="3:8" ht="14.4" x14ac:dyDescent="0.3">
      <c r="C618" s="1"/>
      <c r="H618" s="2"/>
    </row>
    <row r="619" spans="3:8" ht="14.4" x14ac:dyDescent="0.3">
      <c r="C619" s="1"/>
      <c r="H619" s="2"/>
    </row>
    <row r="620" spans="3:8" ht="14.4" x14ac:dyDescent="0.3">
      <c r="C620" s="1"/>
      <c r="H620" s="2"/>
    </row>
    <row r="621" spans="3:8" ht="14.4" x14ac:dyDescent="0.3">
      <c r="C621" s="1"/>
      <c r="H621" s="2"/>
    </row>
    <row r="622" spans="3:8" ht="14.4" x14ac:dyDescent="0.3">
      <c r="C622" s="1"/>
      <c r="H622" s="2"/>
    </row>
    <row r="623" spans="3:8" ht="14.4" x14ac:dyDescent="0.3">
      <c r="C623" s="1"/>
      <c r="H623" s="2"/>
    </row>
    <row r="624" spans="3:8" ht="14.4" x14ac:dyDescent="0.3">
      <c r="C624" s="1"/>
      <c r="H624" s="2"/>
    </row>
    <row r="625" spans="3:8" ht="14.4" x14ac:dyDescent="0.3">
      <c r="C625" s="1"/>
      <c r="H625" s="2"/>
    </row>
    <row r="626" spans="3:8" ht="14.4" x14ac:dyDescent="0.3">
      <c r="C626" s="1"/>
      <c r="H626" s="2"/>
    </row>
    <row r="627" spans="3:8" ht="14.4" x14ac:dyDescent="0.3">
      <c r="C627" s="1"/>
      <c r="H627" s="2"/>
    </row>
    <row r="628" spans="3:8" ht="14.4" x14ac:dyDescent="0.3">
      <c r="C628" s="1"/>
      <c r="H628" s="2"/>
    </row>
    <row r="629" spans="3:8" ht="14.4" x14ac:dyDescent="0.3">
      <c r="C629" s="1"/>
      <c r="H629" s="2"/>
    </row>
    <row r="630" spans="3:8" ht="14.4" x14ac:dyDescent="0.3">
      <c r="C630" s="1"/>
      <c r="H630" s="2"/>
    </row>
    <row r="631" spans="3:8" ht="14.4" x14ac:dyDescent="0.3">
      <c r="C631" s="1"/>
      <c r="H631" s="2"/>
    </row>
    <row r="632" spans="3:8" ht="14.4" x14ac:dyDescent="0.3">
      <c r="C632" s="1"/>
      <c r="H632" s="2"/>
    </row>
    <row r="633" spans="3:8" ht="14.4" x14ac:dyDescent="0.3">
      <c r="C633" s="1"/>
      <c r="H633" s="2"/>
    </row>
    <row r="634" spans="3:8" ht="14.4" x14ac:dyDescent="0.3">
      <c r="C634" s="1"/>
      <c r="H634" s="2"/>
    </row>
    <row r="635" spans="3:8" ht="14.4" x14ac:dyDescent="0.3">
      <c r="C635" s="1"/>
      <c r="H635" s="2"/>
    </row>
    <row r="636" spans="3:8" ht="14.4" x14ac:dyDescent="0.3">
      <c r="C636" s="1"/>
      <c r="H636" s="2"/>
    </row>
    <row r="637" spans="3:8" ht="14.4" x14ac:dyDescent="0.3">
      <c r="C637" s="1"/>
      <c r="H637" s="2"/>
    </row>
    <row r="638" spans="3:8" ht="14.4" x14ac:dyDescent="0.3">
      <c r="C638" s="1"/>
      <c r="H638" s="2"/>
    </row>
    <row r="639" spans="3:8" ht="14.4" x14ac:dyDescent="0.3">
      <c r="C639" s="1"/>
      <c r="H639" s="2"/>
    </row>
    <row r="640" spans="3:8" ht="14.4" x14ac:dyDescent="0.3">
      <c r="C640" s="1"/>
      <c r="H640" s="2"/>
    </row>
    <row r="641" spans="3:8" ht="14.4" x14ac:dyDescent="0.3">
      <c r="C641" s="1"/>
      <c r="H641" s="2"/>
    </row>
    <row r="642" spans="3:8" ht="14.4" x14ac:dyDescent="0.3">
      <c r="C642" s="1"/>
      <c r="H642" s="2"/>
    </row>
    <row r="643" spans="3:8" ht="14.4" x14ac:dyDescent="0.3">
      <c r="C643" s="1"/>
      <c r="H643" s="2"/>
    </row>
    <row r="644" spans="3:8" ht="14.4" x14ac:dyDescent="0.3">
      <c r="C644" s="1"/>
      <c r="H644" s="2"/>
    </row>
    <row r="645" spans="3:8" ht="14.4" x14ac:dyDescent="0.3">
      <c r="C645" s="1"/>
      <c r="H645" s="2"/>
    </row>
    <row r="646" spans="3:8" ht="14.4" x14ac:dyDescent="0.3">
      <c r="C646" s="1"/>
      <c r="H646" s="2"/>
    </row>
    <row r="647" spans="3:8" ht="14.4" x14ac:dyDescent="0.3">
      <c r="C647" s="1"/>
      <c r="H647" s="2"/>
    </row>
    <row r="648" spans="3:8" ht="14.4" x14ac:dyDescent="0.3">
      <c r="C648" s="1"/>
      <c r="H648" s="2"/>
    </row>
    <row r="649" spans="3:8" ht="14.4" x14ac:dyDescent="0.3">
      <c r="C649" s="1"/>
      <c r="H649" s="2"/>
    </row>
    <row r="650" spans="3:8" ht="14.4" x14ac:dyDescent="0.3">
      <c r="C650" s="1"/>
      <c r="H650" s="2"/>
    </row>
    <row r="651" spans="3:8" ht="14.4" x14ac:dyDescent="0.3">
      <c r="C651" s="1"/>
      <c r="H651" s="2"/>
    </row>
    <row r="652" spans="3:8" ht="14.4" x14ac:dyDescent="0.3">
      <c r="C652" s="1"/>
      <c r="H652" s="2"/>
    </row>
    <row r="653" spans="3:8" ht="14.4" x14ac:dyDescent="0.3">
      <c r="C653" s="1"/>
      <c r="H653" s="2"/>
    </row>
    <row r="654" spans="3:8" ht="14.4" x14ac:dyDescent="0.3">
      <c r="C654" s="1"/>
      <c r="H654" s="2"/>
    </row>
    <row r="655" spans="3:8" ht="14.4" x14ac:dyDescent="0.3">
      <c r="C655" s="1"/>
      <c r="H655" s="2"/>
    </row>
    <row r="656" spans="3:8" ht="14.4" x14ac:dyDescent="0.3">
      <c r="C656" s="1"/>
      <c r="H656" s="2"/>
    </row>
    <row r="657" spans="3:8" ht="14.4" x14ac:dyDescent="0.3">
      <c r="C657" s="1"/>
      <c r="H657" s="2"/>
    </row>
    <row r="658" spans="3:8" ht="14.4" x14ac:dyDescent="0.3">
      <c r="C658" s="1"/>
      <c r="H658" s="2"/>
    </row>
    <row r="659" spans="3:8" ht="14.4" x14ac:dyDescent="0.3">
      <c r="C659" s="1"/>
      <c r="H659" s="2"/>
    </row>
    <row r="660" spans="3:8" ht="14.4" x14ac:dyDescent="0.3">
      <c r="C660" s="1"/>
      <c r="H660" s="2"/>
    </row>
    <row r="661" spans="3:8" ht="14.4" x14ac:dyDescent="0.3">
      <c r="C661" s="1"/>
      <c r="H661" s="2"/>
    </row>
    <row r="662" spans="3:8" ht="14.4" x14ac:dyDescent="0.3">
      <c r="C662" s="1"/>
      <c r="H662" s="2"/>
    </row>
    <row r="663" spans="3:8" ht="14.4" x14ac:dyDescent="0.3">
      <c r="C663" s="1"/>
      <c r="H663" s="2"/>
    </row>
    <row r="664" spans="3:8" ht="14.4" x14ac:dyDescent="0.3">
      <c r="C664" s="1"/>
      <c r="H664" s="2"/>
    </row>
    <row r="665" spans="3:8" ht="14.4" x14ac:dyDescent="0.3">
      <c r="C665" s="1"/>
      <c r="H665" s="2"/>
    </row>
    <row r="666" spans="3:8" ht="14.4" x14ac:dyDescent="0.3">
      <c r="C666" s="1"/>
      <c r="H666" s="2"/>
    </row>
    <row r="667" spans="3:8" ht="14.4" x14ac:dyDescent="0.3">
      <c r="C667" s="1"/>
      <c r="H667" s="2"/>
    </row>
    <row r="668" spans="3:8" ht="14.4" x14ac:dyDescent="0.3">
      <c r="C668" s="1"/>
      <c r="H668" s="2"/>
    </row>
    <row r="669" spans="3:8" ht="14.4" x14ac:dyDescent="0.3">
      <c r="C669" s="1"/>
      <c r="H669" s="2"/>
    </row>
    <row r="670" spans="3:8" ht="14.4" x14ac:dyDescent="0.3">
      <c r="C670" s="1"/>
      <c r="H670" s="2"/>
    </row>
    <row r="671" spans="3:8" ht="14.4" x14ac:dyDescent="0.3">
      <c r="C671" s="1"/>
      <c r="H671" s="2"/>
    </row>
    <row r="672" spans="3:8" ht="14.4" x14ac:dyDescent="0.3">
      <c r="C672" s="1"/>
      <c r="H672" s="2"/>
    </row>
    <row r="673" spans="3:8" ht="14.4" x14ac:dyDescent="0.3">
      <c r="C673" s="1"/>
      <c r="H673" s="2"/>
    </row>
    <row r="674" spans="3:8" ht="14.4" x14ac:dyDescent="0.3">
      <c r="C674" s="1"/>
      <c r="H674" s="2"/>
    </row>
    <row r="675" spans="3:8" ht="14.4" x14ac:dyDescent="0.3">
      <c r="C675" s="1"/>
      <c r="H675" s="2"/>
    </row>
    <row r="676" spans="3:8" ht="14.4" x14ac:dyDescent="0.3">
      <c r="C676" s="1"/>
      <c r="H676" s="2"/>
    </row>
    <row r="677" spans="3:8" ht="14.4" x14ac:dyDescent="0.3">
      <c r="C677" s="1"/>
      <c r="H677" s="2"/>
    </row>
    <row r="678" spans="3:8" ht="14.4" x14ac:dyDescent="0.3">
      <c r="C678" s="1"/>
      <c r="H678" s="2"/>
    </row>
    <row r="679" spans="3:8" ht="14.4" x14ac:dyDescent="0.3">
      <c r="C679" s="1"/>
      <c r="H679" s="2"/>
    </row>
    <row r="680" spans="3:8" ht="14.4" x14ac:dyDescent="0.3">
      <c r="C680" s="1"/>
      <c r="H680" s="2"/>
    </row>
    <row r="681" spans="3:8" ht="14.4" x14ac:dyDescent="0.3">
      <c r="C681" s="1"/>
      <c r="H681" s="2"/>
    </row>
    <row r="682" spans="3:8" ht="14.4" x14ac:dyDescent="0.3">
      <c r="C682" s="1"/>
      <c r="H682" s="2"/>
    </row>
    <row r="683" spans="3:8" ht="14.4" x14ac:dyDescent="0.3">
      <c r="C683" s="1"/>
      <c r="H683" s="2"/>
    </row>
    <row r="684" spans="3:8" ht="14.4" x14ac:dyDescent="0.3">
      <c r="C684" s="1"/>
      <c r="H684" s="2"/>
    </row>
    <row r="685" spans="3:8" ht="14.4" x14ac:dyDescent="0.3">
      <c r="C685" s="1"/>
      <c r="H685" s="2"/>
    </row>
    <row r="686" spans="3:8" ht="14.4" x14ac:dyDescent="0.3">
      <c r="C686" s="1"/>
      <c r="H686" s="2"/>
    </row>
    <row r="687" spans="3:8" ht="14.4" x14ac:dyDescent="0.3">
      <c r="C687" s="1"/>
      <c r="H687" s="2"/>
    </row>
    <row r="688" spans="3:8" ht="14.4" x14ac:dyDescent="0.3">
      <c r="C688" s="1"/>
      <c r="H688" s="2"/>
    </row>
    <row r="689" spans="3:8" ht="14.4" x14ac:dyDescent="0.3">
      <c r="C689" s="1"/>
      <c r="H689" s="2"/>
    </row>
    <row r="690" spans="3:8" ht="14.4" x14ac:dyDescent="0.3">
      <c r="C690" s="1"/>
      <c r="H690" s="2"/>
    </row>
    <row r="691" spans="3:8" ht="14.4" x14ac:dyDescent="0.3">
      <c r="C691" s="1"/>
      <c r="H691" s="2"/>
    </row>
    <row r="692" spans="3:8" ht="14.4" x14ac:dyDescent="0.3">
      <c r="C692" s="1"/>
      <c r="H692" s="2"/>
    </row>
    <row r="693" spans="3:8" ht="14.4" x14ac:dyDescent="0.3">
      <c r="C693" s="1"/>
      <c r="H693" s="2"/>
    </row>
    <row r="694" spans="3:8" ht="14.4" x14ac:dyDescent="0.3">
      <c r="C694" s="1"/>
      <c r="H694" s="2"/>
    </row>
    <row r="695" spans="3:8" ht="14.4" x14ac:dyDescent="0.3">
      <c r="C695" s="1"/>
      <c r="H695" s="2"/>
    </row>
    <row r="696" spans="3:8" ht="14.4" x14ac:dyDescent="0.3">
      <c r="C696" s="1"/>
      <c r="H696" s="2"/>
    </row>
    <row r="697" spans="3:8" ht="14.4" x14ac:dyDescent="0.3">
      <c r="C697" s="1"/>
      <c r="H697" s="2"/>
    </row>
    <row r="698" spans="3:8" ht="14.4" x14ac:dyDescent="0.3">
      <c r="C698" s="1"/>
      <c r="H698" s="2"/>
    </row>
    <row r="699" spans="3:8" ht="14.4" x14ac:dyDescent="0.3">
      <c r="C699" s="1"/>
      <c r="H699" s="2"/>
    </row>
    <row r="700" spans="3:8" ht="14.4" x14ac:dyDescent="0.3">
      <c r="C700" s="1"/>
      <c r="H700" s="2"/>
    </row>
    <row r="701" spans="3:8" ht="14.4" x14ac:dyDescent="0.3">
      <c r="C701" s="1"/>
      <c r="H701" s="2"/>
    </row>
    <row r="702" spans="3:8" ht="14.4" x14ac:dyDescent="0.3">
      <c r="C702" s="1"/>
      <c r="H702" s="2"/>
    </row>
    <row r="703" spans="3:8" ht="14.4" x14ac:dyDescent="0.3">
      <c r="C703" s="1"/>
      <c r="H703" s="2"/>
    </row>
    <row r="704" spans="3:8" ht="14.4" x14ac:dyDescent="0.3">
      <c r="C704" s="1"/>
      <c r="H704" s="2"/>
    </row>
    <row r="705" spans="3:8" ht="14.4" x14ac:dyDescent="0.3">
      <c r="C705" s="1"/>
      <c r="H705" s="2"/>
    </row>
    <row r="706" spans="3:8" ht="14.4" x14ac:dyDescent="0.3">
      <c r="C706" s="1"/>
      <c r="H706" s="2"/>
    </row>
    <row r="707" spans="3:8" ht="14.4" x14ac:dyDescent="0.3">
      <c r="C707" s="1"/>
      <c r="H707" s="2"/>
    </row>
    <row r="708" spans="3:8" ht="14.4" x14ac:dyDescent="0.3">
      <c r="C708" s="1"/>
      <c r="H708" s="2"/>
    </row>
    <row r="709" spans="3:8" ht="14.4" x14ac:dyDescent="0.3">
      <c r="C709" s="1"/>
      <c r="H709" s="2"/>
    </row>
    <row r="710" spans="3:8" ht="14.4" x14ac:dyDescent="0.3">
      <c r="C710" s="1"/>
      <c r="H710" s="2"/>
    </row>
    <row r="711" spans="3:8" ht="14.4" x14ac:dyDescent="0.3">
      <c r="C711" s="1"/>
      <c r="H711" s="2"/>
    </row>
    <row r="712" spans="3:8" ht="14.4" x14ac:dyDescent="0.3">
      <c r="C712" s="1"/>
      <c r="H712" s="2"/>
    </row>
    <row r="713" spans="3:8" ht="14.4" x14ac:dyDescent="0.3">
      <c r="C713" s="1"/>
      <c r="H713" s="2"/>
    </row>
    <row r="714" spans="3:8" ht="14.4" x14ac:dyDescent="0.3">
      <c r="C714" s="1"/>
      <c r="H714" s="2"/>
    </row>
    <row r="715" spans="3:8" ht="14.4" x14ac:dyDescent="0.3">
      <c r="C715" s="1"/>
      <c r="H715" s="2"/>
    </row>
    <row r="716" spans="3:8" ht="14.4" x14ac:dyDescent="0.3">
      <c r="C716" s="1"/>
      <c r="H716" s="2"/>
    </row>
    <row r="717" spans="3:8" ht="14.4" x14ac:dyDescent="0.3">
      <c r="C717" s="1"/>
      <c r="H717" s="2"/>
    </row>
    <row r="718" spans="3:8" ht="14.4" x14ac:dyDescent="0.3">
      <c r="C718" s="1"/>
      <c r="H718" s="2"/>
    </row>
    <row r="719" spans="3:8" ht="14.4" x14ac:dyDescent="0.3">
      <c r="C719" s="1"/>
      <c r="H719" s="2"/>
    </row>
    <row r="720" spans="3:8" ht="14.4" x14ac:dyDescent="0.3">
      <c r="C720" s="1"/>
      <c r="H720" s="2"/>
    </row>
    <row r="721" spans="3:8" ht="14.4" x14ac:dyDescent="0.3">
      <c r="C721" s="1"/>
      <c r="H721" s="2"/>
    </row>
    <row r="722" spans="3:8" ht="14.4" x14ac:dyDescent="0.3">
      <c r="C722" s="1"/>
      <c r="H722" s="2"/>
    </row>
    <row r="723" spans="3:8" ht="14.4" x14ac:dyDescent="0.3">
      <c r="C723" s="1"/>
      <c r="H723" s="2"/>
    </row>
    <row r="724" spans="3:8" ht="14.4" x14ac:dyDescent="0.3">
      <c r="C724" s="1"/>
      <c r="H724" s="2"/>
    </row>
    <row r="725" spans="3:8" ht="14.4" x14ac:dyDescent="0.3">
      <c r="C725" s="1"/>
      <c r="H725" s="2"/>
    </row>
    <row r="726" spans="3:8" ht="14.4" x14ac:dyDescent="0.3">
      <c r="C726" s="1"/>
      <c r="H726" s="2"/>
    </row>
    <row r="727" spans="3:8" ht="14.4" x14ac:dyDescent="0.3">
      <c r="C727" s="1"/>
      <c r="H727" s="2"/>
    </row>
    <row r="728" spans="3:8" ht="14.4" x14ac:dyDescent="0.3">
      <c r="C728" s="1"/>
      <c r="H728" s="2"/>
    </row>
    <row r="729" spans="3:8" ht="14.4" x14ac:dyDescent="0.3">
      <c r="C729" s="1"/>
      <c r="H729" s="2"/>
    </row>
    <row r="730" spans="3:8" ht="14.4" x14ac:dyDescent="0.3">
      <c r="C730" s="1"/>
      <c r="H730" s="2"/>
    </row>
    <row r="731" spans="3:8" ht="14.4" x14ac:dyDescent="0.3">
      <c r="C731" s="1"/>
      <c r="H731" s="2"/>
    </row>
    <row r="732" spans="3:8" ht="14.4" x14ac:dyDescent="0.3">
      <c r="C732" s="1"/>
      <c r="H732" s="2"/>
    </row>
    <row r="733" spans="3:8" ht="14.4" x14ac:dyDescent="0.3">
      <c r="C733" s="1"/>
      <c r="H733" s="2"/>
    </row>
    <row r="734" spans="3:8" ht="14.4" x14ac:dyDescent="0.3">
      <c r="C734" s="1"/>
      <c r="H734" s="2"/>
    </row>
    <row r="735" spans="3:8" ht="14.4" x14ac:dyDescent="0.3">
      <c r="C735" s="1"/>
      <c r="H735" s="2"/>
    </row>
    <row r="736" spans="3:8" ht="14.4" x14ac:dyDescent="0.3">
      <c r="C736" s="1"/>
      <c r="H736" s="2"/>
    </row>
    <row r="737" spans="3:8" ht="14.4" x14ac:dyDescent="0.3">
      <c r="C737" s="1"/>
      <c r="H737" s="2"/>
    </row>
    <row r="738" spans="3:8" ht="14.4" x14ac:dyDescent="0.3">
      <c r="C738" s="1"/>
      <c r="H738" s="2"/>
    </row>
    <row r="739" spans="3:8" ht="14.4" x14ac:dyDescent="0.3">
      <c r="C739" s="1"/>
      <c r="H739" s="2"/>
    </row>
    <row r="740" spans="3:8" ht="14.4" x14ac:dyDescent="0.3">
      <c r="C740" s="1"/>
      <c r="H740" s="2"/>
    </row>
    <row r="741" spans="3:8" ht="14.4" x14ac:dyDescent="0.3">
      <c r="C741" s="1"/>
      <c r="H741" s="2"/>
    </row>
    <row r="742" spans="3:8" ht="14.4" x14ac:dyDescent="0.3">
      <c r="C742" s="1"/>
      <c r="H742" s="2"/>
    </row>
    <row r="743" spans="3:8" ht="14.4" x14ac:dyDescent="0.3">
      <c r="C743" s="1"/>
      <c r="H743" s="2"/>
    </row>
    <row r="744" spans="3:8" ht="14.4" x14ac:dyDescent="0.3">
      <c r="C744" s="1"/>
      <c r="H744" s="2"/>
    </row>
    <row r="745" spans="3:8" ht="14.4" x14ac:dyDescent="0.3">
      <c r="C745" s="1"/>
      <c r="H745" s="2"/>
    </row>
    <row r="746" spans="3:8" ht="14.4" x14ac:dyDescent="0.3">
      <c r="C746" s="1"/>
      <c r="H746" s="2"/>
    </row>
    <row r="747" spans="3:8" ht="14.4" x14ac:dyDescent="0.3">
      <c r="C747" s="1"/>
      <c r="H747" s="2"/>
    </row>
    <row r="748" spans="3:8" ht="14.4" x14ac:dyDescent="0.3">
      <c r="C748" s="1"/>
      <c r="H748" s="2"/>
    </row>
    <row r="749" spans="3:8" ht="14.4" x14ac:dyDescent="0.3">
      <c r="C749" s="1"/>
      <c r="H749" s="2"/>
    </row>
    <row r="750" spans="3:8" ht="14.4" x14ac:dyDescent="0.3">
      <c r="C750" s="1"/>
      <c r="H750" s="2"/>
    </row>
    <row r="751" spans="3:8" ht="14.4" x14ac:dyDescent="0.3">
      <c r="C751" s="1"/>
      <c r="H751" s="2"/>
    </row>
    <row r="752" spans="3:8" ht="14.4" x14ac:dyDescent="0.3">
      <c r="C752" s="1"/>
      <c r="H752" s="2"/>
    </row>
    <row r="753" spans="3:8" ht="14.4" x14ac:dyDescent="0.3">
      <c r="C753" s="1"/>
      <c r="H753" s="2"/>
    </row>
    <row r="754" spans="3:8" ht="14.4" x14ac:dyDescent="0.3">
      <c r="C754" s="1"/>
      <c r="H754" s="2"/>
    </row>
    <row r="755" spans="3:8" ht="14.4" x14ac:dyDescent="0.3">
      <c r="C755" s="1"/>
      <c r="H755" s="2"/>
    </row>
    <row r="756" spans="3:8" ht="14.4" x14ac:dyDescent="0.3">
      <c r="C756" s="1"/>
      <c r="H756" s="2"/>
    </row>
    <row r="757" spans="3:8" ht="14.4" x14ac:dyDescent="0.3">
      <c r="C757" s="1"/>
      <c r="H757" s="2"/>
    </row>
    <row r="758" spans="3:8" ht="14.4" x14ac:dyDescent="0.3">
      <c r="C758" s="1"/>
      <c r="H758" s="2"/>
    </row>
    <row r="759" spans="3:8" ht="14.4" x14ac:dyDescent="0.3">
      <c r="C759" s="1"/>
      <c r="H759" s="2"/>
    </row>
    <row r="760" spans="3:8" ht="14.4" x14ac:dyDescent="0.3">
      <c r="C760" s="1"/>
      <c r="H760" s="2"/>
    </row>
    <row r="761" spans="3:8" ht="14.4" x14ac:dyDescent="0.3">
      <c r="C761" s="1"/>
      <c r="H761" s="2"/>
    </row>
    <row r="762" spans="3:8" ht="14.4" x14ac:dyDescent="0.3">
      <c r="C762" s="1"/>
      <c r="H762" s="2"/>
    </row>
    <row r="763" spans="3:8" ht="14.4" x14ac:dyDescent="0.3">
      <c r="C763" s="1"/>
      <c r="H763" s="2"/>
    </row>
    <row r="764" spans="3:8" ht="14.4" x14ac:dyDescent="0.3">
      <c r="C764" s="1"/>
      <c r="H764" s="2"/>
    </row>
    <row r="765" spans="3:8" ht="14.4" x14ac:dyDescent="0.3">
      <c r="C765" s="1"/>
      <c r="H765" s="2"/>
    </row>
    <row r="766" spans="3:8" ht="14.4" x14ac:dyDescent="0.3">
      <c r="C766" s="1"/>
      <c r="H766" s="2"/>
    </row>
    <row r="767" spans="3:8" ht="14.4" x14ac:dyDescent="0.3">
      <c r="C767" s="1"/>
      <c r="H767" s="2"/>
    </row>
    <row r="768" spans="3:8" ht="14.4" x14ac:dyDescent="0.3">
      <c r="C768" s="1"/>
      <c r="H768" s="2"/>
    </row>
    <row r="769" spans="3:8" ht="14.4" x14ac:dyDescent="0.3">
      <c r="C769" s="1"/>
      <c r="H769" s="2"/>
    </row>
    <row r="770" spans="3:8" ht="14.4" x14ac:dyDescent="0.3">
      <c r="C770" s="1"/>
      <c r="H770" s="2"/>
    </row>
    <row r="771" spans="3:8" ht="14.4" x14ac:dyDescent="0.3">
      <c r="C771" s="1"/>
      <c r="H771" s="2"/>
    </row>
    <row r="772" spans="3:8" ht="14.4" x14ac:dyDescent="0.3">
      <c r="C772" s="1"/>
      <c r="H772" s="2"/>
    </row>
    <row r="773" spans="3:8" ht="14.4" x14ac:dyDescent="0.3">
      <c r="C773" s="1"/>
      <c r="H773" s="2"/>
    </row>
    <row r="774" spans="3:8" ht="14.4" x14ac:dyDescent="0.3">
      <c r="C774" s="1"/>
      <c r="H774" s="2"/>
    </row>
    <row r="775" spans="3:8" ht="14.4" x14ac:dyDescent="0.3">
      <c r="C775" s="1"/>
      <c r="H775" s="2"/>
    </row>
    <row r="776" spans="3:8" ht="14.4" x14ac:dyDescent="0.3">
      <c r="C776" s="1"/>
      <c r="H776" s="2"/>
    </row>
    <row r="777" spans="3:8" ht="14.4" x14ac:dyDescent="0.3">
      <c r="C777" s="1"/>
      <c r="H777" s="2"/>
    </row>
    <row r="778" spans="3:8" ht="14.4" x14ac:dyDescent="0.3">
      <c r="C778" s="1"/>
      <c r="H778" s="2"/>
    </row>
    <row r="779" spans="3:8" ht="14.4" x14ac:dyDescent="0.3">
      <c r="C779" s="1"/>
      <c r="H779" s="2"/>
    </row>
    <row r="780" spans="3:8" ht="14.4" x14ac:dyDescent="0.3">
      <c r="C780" s="1"/>
      <c r="H780" s="2"/>
    </row>
    <row r="781" spans="3:8" ht="14.4" x14ac:dyDescent="0.3">
      <c r="C781" s="1"/>
      <c r="H781" s="2"/>
    </row>
    <row r="782" spans="3:8" ht="14.4" x14ac:dyDescent="0.3">
      <c r="C782" s="1"/>
      <c r="H782" s="2"/>
    </row>
    <row r="783" spans="3:8" ht="14.4" x14ac:dyDescent="0.3">
      <c r="C783" s="1"/>
      <c r="H783" s="2"/>
    </row>
    <row r="784" spans="3:8" ht="14.4" x14ac:dyDescent="0.3">
      <c r="C784" s="1"/>
      <c r="H784" s="2"/>
    </row>
    <row r="785" spans="3:8" ht="14.4" x14ac:dyDescent="0.3">
      <c r="C785" s="1"/>
      <c r="H785" s="2"/>
    </row>
    <row r="786" spans="3:8" ht="14.4" x14ac:dyDescent="0.3">
      <c r="C786" s="1"/>
      <c r="H786" s="2"/>
    </row>
    <row r="787" spans="3:8" ht="14.4" x14ac:dyDescent="0.3">
      <c r="C787" s="1"/>
      <c r="H787" s="2"/>
    </row>
    <row r="788" spans="3:8" ht="14.4" x14ac:dyDescent="0.3">
      <c r="C788" s="1"/>
      <c r="H788" s="2"/>
    </row>
    <row r="789" spans="3:8" ht="14.4" x14ac:dyDescent="0.3">
      <c r="C789" s="1"/>
      <c r="H789" s="2"/>
    </row>
    <row r="790" spans="3:8" ht="14.4" x14ac:dyDescent="0.3">
      <c r="C790" s="1"/>
      <c r="H790" s="2"/>
    </row>
    <row r="791" spans="3:8" ht="14.4" x14ac:dyDescent="0.3">
      <c r="C791" s="1"/>
      <c r="H791" s="2"/>
    </row>
    <row r="792" spans="3:8" ht="14.4" x14ac:dyDescent="0.3">
      <c r="C792" s="1"/>
      <c r="H792" s="2"/>
    </row>
    <row r="793" spans="3:8" ht="14.4" x14ac:dyDescent="0.3">
      <c r="C793" s="1"/>
      <c r="H793" s="2"/>
    </row>
    <row r="794" spans="3:8" ht="14.4" x14ac:dyDescent="0.3">
      <c r="C794" s="1"/>
      <c r="H794" s="2"/>
    </row>
    <row r="795" spans="3:8" ht="14.4" x14ac:dyDescent="0.3">
      <c r="C795" s="1"/>
      <c r="H795" s="2"/>
    </row>
    <row r="796" spans="3:8" ht="14.4" x14ac:dyDescent="0.3">
      <c r="C796" s="1"/>
      <c r="H796" s="2"/>
    </row>
    <row r="797" spans="3:8" ht="14.4" x14ac:dyDescent="0.3">
      <c r="C797" s="1"/>
      <c r="H797" s="2"/>
    </row>
    <row r="798" spans="3:8" ht="14.4" x14ac:dyDescent="0.3">
      <c r="C798" s="1"/>
      <c r="H798" s="2"/>
    </row>
    <row r="799" spans="3:8" ht="14.4" x14ac:dyDescent="0.3">
      <c r="C799" s="1"/>
      <c r="H799" s="2"/>
    </row>
    <row r="800" spans="3:8" ht="14.4" x14ac:dyDescent="0.3">
      <c r="C800" s="1"/>
      <c r="H800" s="2"/>
    </row>
    <row r="801" spans="3:8" ht="14.4" x14ac:dyDescent="0.3">
      <c r="C801" s="1"/>
      <c r="H801" s="2"/>
    </row>
    <row r="802" spans="3:8" ht="14.4" x14ac:dyDescent="0.3">
      <c r="C802" s="1"/>
      <c r="H802" s="2"/>
    </row>
    <row r="803" spans="3:8" ht="14.4" x14ac:dyDescent="0.3">
      <c r="C803" s="1"/>
      <c r="H803" s="2"/>
    </row>
    <row r="804" spans="3:8" ht="14.4" x14ac:dyDescent="0.3">
      <c r="C804" s="1"/>
      <c r="H804" s="2"/>
    </row>
    <row r="805" spans="3:8" ht="14.4" x14ac:dyDescent="0.3">
      <c r="C805" s="1"/>
      <c r="H805" s="2"/>
    </row>
    <row r="806" spans="3:8" ht="14.4" x14ac:dyDescent="0.3">
      <c r="C806" s="1"/>
      <c r="H806" s="2"/>
    </row>
    <row r="807" spans="3:8" ht="14.4" x14ac:dyDescent="0.3">
      <c r="C807" s="1"/>
      <c r="H807" s="2"/>
    </row>
    <row r="808" spans="3:8" ht="14.4" x14ac:dyDescent="0.3">
      <c r="C808" s="1"/>
      <c r="H808" s="2"/>
    </row>
    <row r="809" spans="3:8" ht="14.4" x14ac:dyDescent="0.3">
      <c r="C809" s="1"/>
      <c r="H809" s="2"/>
    </row>
    <row r="810" spans="3:8" ht="14.4" x14ac:dyDescent="0.3">
      <c r="C810" s="1"/>
      <c r="H810" s="2"/>
    </row>
    <row r="811" spans="3:8" ht="14.4" x14ac:dyDescent="0.3">
      <c r="C811" s="1"/>
      <c r="H811" s="2"/>
    </row>
    <row r="812" spans="3:8" ht="14.4" x14ac:dyDescent="0.3">
      <c r="C812" s="1"/>
      <c r="H812" s="2"/>
    </row>
    <row r="813" spans="3:8" ht="14.4" x14ac:dyDescent="0.3">
      <c r="C813" s="1"/>
      <c r="H813" s="2"/>
    </row>
    <row r="814" spans="3:8" ht="14.4" x14ac:dyDescent="0.3">
      <c r="C814" s="1"/>
      <c r="H814" s="2"/>
    </row>
    <row r="815" spans="3:8" ht="14.4" x14ac:dyDescent="0.3">
      <c r="C815" s="1"/>
      <c r="H815" s="2"/>
    </row>
    <row r="816" spans="3:8" ht="14.4" x14ac:dyDescent="0.3">
      <c r="C816" s="1"/>
      <c r="H816" s="2"/>
    </row>
    <row r="817" spans="3:8" ht="14.4" x14ac:dyDescent="0.3">
      <c r="C817" s="1"/>
      <c r="H817" s="2"/>
    </row>
    <row r="818" spans="3:8" ht="14.4" x14ac:dyDescent="0.3">
      <c r="C818" s="1"/>
      <c r="H818" s="2"/>
    </row>
    <row r="819" spans="3:8" ht="14.4" x14ac:dyDescent="0.3">
      <c r="C819" s="1"/>
      <c r="H819" s="2"/>
    </row>
    <row r="820" spans="3:8" ht="14.4" x14ac:dyDescent="0.3">
      <c r="C820" s="1"/>
      <c r="H820" s="2"/>
    </row>
    <row r="821" spans="3:8" ht="14.4" x14ac:dyDescent="0.3">
      <c r="C821" s="1"/>
      <c r="H821" s="2"/>
    </row>
    <row r="822" spans="3:8" ht="14.4" x14ac:dyDescent="0.3">
      <c r="C822" s="1"/>
      <c r="H822" s="2"/>
    </row>
    <row r="823" spans="3:8" ht="14.4" x14ac:dyDescent="0.3">
      <c r="C823" s="1"/>
      <c r="H823" s="2"/>
    </row>
    <row r="824" spans="3:8" ht="14.4" x14ac:dyDescent="0.3">
      <c r="C824" s="1"/>
      <c r="H824" s="2"/>
    </row>
    <row r="825" spans="3:8" ht="14.4" x14ac:dyDescent="0.3">
      <c r="C825" s="1"/>
      <c r="H825" s="2"/>
    </row>
    <row r="826" spans="3:8" ht="14.4" x14ac:dyDescent="0.3">
      <c r="C826" s="1"/>
      <c r="H826" s="2"/>
    </row>
    <row r="827" spans="3:8" ht="14.4" x14ac:dyDescent="0.3">
      <c r="C827" s="1"/>
      <c r="H827" s="2"/>
    </row>
    <row r="828" spans="3:8" ht="14.4" x14ac:dyDescent="0.3">
      <c r="C828" s="1"/>
      <c r="H828" s="2"/>
    </row>
    <row r="829" spans="3:8" ht="14.4" x14ac:dyDescent="0.3">
      <c r="C829" s="1"/>
      <c r="H829" s="2"/>
    </row>
    <row r="830" spans="3:8" ht="14.4" x14ac:dyDescent="0.3">
      <c r="C830" s="1"/>
      <c r="H830" s="2"/>
    </row>
    <row r="831" spans="3:8" ht="14.4" x14ac:dyDescent="0.3">
      <c r="C831" s="1"/>
      <c r="H831" s="2"/>
    </row>
    <row r="832" spans="3:8" ht="14.4" x14ac:dyDescent="0.3">
      <c r="C832" s="1"/>
      <c r="H832" s="2"/>
    </row>
    <row r="833" spans="3:8" ht="14.4" x14ac:dyDescent="0.3">
      <c r="C833" s="1"/>
      <c r="H833" s="2"/>
    </row>
    <row r="834" spans="3:8" ht="14.4" x14ac:dyDescent="0.3">
      <c r="C834" s="1"/>
      <c r="H834" s="2"/>
    </row>
    <row r="835" spans="3:8" ht="14.4" x14ac:dyDescent="0.3">
      <c r="C835" s="1"/>
      <c r="H835" s="2"/>
    </row>
    <row r="836" spans="3:8" ht="14.4" x14ac:dyDescent="0.3">
      <c r="C836" s="1"/>
      <c r="H836" s="2"/>
    </row>
    <row r="837" spans="3:8" ht="14.4" x14ac:dyDescent="0.3">
      <c r="C837" s="1"/>
      <c r="H837" s="2"/>
    </row>
    <row r="838" spans="3:8" ht="14.4" x14ac:dyDescent="0.3">
      <c r="C838" s="1"/>
      <c r="H838" s="2"/>
    </row>
    <row r="839" spans="3:8" ht="14.4" x14ac:dyDescent="0.3">
      <c r="C839" s="1"/>
      <c r="H839" s="2"/>
    </row>
    <row r="840" spans="3:8" ht="14.4" x14ac:dyDescent="0.3">
      <c r="C840" s="1"/>
      <c r="H840" s="2"/>
    </row>
    <row r="841" spans="3:8" ht="14.4" x14ac:dyDescent="0.3">
      <c r="C841" s="1"/>
      <c r="H841" s="2"/>
    </row>
    <row r="842" spans="3:8" ht="14.4" x14ac:dyDescent="0.3">
      <c r="C842" s="1"/>
      <c r="H842" s="2"/>
    </row>
    <row r="843" spans="3:8" ht="14.4" x14ac:dyDescent="0.3">
      <c r="C843" s="1"/>
      <c r="H843" s="2"/>
    </row>
    <row r="844" spans="3:8" ht="14.4" x14ac:dyDescent="0.3">
      <c r="C844" s="1"/>
      <c r="H844" s="2"/>
    </row>
    <row r="845" spans="3:8" ht="14.4" x14ac:dyDescent="0.3">
      <c r="C845" s="1"/>
      <c r="H845" s="2"/>
    </row>
    <row r="846" spans="3:8" ht="14.4" x14ac:dyDescent="0.3">
      <c r="C846" s="1"/>
      <c r="H846" s="2"/>
    </row>
    <row r="847" spans="3:8" ht="14.4" x14ac:dyDescent="0.3">
      <c r="C847" s="1"/>
      <c r="H847" s="2"/>
    </row>
    <row r="848" spans="3:8" ht="14.4" x14ac:dyDescent="0.3">
      <c r="C848" s="1"/>
      <c r="H848" s="2"/>
    </row>
    <row r="849" spans="3:8" ht="14.4" x14ac:dyDescent="0.3">
      <c r="C849" s="1"/>
      <c r="H849" s="2"/>
    </row>
    <row r="850" spans="3:8" ht="14.4" x14ac:dyDescent="0.3">
      <c r="C850" s="1"/>
      <c r="H850" s="2"/>
    </row>
    <row r="851" spans="3:8" ht="14.4" x14ac:dyDescent="0.3">
      <c r="C851" s="1"/>
      <c r="H851" s="2"/>
    </row>
    <row r="852" spans="3:8" ht="14.4" x14ac:dyDescent="0.3">
      <c r="C852" s="1"/>
      <c r="H852" s="2"/>
    </row>
    <row r="853" spans="3:8" ht="14.4" x14ac:dyDescent="0.3">
      <c r="C853" s="1"/>
      <c r="H853" s="2"/>
    </row>
    <row r="854" spans="3:8" ht="14.4" x14ac:dyDescent="0.3">
      <c r="C854" s="1"/>
      <c r="H854" s="2"/>
    </row>
    <row r="855" spans="3:8" ht="14.4" x14ac:dyDescent="0.3">
      <c r="C855" s="1"/>
      <c r="H855" s="2"/>
    </row>
    <row r="856" spans="3:8" ht="14.4" x14ac:dyDescent="0.3">
      <c r="C856" s="1"/>
      <c r="H856" s="2"/>
    </row>
    <row r="857" spans="3:8" ht="14.4" x14ac:dyDescent="0.3">
      <c r="C857" s="1"/>
      <c r="H857" s="2"/>
    </row>
    <row r="858" spans="3:8" ht="14.4" x14ac:dyDescent="0.3">
      <c r="C858" s="1"/>
      <c r="H858" s="2"/>
    </row>
    <row r="859" spans="3:8" ht="14.4" x14ac:dyDescent="0.3">
      <c r="C859" s="1"/>
      <c r="H859" s="2"/>
    </row>
    <row r="860" spans="3:8" ht="14.4" x14ac:dyDescent="0.3">
      <c r="C860" s="1"/>
      <c r="H860" s="2"/>
    </row>
    <row r="861" spans="3:8" ht="14.4" x14ac:dyDescent="0.3">
      <c r="C861" s="1"/>
      <c r="H861" s="2"/>
    </row>
    <row r="862" spans="3:8" ht="14.4" x14ac:dyDescent="0.3">
      <c r="C862" s="1"/>
      <c r="H862" s="2"/>
    </row>
    <row r="863" spans="3:8" ht="14.4" x14ac:dyDescent="0.3">
      <c r="C863" s="1"/>
      <c r="H863" s="2"/>
    </row>
    <row r="864" spans="3:8" ht="14.4" x14ac:dyDescent="0.3">
      <c r="C864" s="1"/>
      <c r="H864" s="2"/>
    </row>
    <row r="865" spans="3:8" ht="14.4" x14ac:dyDescent="0.3">
      <c r="C865" s="1"/>
      <c r="H865" s="2"/>
    </row>
    <row r="866" spans="3:8" ht="14.4" x14ac:dyDescent="0.3">
      <c r="C866" s="1"/>
      <c r="H866" s="2"/>
    </row>
    <row r="867" spans="3:8" ht="14.4" x14ac:dyDescent="0.3">
      <c r="C867" s="1"/>
      <c r="H867" s="2"/>
    </row>
    <row r="868" spans="3:8" ht="14.4" x14ac:dyDescent="0.3">
      <c r="C868" s="1"/>
      <c r="H868" s="2"/>
    </row>
    <row r="869" spans="3:8" ht="14.4" x14ac:dyDescent="0.3">
      <c r="C869" s="1"/>
      <c r="H869" s="2"/>
    </row>
    <row r="870" spans="3:8" ht="14.4" x14ac:dyDescent="0.3">
      <c r="C870" s="1"/>
      <c r="H870" s="2"/>
    </row>
    <row r="871" spans="3:8" ht="14.4" x14ac:dyDescent="0.3">
      <c r="C871" s="1"/>
      <c r="H871" s="2"/>
    </row>
    <row r="872" spans="3:8" ht="14.4" x14ac:dyDescent="0.3">
      <c r="C872" s="1"/>
      <c r="H872" s="2"/>
    </row>
    <row r="873" spans="3:8" ht="14.4" x14ac:dyDescent="0.3">
      <c r="C873" s="1"/>
      <c r="H873" s="2"/>
    </row>
    <row r="874" spans="3:8" ht="14.4" x14ac:dyDescent="0.3">
      <c r="C874" s="1"/>
      <c r="H874" s="2"/>
    </row>
    <row r="875" spans="3:8" ht="14.4" x14ac:dyDescent="0.3">
      <c r="C875" s="1"/>
      <c r="H875" s="2"/>
    </row>
    <row r="876" spans="3:8" ht="14.4" x14ac:dyDescent="0.3">
      <c r="C876" s="1"/>
      <c r="H876" s="2"/>
    </row>
    <row r="877" spans="3:8" ht="14.4" x14ac:dyDescent="0.3">
      <c r="C877" s="1"/>
      <c r="H877" s="2"/>
    </row>
    <row r="878" spans="3:8" ht="14.4" x14ac:dyDescent="0.3">
      <c r="C878" s="1"/>
      <c r="H878" s="2"/>
    </row>
    <row r="879" spans="3:8" ht="14.4" x14ac:dyDescent="0.3">
      <c r="C879" s="1"/>
      <c r="H879" s="2"/>
    </row>
    <row r="880" spans="3:8" ht="14.4" x14ac:dyDescent="0.3">
      <c r="C880" s="1"/>
      <c r="H880" s="2"/>
    </row>
    <row r="881" spans="3:8" ht="14.4" x14ac:dyDescent="0.3">
      <c r="C881" s="1"/>
      <c r="H881" s="2"/>
    </row>
    <row r="882" spans="3:8" ht="14.4" x14ac:dyDescent="0.3">
      <c r="C882" s="1"/>
      <c r="H882" s="2"/>
    </row>
    <row r="883" spans="3:8" ht="14.4" x14ac:dyDescent="0.3">
      <c r="C883" s="1"/>
      <c r="H883" s="2"/>
    </row>
    <row r="884" spans="3:8" ht="14.4" x14ac:dyDescent="0.3">
      <c r="C884" s="1"/>
      <c r="H884" s="2"/>
    </row>
    <row r="885" spans="3:8" ht="14.4" x14ac:dyDescent="0.3">
      <c r="C885" s="1"/>
      <c r="H885" s="2"/>
    </row>
    <row r="886" spans="3:8" ht="14.4" x14ac:dyDescent="0.3">
      <c r="C886" s="1"/>
      <c r="H886" s="2"/>
    </row>
    <row r="887" spans="3:8" ht="14.4" x14ac:dyDescent="0.3">
      <c r="C887" s="1"/>
      <c r="H887" s="2"/>
    </row>
    <row r="888" spans="3:8" ht="14.4" x14ac:dyDescent="0.3">
      <c r="C888" s="1"/>
      <c r="H888" s="2"/>
    </row>
    <row r="889" spans="3:8" ht="14.4" x14ac:dyDescent="0.3">
      <c r="C889" s="1"/>
      <c r="H889" s="2"/>
    </row>
    <row r="890" spans="3:8" ht="14.4" x14ac:dyDescent="0.3">
      <c r="C890" s="1"/>
      <c r="H890" s="2"/>
    </row>
    <row r="891" spans="3:8" ht="14.4" x14ac:dyDescent="0.3">
      <c r="C891" s="1"/>
      <c r="H891" s="2"/>
    </row>
    <row r="892" spans="3:8" ht="14.4" x14ac:dyDescent="0.3">
      <c r="C892" s="1"/>
      <c r="H892" s="2"/>
    </row>
    <row r="893" spans="3:8" ht="14.4" x14ac:dyDescent="0.3">
      <c r="C893" s="1"/>
      <c r="H893" s="2"/>
    </row>
    <row r="894" spans="3:8" ht="14.4" x14ac:dyDescent="0.3">
      <c r="C894" s="1"/>
      <c r="H894" s="2"/>
    </row>
    <row r="895" spans="3:8" ht="14.4" x14ac:dyDescent="0.3">
      <c r="C895" s="1"/>
      <c r="H895" s="2"/>
    </row>
    <row r="896" spans="3:8" ht="14.4" x14ac:dyDescent="0.3">
      <c r="C896" s="1"/>
      <c r="H896" s="2"/>
    </row>
    <row r="897" spans="3:8" ht="14.4" x14ac:dyDescent="0.3">
      <c r="C897" s="1"/>
      <c r="H897" s="2"/>
    </row>
    <row r="898" spans="3:8" ht="14.4" x14ac:dyDescent="0.3">
      <c r="C898" s="1"/>
      <c r="H898" s="2"/>
    </row>
    <row r="899" spans="3:8" ht="14.4" x14ac:dyDescent="0.3">
      <c r="C899" s="1"/>
      <c r="H899" s="2"/>
    </row>
    <row r="900" spans="3:8" ht="14.4" x14ac:dyDescent="0.3">
      <c r="C900" s="1"/>
      <c r="H900" s="2"/>
    </row>
    <row r="901" spans="3:8" ht="14.4" x14ac:dyDescent="0.3">
      <c r="C901" s="1"/>
      <c r="H901" s="2"/>
    </row>
    <row r="902" spans="3:8" ht="14.4" x14ac:dyDescent="0.3">
      <c r="C902" s="1"/>
      <c r="H902" s="2"/>
    </row>
    <row r="903" spans="3:8" ht="14.4" x14ac:dyDescent="0.3">
      <c r="C903" s="1"/>
      <c r="H903" s="2"/>
    </row>
    <row r="904" spans="3:8" ht="14.4" x14ac:dyDescent="0.3">
      <c r="C904" s="1"/>
      <c r="H904" s="2"/>
    </row>
    <row r="905" spans="3:8" ht="14.4" x14ac:dyDescent="0.3">
      <c r="C905" s="1"/>
      <c r="H905" s="2"/>
    </row>
    <row r="906" spans="3:8" ht="14.4" x14ac:dyDescent="0.3">
      <c r="C906" s="1"/>
      <c r="H906" s="2"/>
    </row>
    <row r="907" spans="3:8" ht="14.4" x14ac:dyDescent="0.3">
      <c r="C907" s="1"/>
      <c r="H907" s="2"/>
    </row>
    <row r="908" spans="3:8" ht="14.4" x14ac:dyDescent="0.3">
      <c r="C908" s="1"/>
      <c r="H908" s="2"/>
    </row>
    <row r="909" spans="3:8" ht="14.4" x14ac:dyDescent="0.3">
      <c r="C909" s="1"/>
      <c r="H909" s="2"/>
    </row>
    <row r="910" spans="3:8" ht="14.4" x14ac:dyDescent="0.3">
      <c r="C910" s="1"/>
      <c r="H910" s="2"/>
    </row>
    <row r="911" spans="3:8" ht="14.4" x14ac:dyDescent="0.3">
      <c r="C911" s="1"/>
      <c r="H911" s="2"/>
    </row>
    <row r="912" spans="3:8" ht="14.4" x14ac:dyDescent="0.3">
      <c r="C912" s="1"/>
      <c r="H912" s="2"/>
    </row>
    <row r="913" spans="3:8" ht="14.4" x14ac:dyDescent="0.3">
      <c r="C913" s="1"/>
      <c r="H913" s="2"/>
    </row>
    <row r="914" spans="3:8" ht="14.4" x14ac:dyDescent="0.3">
      <c r="C914" s="1"/>
      <c r="H914" s="2"/>
    </row>
    <row r="915" spans="3:8" ht="14.4" x14ac:dyDescent="0.3">
      <c r="C915" s="1"/>
      <c r="H915" s="2"/>
    </row>
    <row r="916" spans="3:8" ht="14.4" x14ac:dyDescent="0.3">
      <c r="C916" s="1"/>
      <c r="H916" s="2"/>
    </row>
    <row r="917" spans="3:8" ht="14.4" x14ac:dyDescent="0.3">
      <c r="C917" s="1"/>
      <c r="H917" s="2"/>
    </row>
    <row r="918" spans="3:8" ht="14.4" x14ac:dyDescent="0.3">
      <c r="C918" s="1"/>
      <c r="H918" s="2"/>
    </row>
    <row r="919" spans="3:8" ht="14.4" x14ac:dyDescent="0.3">
      <c r="C919" s="1"/>
      <c r="H919" s="2"/>
    </row>
    <row r="920" spans="3:8" ht="14.4" x14ac:dyDescent="0.3">
      <c r="C920" s="1"/>
      <c r="H920" s="2"/>
    </row>
    <row r="921" spans="3:8" ht="14.4" x14ac:dyDescent="0.3">
      <c r="C921" s="1"/>
      <c r="H921" s="2"/>
    </row>
    <row r="922" spans="3:8" ht="14.4" x14ac:dyDescent="0.3">
      <c r="C922" s="1"/>
      <c r="H922" s="2"/>
    </row>
    <row r="923" spans="3:8" ht="14.4" x14ac:dyDescent="0.3">
      <c r="C923" s="1"/>
      <c r="H923" s="2"/>
    </row>
    <row r="924" spans="3:8" ht="14.4" x14ac:dyDescent="0.3">
      <c r="C924" s="1"/>
      <c r="H924" s="2"/>
    </row>
    <row r="925" spans="3:8" ht="14.4" x14ac:dyDescent="0.3">
      <c r="C925" s="1"/>
      <c r="H925" s="2"/>
    </row>
    <row r="926" spans="3:8" ht="14.4" x14ac:dyDescent="0.3">
      <c r="C926" s="1"/>
      <c r="H926" s="2"/>
    </row>
    <row r="927" spans="3:8" ht="14.4" x14ac:dyDescent="0.3">
      <c r="C927" s="1"/>
      <c r="H927" s="2"/>
    </row>
    <row r="928" spans="3:8" ht="14.4" x14ac:dyDescent="0.3">
      <c r="C928" s="1"/>
      <c r="H928" s="2"/>
    </row>
    <row r="929" spans="3:8" ht="14.4" x14ac:dyDescent="0.3">
      <c r="C929" s="1"/>
      <c r="H929" s="2"/>
    </row>
    <row r="930" spans="3:8" ht="14.4" x14ac:dyDescent="0.3">
      <c r="C930" s="1"/>
      <c r="H930" s="2"/>
    </row>
    <row r="931" spans="3:8" ht="14.4" x14ac:dyDescent="0.3">
      <c r="C931" s="1"/>
      <c r="H931" s="2"/>
    </row>
    <row r="932" spans="3:8" ht="14.4" x14ac:dyDescent="0.3">
      <c r="C932" s="1"/>
      <c r="H932" s="2"/>
    </row>
    <row r="933" spans="3:8" ht="14.4" x14ac:dyDescent="0.3">
      <c r="C933" s="1"/>
      <c r="H933" s="2"/>
    </row>
    <row r="934" spans="3:8" ht="14.4" x14ac:dyDescent="0.3">
      <c r="C934" s="1"/>
      <c r="H934" s="2"/>
    </row>
    <row r="935" spans="3:8" ht="14.4" x14ac:dyDescent="0.3">
      <c r="C935" s="1"/>
      <c r="H935" s="2"/>
    </row>
    <row r="936" spans="3:8" ht="14.4" x14ac:dyDescent="0.3">
      <c r="C936" s="1"/>
      <c r="H936" s="2"/>
    </row>
    <row r="937" spans="3:8" ht="14.4" x14ac:dyDescent="0.3">
      <c r="C937" s="1"/>
      <c r="H937" s="2"/>
    </row>
    <row r="938" spans="3:8" ht="14.4" x14ac:dyDescent="0.3">
      <c r="C938" s="1"/>
      <c r="H938" s="2"/>
    </row>
    <row r="939" spans="3:8" ht="14.4" x14ac:dyDescent="0.3">
      <c r="C939" s="1"/>
      <c r="H939" s="2"/>
    </row>
    <row r="940" spans="3:8" ht="14.4" x14ac:dyDescent="0.3">
      <c r="C940" s="1"/>
      <c r="H940" s="2"/>
    </row>
    <row r="941" spans="3:8" ht="14.4" x14ac:dyDescent="0.3">
      <c r="C941" s="1"/>
      <c r="H941" s="2"/>
    </row>
    <row r="942" spans="3:8" ht="14.4" x14ac:dyDescent="0.3">
      <c r="C942" s="1"/>
      <c r="H942" s="2"/>
    </row>
    <row r="943" spans="3:8" ht="14.4" x14ac:dyDescent="0.3">
      <c r="C943" s="1"/>
      <c r="H943" s="2"/>
    </row>
    <row r="944" spans="3:8" ht="14.4" x14ac:dyDescent="0.3">
      <c r="C944" s="1"/>
      <c r="H944" s="2"/>
    </row>
    <row r="945" spans="3:8" ht="14.4" x14ac:dyDescent="0.3">
      <c r="C945" s="1"/>
      <c r="H945" s="2"/>
    </row>
    <row r="946" spans="3:8" ht="14.4" x14ac:dyDescent="0.3">
      <c r="C946" s="1"/>
      <c r="H946" s="2"/>
    </row>
    <row r="947" spans="3:8" ht="14.4" x14ac:dyDescent="0.3">
      <c r="C947" s="1"/>
      <c r="H947" s="2"/>
    </row>
    <row r="948" spans="3:8" ht="14.4" x14ac:dyDescent="0.3">
      <c r="C948" s="1"/>
      <c r="H948" s="2"/>
    </row>
    <row r="949" spans="3:8" ht="14.4" x14ac:dyDescent="0.3">
      <c r="C949" s="1"/>
      <c r="H949" s="2"/>
    </row>
    <row r="950" spans="3:8" ht="14.4" x14ac:dyDescent="0.3">
      <c r="C950" s="1"/>
      <c r="H950" s="2"/>
    </row>
    <row r="951" spans="3:8" ht="14.4" x14ac:dyDescent="0.3">
      <c r="C951" s="1"/>
      <c r="H951" s="2"/>
    </row>
    <row r="952" spans="3:8" ht="14.4" x14ac:dyDescent="0.3">
      <c r="C952" s="1"/>
      <c r="H952" s="2"/>
    </row>
    <row r="953" spans="3:8" ht="14.4" x14ac:dyDescent="0.3">
      <c r="C953" s="1"/>
      <c r="H953" s="2"/>
    </row>
    <row r="954" spans="3:8" ht="14.4" x14ac:dyDescent="0.3">
      <c r="C954" s="1"/>
      <c r="H954" s="2"/>
    </row>
    <row r="955" spans="3:8" ht="14.4" x14ac:dyDescent="0.3">
      <c r="C955" s="1"/>
      <c r="H955" s="2"/>
    </row>
    <row r="956" spans="3:8" ht="14.4" x14ac:dyDescent="0.3">
      <c r="C956" s="1"/>
      <c r="H956" s="2"/>
    </row>
    <row r="957" spans="3:8" ht="14.4" x14ac:dyDescent="0.3">
      <c r="C957" s="1"/>
      <c r="H957" s="2"/>
    </row>
    <row r="958" spans="3:8" ht="14.4" x14ac:dyDescent="0.3">
      <c r="C958" s="1"/>
      <c r="H958" s="2"/>
    </row>
    <row r="959" spans="3:8" ht="14.4" x14ac:dyDescent="0.3">
      <c r="C959" s="1"/>
      <c r="H959" s="2"/>
    </row>
    <row r="960" spans="3:8" ht="14.4" x14ac:dyDescent="0.3">
      <c r="C960" s="1"/>
      <c r="H960" s="2"/>
    </row>
    <row r="961" spans="3:8" ht="14.4" x14ac:dyDescent="0.3">
      <c r="C961" s="1"/>
      <c r="H961" s="2"/>
    </row>
    <row r="962" spans="3:8" ht="14.4" x14ac:dyDescent="0.3">
      <c r="C962" s="1"/>
      <c r="H962" s="2"/>
    </row>
    <row r="963" spans="3:8" ht="14.4" x14ac:dyDescent="0.3">
      <c r="C963" s="1"/>
      <c r="H963" s="2"/>
    </row>
    <row r="964" spans="3:8" ht="14.4" x14ac:dyDescent="0.3">
      <c r="C964" s="1"/>
      <c r="H964" s="2"/>
    </row>
    <row r="965" spans="3:8" ht="14.4" x14ac:dyDescent="0.3">
      <c r="C965" s="1"/>
      <c r="H965" s="2"/>
    </row>
    <row r="966" spans="3:8" ht="14.4" x14ac:dyDescent="0.3">
      <c r="C966" s="1"/>
      <c r="H966" s="2"/>
    </row>
    <row r="967" spans="3:8" ht="14.4" x14ac:dyDescent="0.3">
      <c r="C967" s="1"/>
      <c r="H967" s="2"/>
    </row>
    <row r="968" spans="3:8" ht="14.4" x14ac:dyDescent="0.3">
      <c r="C968" s="1"/>
      <c r="H968" s="2"/>
    </row>
    <row r="969" spans="3:8" ht="14.4" x14ac:dyDescent="0.3">
      <c r="C969" s="1"/>
      <c r="H969" s="2"/>
    </row>
    <row r="970" spans="3:8" ht="14.4" x14ac:dyDescent="0.3">
      <c r="C970" s="1"/>
      <c r="H970" s="2"/>
    </row>
    <row r="971" spans="3:8" ht="14.4" x14ac:dyDescent="0.3">
      <c r="C971" s="1"/>
      <c r="H971" s="2"/>
    </row>
    <row r="972" spans="3:8" ht="14.4" x14ac:dyDescent="0.3">
      <c r="C972" s="1"/>
      <c r="H972" s="2"/>
    </row>
    <row r="973" spans="3:8" ht="14.4" x14ac:dyDescent="0.3">
      <c r="C973" s="1"/>
      <c r="H973" s="2"/>
    </row>
    <row r="974" spans="3:8" ht="14.4" x14ac:dyDescent="0.3">
      <c r="C974" s="1"/>
      <c r="H974" s="2"/>
    </row>
    <row r="975" spans="3:8" ht="14.4" x14ac:dyDescent="0.3">
      <c r="C975" s="1"/>
      <c r="H975" s="2"/>
    </row>
    <row r="976" spans="3:8" ht="14.4" x14ac:dyDescent="0.3">
      <c r="C976" s="1"/>
      <c r="H976" s="2"/>
    </row>
    <row r="977" spans="3:8" ht="14.4" x14ac:dyDescent="0.3">
      <c r="C977" s="1"/>
      <c r="H977" s="2"/>
    </row>
    <row r="978" spans="3:8" ht="14.4" x14ac:dyDescent="0.3">
      <c r="C978" s="1"/>
      <c r="H978" s="2"/>
    </row>
    <row r="979" spans="3:8" ht="14.4" x14ac:dyDescent="0.3">
      <c r="C979" s="1"/>
      <c r="H979" s="2"/>
    </row>
    <row r="980" spans="3:8" ht="14.4" x14ac:dyDescent="0.3">
      <c r="C980" s="1"/>
      <c r="H980" s="2"/>
    </row>
    <row r="981" spans="3:8" ht="14.4" x14ac:dyDescent="0.3">
      <c r="C981" s="1"/>
      <c r="H981" s="2"/>
    </row>
    <row r="982" spans="3:8" ht="14.4" x14ac:dyDescent="0.3">
      <c r="C982" s="1"/>
      <c r="H982" s="2"/>
    </row>
    <row r="983" spans="3:8" ht="14.4" x14ac:dyDescent="0.3">
      <c r="C983" s="1"/>
      <c r="H983" s="2"/>
    </row>
    <row r="984" spans="3:8" ht="14.4" x14ac:dyDescent="0.3">
      <c r="C984" s="1"/>
      <c r="H984" s="2"/>
    </row>
    <row r="985" spans="3:8" ht="14.4" x14ac:dyDescent="0.3">
      <c r="C985" s="1"/>
      <c r="H985" s="2"/>
    </row>
    <row r="986" spans="3:8" ht="14.4" x14ac:dyDescent="0.3">
      <c r="C986" s="1"/>
      <c r="H986" s="2"/>
    </row>
    <row r="987" spans="3:8" ht="14.4" x14ac:dyDescent="0.3">
      <c r="C987" s="1"/>
      <c r="H987" s="2"/>
    </row>
    <row r="988" spans="3:8" ht="14.4" x14ac:dyDescent="0.3">
      <c r="C988" s="1"/>
      <c r="H988" s="2"/>
    </row>
    <row r="989" spans="3:8" ht="14.4" x14ac:dyDescent="0.3">
      <c r="C989" s="1"/>
      <c r="H989" s="2"/>
    </row>
    <row r="990" spans="3:8" ht="14.4" x14ac:dyDescent="0.3">
      <c r="C990" s="1"/>
      <c r="H990" s="2"/>
    </row>
    <row r="991" spans="3:8" ht="14.4" x14ac:dyDescent="0.3">
      <c r="C991" s="1"/>
      <c r="H991" s="2"/>
    </row>
    <row r="992" spans="3:8" ht="14.4" x14ac:dyDescent="0.3">
      <c r="C992" s="1"/>
      <c r="H992" s="2"/>
    </row>
    <row r="993" spans="3:8" ht="14.4" x14ac:dyDescent="0.3">
      <c r="C993" s="1"/>
      <c r="H993" s="2"/>
    </row>
    <row r="994" spans="3:8" ht="14.4" x14ac:dyDescent="0.3">
      <c r="C994" s="1"/>
      <c r="H994" s="2"/>
    </row>
    <row r="995" spans="3:8" ht="14.4" x14ac:dyDescent="0.3">
      <c r="C995" s="1"/>
      <c r="H995" s="2"/>
    </row>
    <row r="996" spans="3:8" ht="14.4" x14ac:dyDescent="0.3">
      <c r="C996" s="1"/>
      <c r="H996" s="2"/>
    </row>
    <row r="997" spans="3:8" ht="14.4" x14ac:dyDescent="0.3">
      <c r="C997" s="1"/>
      <c r="H997" s="2"/>
    </row>
    <row r="998" spans="3:8" ht="14.4" x14ac:dyDescent="0.3">
      <c r="C998" s="1"/>
      <c r="H998" s="2"/>
    </row>
    <row r="999" spans="3:8" ht="14.4" x14ac:dyDescent="0.3">
      <c r="C999" s="1"/>
      <c r="H999" s="2"/>
    </row>
    <row r="1000" spans="3:8" ht="14.4" x14ac:dyDescent="0.3">
      <c r="C1000" s="1"/>
      <c r="H1000" s="2"/>
    </row>
    <row r="1001" spans="3:8" ht="14.4" x14ac:dyDescent="0.3">
      <c r="C1001" s="1"/>
      <c r="H1001" s="2"/>
    </row>
    <row r="1002" spans="3:8" ht="14.4" x14ac:dyDescent="0.3">
      <c r="C1002" s="1"/>
      <c r="H1002" s="2"/>
    </row>
    <row r="1003" spans="3:8" ht="14.4" x14ac:dyDescent="0.3">
      <c r="C1003" s="1"/>
      <c r="H1003" s="2"/>
    </row>
    <row r="1004" spans="3:8" ht="14.4" x14ac:dyDescent="0.3">
      <c r="C1004" s="1"/>
      <c r="H1004" s="2"/>
    </row>
    <row r="1005" spans="3:8" ht="14.4" x14ac:dyDescent="0.3">
      <c r="C1005" s="1"/>
      <c r="H1005" s="2"/>
    </row>
    <row r="1006" spans="3:8" ht="14.4" x14ac:dyDescent="0.3">
      <c r="C1006" s="1"/>
      <c r="H1006" s="2"/>
    </row>
    <row r="1007" spans="3:8" ht="14.4" x14ac:dyDescent="0.3">
      <c r="C1007" s="1"/>
      <c r="H1007" s="2"/>
    </row>
    <row r="1008" spans="3:8" ht="14.4" x14ac:dyDescent="0.3">
      <c r="C1008" s="1"/>
      <c r="H1008" s="2"/>
    </row>
    <row r="1009" spans="3:17" ht="14.4" x14ac:dyDescent="0.3">
      <c r="C1009" s="1"/>
      <c r="H1009" s="2"/>
    </row>
    <row r="1010" spans="3:17" ht="14.4" x14ac:dyDescent="0.3">
      <c r="C1010" s="1"/>
      <c r="H1010" s="2"/>
    </row>
    <row r="1011" spans="3:17" ht="14.4" x14ac:dyDescent="0.3">
      <c r="C1011" s="1"/>
      <c r="H1011" s="2"/>
    </row>
    <row r="1012" spans="3:17" ht="14.4" x14ac:dyDescent="0.3">
      <c r="C1012" s="1"/>
      <c r="H1012" s="2"/>
    </row>
    <row r="1013" spans="3:17" ht="14.4" x14ac:dyDescent="0.3">
      <c r="C1013" s="1"/>
      <c r="H1013" s="2"/>
    </row>
    <row r="1014" spans="3:17" ht="14.4" x14ac:dyDescent="0.3">
      <c r="C1014" s="1"/>
      <c r="H1014" s="2"/>
      <c r="Q1014" s="72"/>
    </row>
  </sheetData>
  <mergeCells count="1">
    <mergeCell ref="Q24:Q26"/>
  </mergeCells>
  <conditionalFormatting sqref="D29:D52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7:F18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21:G24 I21:J24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29:E52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7:G18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21:H24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29:H52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21:L24">
    <cfRule type="colorScale" priority="14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29:L52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O29:P29 T29:U29 Y29:Z29">
    <cfRule type="colorScale" priority="8">
      <colorScale>
        <cfvo type="min"/>
        <cfvo type="max"/>
        <color rgb="FF57BB8A"/>
        <color rgb="FFFFFFFF"/>
      </colorScale>
    </cfRule>
  </conditionalFormatting>
  <conditionalFormatting sqref="O18:R18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O21:R21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O16:S16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O17:S17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Q29:Q35 AA29:AA35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29:V35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38:V44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W38:W44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269A1-A143-458C-8F12-583C5CB81CDD}">
  <sheetPr>
    <outlinePr summaryBelow="0" summaryRight="0"/>
  </sheetPr>
  <dimension ref="A1:AP1000"/>
  <sheetViews>
    <sheetView workbookViewId="0"/>
  </sheetViews>
  <sheetFormatPr defaultColWidth="14" defaultRowHeight="15" customHeight="1" x14ac:dyDescent="0.3"/>
  <cols>
    <col min="1" max="6" width="14" customWidth="1"/>
    <col min="21" max="21" width="17.6640625" customWidth="1"/>
    <col min="22" max="22" width="17.44140625" customWidth="1"/>
    <col min="25" max="25" width="16.5546875" customWidth="1"/>
    <col min="26" max="26" width="18.77734375" customWidth="1"/>
    <col min="27" max="27" width="15.5546875" customWidth="1"/>
    <col min="33" max="33" width="16.5546875" customWidth="1"/>
  </cols>
  <sheetData>
    <row r="1" spans="1:42" ht="15.75" customHeight="1" x14ac:dyDescent="0.3">
      <c r="A1" s="99" t="s">
        <v>143</v>
      </c>
      <c r="B1" s="99" t="s">
        <v>144</v>
      </c>
      <c r="C1" s="99" t="s">
        <v>145</v>
      </c>
      <c r="D1" s="99" t="s">
        <v>146</v>
      </c>
      <c r="E1" s="99" t="s">
        <v>147</v>
      </c>
      <c r="F1" s="99" t="s">
        <v>148</v>
      </c>
      <c r="G1" s="99" t="s">
        <v>149</v>
      </c>
      <c r="H1" s="99" t="s">
        <v>150</v>
      </c>
      <c r="I1" s="99" t="s">
        <v>151</v>
      </c>
      <c r="J1" s="99" t="s">
        <v>152</v>
      </c>
      <c r="K1" s="99" t="s">
        <v>153</v>
      </c>
      <c r="L1" s="99" t="s">
        <v>154</v>
      </c>
      <c r="M1" s="99" t="s">
        <v>9</v>
      </c>
      <c r="N1" s="99" t="s">
        <v>8</v>
      </c>
      <c r="O1" s="99" t="s">
        <v>155</v>
      </c>
      <c r="P1" s="99" t="s">
        <v>156</v>
      </c>
      <c r="Q1" s="99" t="s">
        <v>157</v>
      </c>
      <c r="R1" s="100" t="s">
        <v>158</v>
      </c>
      <c r="S1" s="99" t="s">
        <v>159</v>
      </c>
      <c r="T1" s="99" t="s">
        <v>160</v>
      </c>
      <c r="U1" s="99" t="s">
        <v>161</v>
      </c>
      <c r="V1" s="99" t="s">
        <v>162</v>
      </c>
      <c r="W1" s="99" t="s">
        <v>163</v>
      </c>
      <c r="X1" s="99" t="s">
        <v>164</v>
      </c>
      <c r="Y1" s="99" t="s">
        <v>165</v>
      </c>
      <c r="Z1" s="101" t="s">
        <v>166</v>
      </c>
      <c r="AA1" s="101" t="s">
        <v>167</v>
      </c>
      <c r="AB1" s="101" t="s">
        <v>168</v>
      </c>
      <c r="AC1" s="101" t="s">
        <v>169</v>
      </c>
      <c r="AD1" s="101" t="s">
        <v>170</v>
      </c>
      <c r="AE1" s="101" t="s">
        <v>36</v>
      </c>
      <c r="AF1" s="101" t="s">
        <v>171</v>
      </c>
      <c r="AG1" s="101" t="s">
        <v>172</v>
      </c>
      <c r="AH1" s="102" t="s">
        <v>34</v>
      </c>
      <c r="AI1" s="101" t="s">
        <v>35</v>
      </c>
      <c r="AJ1" s="101" t="s">
        <v>37</v>
      </c>
      <c r="AK1" s="101" t="s">
        <v>173</v>
      </c>
      <c r="AL1" s="101" t="s">
        <v>38</v>
      </c>
      <c r="AM1" s="101" t="s">
        <v>39</v>
      </c>
      <c r="AN1" s="101" t="s">
        <v>174</v>
      </c>
      <c r="AO1" s="101" t="s">
        <v>41</v>
      </c>
      <c r="AP1" s="101" t="s">
        <v>42</v>
      </c>
    </row>
    <row r="2" spans="1:42" ht="15.75" customHeight="1" x14ac:dyDescent="0.3">
      <c r="A2" s="90">
        <v>541154</v>
      </c>
      <c r="B2" s="103" t="s">
        <v>175</v>
      </c>
      <c r="C2" s="10">
        <f ca="1">IFERROR(__xludf.DUMMYFUNCTION("GOOGLEFINANCE(""bom:""&amp;A2,""price"")"),4595.9)</f>
        <v>4595.8999999999996</v>
      </c>
      <c r="D2" s="11">
        <f ca="1">IFERROR(__xludf.DUMMYFUNCTION("GOOGLEFINANCE(""bom:""&amp;A2,""marketcap"")/10000000"),307329.2511986)</f>
        <v>307329.25119859999</v>
      </c>
      <c r="E2" s="10">
        <v>56139</v>
      </c>
      <c r="F2" s="10">
        <v>34336</v>
      </c>
      <c r="G2" s="10">
        <v>71855</v>
      </c>
      <c r="H2" s="10">
        <v>46696</v>
      </c>
      <c r="I2" s="10">
        <v>334</v>
      </c>
      <c r="J2" s="10">
        <v>25159</v>
      </c>
      <c r="K2" s="10">
        <v>0</v>
      </c>
      <c r="L2" s="10">
        <v>5077</v>
      </c>
      <c r="M2" s="10">
        <v>5</v>
      </c>
      <c r="N2" s="10">
        <f ca="1">IFERROR(__xludf.DUMMYFUNCTION("GOOGLEFINANCE(""bom:""&amp;A2,""EPS"")"),123.26)</f>
        <v>123.26</v>
      </c>
      <c r="O2" s="104">
        <f t="shared" ref="O2:O19" ca="1" si="0">D2/$D$22</f>
        <v>0.46531432419747742</v>
      </c>
      <c r="P2" s="10">
        <v>18624</v>
      </c>
      <c r="Q2" s="10">
        <v>26927</v>
      </c>
      <c r="R2" s="105">
        <v>30381</v>
      </c>
      <c r="S2" s="10">
        <v>5828</v>
      </c>
      <c r="T2" s="10">
        <v>15612</v>
      </c>
      <c r="U2" s="10">
        <v>14432</v>
      </c>
      <c r="V2" s="10">
        <v>3312</v>
      </c>
      <c r="W2" s="10">
        <v>2996</v>
      </c>
      <c r="X2" s="53">
        <v>58</v>
      </c>
      <c r="Y2" s="53">
        <v>22091</v>
      </c>
      <c r="Z2" s="106">
        <f t="shared" ref="Z2:Z15" si="1">(T2/U2)-1</f>
        <v>8.1762749445676297E-2</v>
      </c>
      <c r="AA2" s="104">
        <f t="shared" ref="AA2:AA15" si="2">(V2/W2)-1</f>
        <v>0.10547396528704933</v>
      </c>
      <c r="AB2" s="104">
        <f t="shared" ref="AB2:AB12" si="3">(Q2/P2)^(1/5)-1</f>
        <v>7.6522227808349497E-2</v>
      </c>
      <c r="AC2" s="104">
        <f t="shared" ref="AC2:AC15" si="4">S2/Q2</f>
        <v>0.21643703346083856</v>
      </c>
      <c r="AD2" s="104">
        <f t="shared" ref="AD2:AD15" si="5">V2/T2</f>
        <v>0.21214450422751729</v>
      </c>
      <c r="AE2" s="11">
        <f t="shared" ref="AE2:AE15" si="6">(Q2-Y2+X2)/X2</f>
        <v>84.379310344827587</v>
      </c>
      <c r="AF2" s="107">
        <f t="shared" ref="AF2:AF15" si="7">E2/F2</f>
        <v>1.6349895153774465</v>
      </c>
      <c r="AG2" s="11">
        <f t="shared" ref="AG2:AG15" si="8">(L2/Q2)*365</f>
        <v>68.819586288855049</v>
      </c>
      <c r="AH2" s="107">
        <f t="shared" ref="AH2:AH15" si="9">K2/J2</f>
        <v>0</v>
      </c>
      <c r="AI2" s="107">
        <f t="shared" ref="AI2:AI15" si="10">F2/E2</f>
        <v>0.61162471721975809</v>
      </c>
      <c r="AJ2" s="104">
        <f t="shared" ref="AJ2:AJ15" si="11">S2/J2</f>
        <v>0.23164672681744108</v>
      </c>
      <c r="AK2" s="11">
        <f t="shared" ref="AK2:AK15" si="12">S2/I2</f>
        <v>17.449101796407184</v>
      </c>
      <c r="AL2" s="104">
        <f t="shared" ref="AL2:AL15" si="13">S2/G2</f>
        <v>8.1107786514508382E-2</v>
      </c>
      <c r="AM2" s="11">
        <f t="shared" ref="AM2:AM15" ca="1" si="14">C2/N2</f>
        <v>37.286224241440856</v>
      </c>
      <c r="AN2" s="104">
        <f t="shared" ref="AN2:AN15" ca="1" si="15">N2/C2</f>
        <v>2.6819556561282886E-2</v>
      </c>
      <c r="AO2" s="11">
        <f t="shared" ref="AO2:AO15" si="16">(J2+I2)/(I2/M2)</f>
        <v>381.6317365269461</v>
      </c>
      <c r="AP2" s="11">
        <f t="shared" ref="AP2:AP15" ca="1" si="17">C2/AO2</f>
        <v>12.042761542384183</v>
      </c>
    </row>
    <row r="3" spans="1:42" ht="15.75" customHeight="1" x14ac:dyDescent="0.3">
      <c r="A3" s="90">
        <v>500049</v>
      </c>
      <c r="B3" s="103" t="s">
        <v>23</v>
      </c>
      <c r="C3" s="10">
        <f ca="1">IFERROR(__xludf.DUMMYFUNCTION("GOOGLEFINANCE(""bom:""&amp;A3,""price"")"),290.35)</f>
        <v>290.35000000000002</v>
      </c>
      <c r="D3" s="11">
        <f ca="1">IFERROR(__xludf.DUMMYFUNCTION("GOOGLEFINANCE(""bom:""&amp;A3,""marketcap"")/10000000"),212239.3796565)</f>
        <v>212239.37965650001</v>
      </c>
      <c r="E3" s="10">
        <v>30720</v>
      </c>
      <c r="F3" s="10">
        <v>20358</v>
      </c>
      <c r="G3" s="10">
        <v>36266</v>
      </c>
      <c r="H3" s="10">
        <v>21432</v>
      </c>
      <c r="I3" s="10">
        <v>730</v>
      </c>
      <c r="J3" s="10">
        <v>14833</v>
      </c>
      <c r="K3" s="10">
        <v>0</v>
      </c>
      <c r="L3" s="10">
        <v>7335</v>
      </c>
      <c r="M3" s="10">
        <v>1</v>
      </c>
      <c r="N3" s="10">
        <f ca="1">IFERROR(__xludf.DUMMYFUNCTION("GOOGLEFINANCE(""bom:""&amp;A3,""EPS"")"),5.79)</f>
        <v>5.79</v>
      </c>
      <c r="O3" s="104">
        <f t="shared" ca="1" si="0"/>
        <v>0.32134273951403824</v>
      </c>
      <c r="P3" s="10">
        <v>10485</v>
      </c>
      <c r="Q3" s="10">
        <v>17734</v>
      </c>
      <c r="R3" s="105">
        <v>20268</v>
      </c>
      <c r="S3" s="10">
        <v>2940</v>
      </c>
      <c r="T3" s="10">
        <v>11538</v>
      </c>
      <c r="U3" s="10">
        <v>11060</v>
      </c>
      <c r="V3" s="10">
        <v>2188</v>
      </c>
      <c r="W3" s="10">
        <v>1604</v>
      </c>
      <c r="X3" s="53">
        <v>15</v>
      </c>
      <c r="Y3" s="53">
        <v>14092</v>
      </c>
      <c r="Z3" s="106">
        <f t="shared" si="1"/>
        <v>4.3218806509945695E-2</v>
      </c>
      <c r="AA3" s="104">
        <f t="shared" si="2"/>
        <v>0.36408977556109723</v>
      </c>
      <c r="AB3" s="104">
        <f t="shared" si="3"/>
        <v>0.11083013737953062</v>
      </c>
      <c r="AC3" s="104">
        <f t="shared" si="4"/>
        <v>0.16578324123153265</v>
      </c>
      <c r="AD3" s="104">
        <f t="shared" si="5"/>
        <v>0.18963425203674814</v>
      </c>
      <c r="AE3" s="11">
        <f t="shared" si="6"/>
        <v>243.8</v>
      </c>
      <c r="AF3" s="107">
        <f t="shared" si="7"/>
        <v>1.5089890951959917</v>
      </c>
      <c r="AG3" s="11">
        <f t="shared" si="8"/>
        <v>150.96847862862299</v>
      </c>
      <c r="AH3" s="107">
        <f t="shared" si="9"/>
        <v>0</v>
      </c>
      <c r="AI3" s="107">
        <f t="shared" si="10"/>
        <v>0.66269531250000002</v>
      </c>
      <c r="AJ3" s="104">
        <f t="shared" si="11"/>
        <v>0.19820670127418594</v>
      </c>
      <c r="AK3" s="11">
        <f t="shared" si="12"/>
        <v>4.0273972602739727</v>
      </c>
      <c r="AL3" s="104">
        <f t="shared" si="13"/>
        <v>8.1067666685049361E-2</v>
      </c>
      <c r="AM3" s="11">
        <f t="shared" ca="1" si="14"/>
        <v>50.146804835924009</v>
      </c>
      <c r="AN3" s="104">
        <f t="shared" ca="1" si="15"/>
        <v>1.9941449974169106E-2</v>
      </c>
      <c r="AO3" s="11">
        <f t="shared" si="16"/>
        <v>21.31917808219178</v>
      </c>
      <c r="AP3" s="11">
        <f t="shared" ca="1" si="17"/>
        <v>13.619192957655981</v>
      </c>
    </row>
    <row r="4" spans="1:42" ht="15.75" customHeight="1" x14ac:dyDescent="0.3">
      <c r="A4" s="90">
        <v>541143</v>
      </c>
      <c r="B4" s="103" t="s">
        <v>176</v>
      </c>
      <c r="C4" s="10">
        <f ca="1">IFERROR(__xludf.DUMMYFUNCTION("GOOGLEFINANCE(""bom:""&amp;A4,""price"")"),1226)</f>
        <v>1226</v>
      </c>
      <c r="D4" s="11">
        <f ca="1">IFERROR(__xludf.DUMMYFUNCTION("GOOGLEFINANCE(""bom:""&amp;A4,""marketcap"")/10000000"),44944.16694)</f>
        <v>44944.166940000003</v>
      </c>
      <c r="E4" s="10">
        <v>8224</v>
      </c>
      <c r="F4" s="10">
        <v>1865</v>
      </c>
      <c r="G4" s="10">
        <v>9297</v>
      </c>
      <c r="H4" s="10">
        <v>5923</v>
      </c>
      <c r="I4" s="10">
        <v>183</v>
      </c>
      <c r="J4" s="10">
        <v>3373</v>
      </c>
      <c r="K4" s="10">
        <v>0</v>
      </c>
      <c r="L4" s="10">
        <v>558</v>
      </c>
      <c r="M4" s="10">
        <v>10</v>
      </c>
      <c r="N4" s="10">
        <f ca="1">IFERROR(__xludf.DUMMYFUNCTION("GOOGLEFINANCE(""bom:""&amp;A4,""EPS"")"),15.75)</f>
        <v>15.75</v>
      </c>
      <c r="O4" s="104">
        <f t="shared" ca="1" si="0"/>
        <v>6.8048077378714461E-2</v>
      </c>
      <c r="P4" s="10">
        <v>4558</v>
      </c>
      <c r="Q4" s="10">
        <v>2489</v>
      </c>
      <c r="R4" s="105">
        <v>2369</v>
      </c>
      <c r="S4" s="10">
        <v>352</v>
      </c>
      <c r="T4" s="10">
        <v>1502</v>
      </c>
      <c r="U4" s="10">
        <v>1672</v>
      </c>
      <c r="V4" s="10">
        <v>323</v>
      </c>
      <c r="W4" s="10">
        <v>199</v>
      </c>
      <c r="X4" s="53">
        <v>5</v>
      </c>
      <c r="Y4" s="53">
        <v>2163</v>
      </c>
      <c r="Z4" s="106">
        <f t="shared" si="1"/>
        <v>-0.10167464114832536</v>
      </c>
      <c r="AA4" s="104">
        <f t="shared" si="2"/>
        <v>0.62311557788944727</v>
      </c>
      <c r="AB4" s="104">
        <f t="shared" si="3"/>
        <v>-0.11396655562474189</v>
      </c>
      <c r="AC4" s="104">
        <f t="shared" si="4"/>
        <v>0.14142225793491361</v>
      </c>
      <c r="AD4" s="104">
        <f t="shared" si="5"/>
        <v>0.21504660452729693</v>
      </c>
      <c r="AE4" s="11">
        <f t="shared" si="6"/>
        <v>66.2</v>
      </c>
      <c r="AF4" s="107">
        <f t="shared" si="7"/>
        <v>4.4096514745308308</v>
      </c>
      <c r="AG4" s="11">
        <f t="shared" si="8"/>
        <v>81.828043390920044</v>
      </c>
      <c r="AH4" s="107">
        <f t="shared" si="9"/>
        <v>0</v>
      </c>
      <c r="AI4" s="107">
        <f t="shared" si="10"/>
        <v>0.22677529182879377</v>
      </c>
      <c r="AJ4" s="104">
        <f t="shared" si="11"/>
        <v>0.10435813815594426</v>
      </c>
      <c r="AK4" s="11">
        <f t="shared" si="12"/>
        <v>1.9234972677595628</v>
      </c>
      <c r="AL4" s="104">
        <f t="shared" si="13"/>
        <v>3.7861675809400884E-2</v>
      </c>
      <c r="AM4" s="11">
        <f t="shared" ca="1" si="14"/>
        <v>77.841269841269835</v>
      </c>
      <c r="AN4" s="104">
        <f t="shared" ca="1" si="15"/>
        <v>1.2846655791190865E-2</v>
      </c>
      <c r="AO4" s="11">
        <f t="shared" si="16"/>
        <v>194.31693989071039</v>
      </c>
      <c r="AP4" s="11">
        <f t="shared" ca="1" si="17"/>
        <v>6.3092800899887509</v>
      </c>
    </row>
    <row r="5" spans="1:42" ht="15.75" customHeight="1" x14ac:dyDescent="0.3">
      <c r="A5" s="90">
        <v>543428</v>
      </c>
      <c r="B5" s="103" t="s">
        <v>177</v>
      </c>
      <c r="C5" s="10">
        <f ca="1">IFERROR(__xludf.DUMMYFUNCTION("GOOGLEFINANCE(""bom:""&amp;A5,""price"")"),2745.35)</f>
        <v>2745.35</v>
      </c>
      <c r="D5" s="11">
        <f ca="1">IFERROR(__xludf.DUMMYFUNCTION("GOOGLEFINANCE(""bom:""&amp;A5,""marketcap"")/10000000"),15373.5707071)</f>
        <v>15373.5707071</v>
      </c>
      <c r="E5" s="10">
        <v>1276</v>
      </c>
      <c r="F5" s="10">
        <v>250</v>
      </c>
      <c r="G5" s="10">
        <v>1474</v>
      </c>
      <c r="H5" s="10">
        <v>272</v>
      </c>
      <c r="I5" s="10">
        <v>11</v>
      </c>
      <c r="J5" s="10">
        <v>1201</v>
      </c>
      <c r="K5" s="10">
        <v>0</v>
      </c>
      <c r="L5" s="10">
        <v>345</v>
      </c>
      <c r="M5" s="10">
        <v>2</v>
      </c>
      <c r="N5" s="10">
        <f ca="1">IFERROR(__xludf.DUMMYFUNCTION("GOOGLEFINANCE(""bom:""&amp;A5,""EPS"")"),32.45)</f>
        <v>32.450000000000003</v>
      </c>
      <c r="O5" s="104">
        <f t="shared" ca="1" si="0"/>
        <v>2.3276478357257515E-2</v>
      </c>
      <c r="P5" s="10">
        <v>57</v>
      </c>
      <c r="Q5" s="10">
        <v>453</v>
      </c>
      <c r="R5" s="105">
        <v>520</v>
      </c>
      <c r="S5" s="10">
        <v>124</v>
      </c>
      <c r="T5" s="10">
        <v>337</v>
      </c>
      <c r="U5" s="10">
        <v>268</v>
      </c>
      <c r="V5" s="10">
        <v>110</v>
      </c>
      <c r="W5" s="10">
        <v>68</v>
      </c>
      <c r="X5" s="53">
        <v>8</v>
      </c>
      <c r="Y5" s="53">
        <v>298</v>
      </c>
      <c r="Z5" s="106">
        <f t="shared" si="1"/>
        <v>0.25746268656716409</v>
      </c>
      <c r="AA5" s="104">
        <f t="shared" si="2"/>
        <v>0.61764705882352944</v>
      </c>
      <c r="AB5" s="104">
        <f t="shared" si="3"/>
        <v>0.51371693346807001</v>
      </c>
      <c r="AC5" s="104">
        <f t="shared" si="4"/>
        <v>0.27373068432671083</v>
      </c>
      <c r="AD5" s="104">
        <f t="shared" si="5"/>
        <v>0.32640949554896143</v>
      </c>
      <c r="AE5" s="11">
        <f t="shared" si="6"/>
        <v>20.375</v>
      </c>
      <c r="AF5" s="107">
        <f t="shared" si="7"/>
        <v>5.1040000000000001</v>
      </c>
      <c r="AG5" s="11">
        <f t="shared" si="8"/>
        <v>277.98013245033115</v>
      </c>
      <c r="AH5" s="107">
        <f t="shared" si="9"/>
        <v>0</v>
      </c>
      <c r="AI5" s="107">
        <f t="shared" si="10"/>
        <v>0.19592476489028213</v>
      </c>
      <c r="AJ5" s="104">
        <f t="shared" si="11"/>
        <v>0.10324729392173189</v>
      </c>
      <c r="AK5" s="11">
        <f t="shared" si="12"/>
        <v>11.272727272727273</v>
      </c>
      <c r="AL5" s="104">
        <f t="shared" si="13"/>
        <v>8.4124830393487116E-2</v>
      </c>
      <c r="AM5" s="11">
        <f t="shared" ca="1" si="14"/>
        <v>84.602465331278879</v>
      </c>
      <c r="AN5" s="104">
        <f t="shared" ca="1" si="15"/>
        <v>1.1819986522665599E-2</v>
      </c>
      <c r="AO5" s="11">
        <f t="shared" si="16"/>
        <v>220.36363636363637</v>
      </c>
      <c r="AP5" s="11">
        <f t="shared" ca="1" si="17"/>
        <v>12.458271452145214</v>
      </c>
    </row>
    <row r="6" spans="1:42" ht="15.75" customHeight="1" x14ac:dyDescent="0.3">
      <c r="A6" s="90">
        <v>542011</v>
      </c>
      <c r="B6" s="103" t="s">
        <v>178</v>
      </c>
      <c r="C6" s="10">
        <f ca="1">IFERROR(__xludf.DUMMYFUNCTION("GOOGLEFINANCE(""bom:""&amp;A6,""price"")"),1751.1)</f>
        <v>1751.1</v>
      </c>
      <c r="D6" s="11">
        <f ca="1">IFERROR(__xludf.DUMMYFUNCTION("GOOGLEFINANCE(""bom:""&amp;A6,""marketcap"")/10000000"),20056.9415213)</f>
        <v>20056.941521299999</v>
      </c>
      <c r="E6" s="11">
        <v>10264</v>
      </c>
      <c r="F6" s="11">
        <v>9391</v>
      </c>
      <c r="G6" s="10">
        <v>11076</v>
      </c>
      <c r="H6" s="11">
        <v>9513</v>
      </c>
      <c r="I6" s="10">
        <v>115</v>
      </c>
      <c r="J6" s="10">
        <v>1564</v>
      </c>
      <c r="K6" s="10">
        <v>0</v>
      </c>
      <c r="L6" s="10">
        <v>117</v>
      </c>
      <c r="M6" s="10">
        <v>10</v>
      </c>
      <c r="N6" s="10">
        <f ca="1">IFERROR(__xludf.DUMMYFUNCTION("GOOGLEFINANCE(""bom:""&amp;A6,""EPS"")"),32.1)</f>
        <v>32.1</v>
      </c>
      <c r="O6" s="104">
        <f t="shared" ca="1" si="0"/>
        <v>3.0367373600312043E-2</v>
      </c>
      <c r="P6" s="10">
        <v>1342</v>
      </c>
      <c r="Q6" s="10">
        <v>2561</v>
      </c>
      <c r="R6" s="105">
        <v>3593</v>
      </c>
      <c r="S6" s="10">
        <v>228</v>
      </c>
      <c r="T6" s="10">
        <v>2577</v>
      </c>
      <c r="U6" s="10">
        <v>1960</v>
      </c>
      <c r="V6" s="10">
        <v>245</v>
      </c>
      <c r="W6" s="10">
        <v>173</v>
      </c>
      <c r="X6" s="53">
        <v>6</v>
      </c>
      <c r="Y6" s="53">
        <v>2458</v>
      </c>
      <c r="Z6" s="106">
        <f t="shared" si="1"/>
        <v>0.31479591836734699</v>
      </c>
      <c r="AA6" s="104">
        <f t="shared" si="2"/>
        <v>0.41618497109826591</v>
      </c>
      <c r="AB6" s="104">
        <f t="shared" si="3"/>
        <v>0.13797157087261258</v>
      </c>
      <c r="AC6" s="104">
        <f t="shared" si="4"/>
        <v>8.9027723545490045E-2</v>
      </c>
      <c r="AD6" s="104">
        <f t="shared" si="5"/>
        <v>9.5071788901823828E-2</v>
      </c>
      <c r="AE6" s="11">
        <f t="shared" si="6"/>
        <v>18.166666666666668</v>
      </c>
      <c r="AF6" s="107">
        <f t="shared" si="7"/>
        <v>1.0929613459695453</v>
      </c>
      <c r="AG6" s="11">
        <f t="shared" si="8"/>
        <v>16.675126903553299</v>
      </c>
      <c r="AH6" s="107">
        <f t="shared" si="9"/>
        <v>0</v>
      </c>
      <c r="AI6" s="107">
        <f t="shared" si="10"/>
        <v>0.91494544037412318</v>
      </c>
      <c r="AJ6" s="104">
        <f t="shared" si="11"/>
        <v>0.14578005115089515</v>
      </c>
      <c r="AK6" s="11">
        <f t="shared" si="12"/>
        <v>1.982608695652174</v>
      </c>
      <c r="AL6" s="104">
        <f t="shared" si="13"/>
        <v>2.0585048754062838E-2</v>
      </c>
      <c r="AM6" s="11">
        <f t="shared" ca="1" si="14"/>
        <v>54.551401869158873</v>
      </c>
      <c r="AN6" s="104">
        <f t="shared" ca="1" si="15"/>
        <v>1.8331334589686485E-2</v>
      </c>
      <c r="AO6" s="11">
        <f t="shared" si="16"/>
        <v>146</v>
      </c>
      <c r="AP6" s="11">
        <f t="shared" ca="1" si="17"/>
        <v>11.993835616438355</v>
      </c>
    </row>
    <row r="7" spans="1:42" ht="15.75" customHeight="1" x14ac:dyDescent="0.3">
      <c r="A7" s="90">
        <v>541195</v>
      </c>
      <c r="B7" s="103" t="s">
        <v>179</v>
      </c>
      <c r="C7" s="10">
        <f ca="1">IFERROR(__xludf.DUMMYFUNCTION("GOOGLEFINANCE(""bom:""&amp;A7,""price"")"),400.5)</f>
        <v>400.5</v>
      </c>
      <c r="D7" s="11">
        <f ca="1">IFERROR(__xludf.DUMMYFUNCTION("GOOGLEFINANCE(""bom:""&amp;A7,""marketcap"")/10000000"),7476.7355233)</f>
        <v>7476.7355232999998</v>
      </c>
      <c r="E7" s="10">
        <v>1978</v>
      </c>
      <c r="F7" s="10">
        <v>977</v>
      </c>
      <c r="G7" s="10">
        <v>3108</v>
      </c>
      <c r="H7" s="10">
        <v>1789</v>
      </c>
      <c r="I7" s="10">
        <v>187</v>
      </c>
      <c r="J7" s="10">
        <v>1318</v>
      </c>
      <c r="K7" s="10">
        <v>392</v>
      </c>
      <c r="L7" s="10">
        <v>327</v>
      </c>
      <c r="M7" s="10">
        <v>10</v>
      </c>
      <c r="N7" s="10">
        <f ca="1">IFERROR(__xludf.DUMMYFUNCTION("GOOGLEFINANCE(""bom:""&amp;A7,""EPS"")"),4.16)</f>
        <v>4.16</v>
      </c>
      <c r="O7" s="104">
        <f t="shared" ca="1" si="0"/>
        <v>1.132021154400112E-2</v>
      </c>
      <c r="P7" s="10">
        <v>666</v>
      </c>
      <c r="Q7" s="10">
        <v>872</v>
      </c>
      <c r="R7" s="105">
        <v>1072</v>
      </c>
      <c r="S7" s="10">
        <v>156</v>
      </c>
      <c r="T7" s="10">
        <v>667</v>
      </c>
      <c r="U7" s="10">
        <v>517</v>
      </c>
      <c r="V7" s="10">
        <v>45</v>
      </c>
      <c r="W7" s="10">
        <v>90</v>
      </c>
      <c r="X7" s="53">
        <v>26</v>
      </c>
      <c r="Y7" s="53">
        <v>693</v>
      </c>
      <c r="Z7" s="106">
        <f t="shared" si="1"/>
        <v>0.29013539651837528</v>
      </c>
      <c r="AA7" s="104">
        <f t="shared" si="2"/>
        <v>-0.5</v>
      </c>
      <c r="AB7" s="104">
        <f t="shared" si="3"/>
        <v>5.5379006914187956E-2</v>
      </c>
      <c r="AC7" s="104">
        <f t="shared" si="4"/>
        <v>0.17889908256880735</v>
      </c>
      <c r="AD7" s="104">
        <f t="shared" si="5"/>
        <v>6.7466266866566718E-2</v>
      </c>
      <c r="AE7" s="11">
        <f t="shared" si="6"/>
        <v>7.884615384615385</v>
      </c>
      <c r="AF7" s="107">
        <f t="shared" si="7"/>
        <v>2.0245649948822928</v>
      </c>
      <c r="AG7" s="11">
        <f t="shared" si="8"/>
        <v>136.875</v>
      </c>
      <c r="AH7" s="107">
        <f t="shared" si="9"/>
        <v>0.29742033383915023</v>
      </c>
      <c r="AI7" s="107">
        <f t="shared" si="10"/>
        <v>0.49393326592517695</v>
      </c>
      <c r="AJ7" s="104">
        <f t="shared" si="11"/>
        <v>0.11836115326251896</v>
      </c>
      <c r="AK7" s="11">
        <f t="shared" si="12"/>
        <v>0.83422459893048129</v>
      </c>
      <c r="AL7" s="104">
        <f t="shared" si="13"/>
        <v>5.019305019305019E-2</v>
      </c>
      <c r="AM7" s="11">
        <f t="shared" ca="1" si="14"/>
        <v>96.274038461538453</v>
      </c>
      <c r="AN7" s="104">
        <f t="shared" ca="1" si="15"/>
        <v>1.0387016229712859E-2</v>
      </c>
      <c r="AO7" s="11">
        <f t="shared" si="16"/>
        <v>80.481283422459896</v>
      </c>
      <c r="AP7" s="11">
        <f t="shared" ca="1" si="17"/>
        <v>4.9763122923588039</v>
      </c>
    </row>
    <row r="8" spans="1:42" ht="15.75" customHeight="1" x14ac:dyDescent="0.3">
      <c r="A8" s="90">
        <v>533339</v>
      </c>
      <c r="B8" s="103" t="s">
        <v>180</v>
      </c>
      <c r="C8" s="10">
        <f ca="1">IFERROR(__xludf.DUMMYFUNCTION("GOOGLEFINANCE(""bom:""&amp;A8,""price"")"),1714.7)</f>
        <v>1714.7</v>
      </c>
      <c r="D8" s="11">
        <f ca="1">IFERROR(__xludf.DUMMYFUNCTION("GOOGLEFINANCE(""bom:""&amp;A8,""marketcap"")/10000000"),15398.2164696)</f>
        <v>15398.2164696</v>
      </c>
      <c r="E8" s="10">
        <v>477</v>
      </c>
      <c r="F8" s="10">
        <v>245</v>
      </c>
      <c r="G8" s="10">
        <v>643</v>
      </c>
      <c r="H8" s="10">
        <v>248.9</v>
      </c>
      <c r="I8" s="10">
        <v>8</v>
      </c>
      <c r="J8" s="10">
        <v>393</v>
      </c>
      <c r="K8" s="10">
        <v>0.47</v>
      </c>
      <c r="L8" s="10">
        <v>129</v>
      </c>
      <c r="M8" s="10">
        <v>1</v>
      </c>
      <c r="N8" s="10">
        <f ca="1">IFERROR(__xludf.DUMMYFUNCTION("GOOGLEFINANCE(""bom:""&amp;A8,""EPS"")"),18.87)</f>
        <v>18.87</v>
      </c>
      <c r="O8" s="104">
        <f t="shared" ca="1" si="0"/>
        <v>2.3313793472162111E-2</v>
      </c>
      <c r="P8" s="10">
        <v>39</v>
      </c>
      <c r="Q8" s="10">
        <v>219</v>
      </c>
      <c r="R8" s="105">
        <v>439</v>
      </c>
      <c r="S8" s="10">
        <v>50</v>
      </c>
      <c r="T8" s="10">
        <v>298</v>
      </c>
      <c r="U8" s="10">
        <v>123</v>
      </c>
      <c r="V8" s="10">
        <v>134</v>
      </c>
      <c r="W8" s="10">
        <v>36</v>
      </c>
      <c r="X8" s="53">
        <v>4</v>
      </c>
      <c r="Y8" s="53">
        <v>156</v>
      </c>
      <c r="Z8" s="106">
        <f t="shared" si="1"/>
        <v>1.4227642276422765</v>
      </c>
      <c r="AA8" s="104">
        <f t="shared" si="2"/>
        <v>2.7222222222222223</v>
      </c>
      <c r="AB8" s="104">
        <f t="shared" si="3"/>
        <v>0.41213397362029625</v>
      </c>
      <c r="AC8" s="104">
        <f t="shared" si="4"/>
        <v>0.22831050228310501</v>
      </c>
      <c r="AD8" s="104">
        <f t="shared" si="5"/>
        <v>0.44966442953020136</v>
      </c>
      <c r="AE8" s="11">
        <f t="shared" si="6"/>
        <v>16.75</v>
      </c>
      <c r="AF8" s="107">
        <f t="shared" si="7"/>
        <v>1.9469387755102041</v>
      </c>
      <c r="AG8" s="11">
        <f t="shared" si="8"/>
        <v>215</v>
      </c>
      <c r="AH8" s="107">
        <f t="shared" si="9"/>
        <v>1.1959287531806615E-3</v>
      </c>
      <c r="AI8" s="107">
        <f t="shared" si="10"/>
        <v>0.51362683438155132</v>
      </c>
      <c r="AJ8" s="104">
        <f t="shared" si="11"/>
        <v>0.1272264631043257</v>
      </c>
      <c r="AK8" s="11">
        <f t="shared" si="12"/>
        <v>6.25</v>
      </c>
      <c r="AL8" s="104">
        <f t="shared" si="13"/>
        <v>7.7760497667185069E-2</v>
      </c>
      <c r="AM8" s="11">
        <f t="shared" ca="1" si="14"/>
        <v>90.869104398516157</v>
      </c>
      <c r="AN8" s="104">
        <f t="shared" ca="1" si="15"/>
        <v>1.1004840496879921E-2</v>
      </c>
      <c r="AO8" s="11">
        <f t="shared" si="16"/>
        <v>50.125</v>
      </c>
      <c r="AP8" s="11">
        <f t="shared" ca="1" si="17"/>
        <v>34.208478802992516</v>
      </c>
    </row>
    <row r="9" spans="1:42" ht="15.75" customHeight="1" x14ac:dyDescent="0.3">
      <c r="A9" s="90">
        <v>543270</v>
      </c>
      <c r="B9" s="103" t="s">
        <v>181</v>
      </c>
      <c r="C9" s="10">
        <f ca="1">IFERROR(__xludf.DUMMYFUNCTION("GOOGLEFINANCE(""bom:""&amp;A9,""price"")"),1760.05)</f>
        <v>1760.05</v>
      </c>
      <c r="D9" s="11">
        <f ca="1">IFERROR(__xludf.DUMMYFUNCTION("GOOGLEFINANCE(""bom:""&amp;A9,""marketcap"")/10000000"),5407.534164)</f>
        <v>5407.5341639999997</v>
      </c>
      <c r="E9" s="10">
        <v>678</v>
      </c>
      <c r="F9" s="10">
        <v>297</v>
      </c>
      <c r="G9" s="10">
        <v>1066</v>
      </c>
      <c r="H9" s="10">
        <v>404</v>
      </c>
      <c r="I9" s="10">
        <v>31</v>
      </c>
      <c r="J9" s="10">
        <v>661</v>
      </c>
      <c r="K9" s="10">
        <v>249</v>
      </c>
      <c r="L9" s="10">
        <v>186</v>
      </c>
      <c r="M9" s="10">
        <v>10</v>
      </c>
      <c r="N9" s="10">
        <f ca="1">IFERROR(__xludf.DUMMYFUNCTION("GOOGLEFINANCE(""bom:""&amp;A9,""EPS"")"),13.07)</f>
        <v>13.07</v>
      </c>
      <c r="O9" s="104">
        <f t="shared" ca="1" si="0"/>
        <v>8.1873205862543451E-3</v>
      </c>
      <c r="P9" s="10">
        <v>159</v>
      </c>
      <c r="Q9" s="10">
        <v>574</v>
      </c>
      <c r="R9" s="105">
        <v>581</v>
      </c>
      <c r="S9" s="10">
        <v>103</v>
      </c>
      <c r="T9" s="10">
        <v>437</v>
      </c>
      <c r="U9" s="10">
        <v>377</v>
      </c>
      <c r="V9" s="10">
        <v>51</v>
      </c>
      <c r="W9" s="10">
        <v>72</v>
      </c>
      <c r="X9" s="53">
        <v>15</v>
      </c>
      <c r="Y9" s="53">
        <v>453</v>
      </c>
      <c r="Z9" s="106">
        <f t="shared" si="1"/>
        <v>0.15915119363395225</v>
      </c>
      <c r="AA9" s="104">
        <f t="shared" si="2"/>
        <v>-0.29166666666666663</v>
      </c>
      <c r="AB9" s="104">
        <f t="shared" si="3"/>
        <v>0.29271549247162887</v>
      </c>
      <c r="AC9" s="104">
        <f t="shared" si="4"/>
        <v>0.17944250871080139</v>
      </c>
      <c r="AD9" s="104">
        <f t="shared" si="5"/>
        <v>0.11670480549199085</v>
      </c>
      <c r="AE9" s="11">
        <f t="shared" si="6"/>
        <v>9.0666666666666664</v>
      </c>
      <c r="AF9" s="107">
        <f t="shared" si="7"/>
        <v>2.2828282828282829</v>
      </c>
      <c r="AG9" s="11">
        <f t="shared" si="8"/>
        <v>118.27526132404181</v>
      </c>
      <c r="AH9" s="107">
        <f t="shared" si="9"/>
        <v>0.37670196671709533</v>
      </c>
      <c r="AI9" s="107">
        <f t="shared" si="10"/>
        <v>0.43805309734513276</v>
      </c>
      <c r="AJ9" s="104">
        <f t="shared" si="11"/>
        <v>0.15582450832072617</v>
      </c>
      <c r="AK9" s="11">
        <f t="shared" si="12"/>
        <v>3.3225806451612905</v>
      </c>
      <c r="AL9" s="104">
        <f t="shared" si="13"/>
        <v>9.662288930581614E-2</v>
      </c>
      <c r="AM9" s="11">
        <f t="shared" ca="1" si="14"/>
        <v>134.66335118592195</v>
      </c>
      <c r="AN9" s="104">
        <f t="shared" ca="1" si="15"/>
        <v>7.4259253998465958E-3</v>
      </c>
      <c r="AO9" s="11">
        <f t="shared" si="16"/>
        <v>223.2258064516129</v>
      </c>
      <c r="AP9" s="11">
        <f t="shared" ca="1" si="17"/>
        <v>7.8846170520231214</v>
      </c>
    </row>
    <row r="10" spans="1:42" ht="15.75" customHeight="1" x14ac:dyDescent="0.3">
      <c r="A10" s="90">
        <v>532493</v>
      </c>
      <c r="B10" s="103" t="s">
        <v>182</v>
      </c>
      <c r="C10" s="10">
        <f ca="1">IFERROR(__xludf.DUMMYFUNCTION("GOOGLEFINANCE(""bom:""&amp;A10,""price"")"),919.9)</f>
        <v>919.9</v>
      </c>
      <c r="D10" s="11">
        <f ca="1">IFERROR(__xludf.DUMMYFUNCTION("GOOGLEFINANCE(""bom:""&amp;A10,""marketcap"")/10000000"),8733.516513)</f>
        <v>8733.5165130000005</v>
      </c>
      <c r="E10" s="10">
        <v>961</v>
      </c>
      <c r="F10" s="10">
        <v>256</v>
      </c>
      <c r="G10" s="10">
        <v>1185</v>
      </c>
      <c r="H10" s="10">
        <v>315</v>
      </c>
      <c r="I10" s="10">
        <v>18</v>
      </c>
      <c r="J10" s="10">
        <v>869</v>
      </c>
      <c r="K10" s="10">
        <v>68</v>
      </c>
      <c r="L10" s="10">
        <v>283</v>
      </c>
      <c r="M10" s="10">
        <v>2</v>
      </c>
      <c r="N10" s="10">
        <f ca="1">IFERROR(__xludf.DUMMYFUNCTION("GOOGLEFINANCE(""bom:""&amp;A10,""EPS"")"),14.22)</f>
        <v>14.22</v>
      </c>
      <c r="O10" s="104">
        <f t="shared" ca="1" si="0"/>
        <v>1.3223050907991855E-2</v>
      </c>
      <c r="P10" s="10">
        <v>366</v>
      </c>
      <c r="Q10" s="10">
        <v>815</v>
      </c>
      <c r="R10" s="105">
        <v>908</v>
      </c>
      <c r="S10" s="10">
        <v>70</v>
      </c>
      <c r="T10" s="10">
        <v>554</v>
      </c>
      <c r="U10" s="10">
        <v>557</v>
      </c>
      <c r="V10" s="10">
        <v>66</v>
      </c>
      <c r="W10" s="10">
        <v>56</v>
      </c>
      <c r="X10" s="53">
        <v>30</v>
      </c>
      <c r="Y10" s="53">
        <v>722</v>
      </c>
      <c r="Z10" s="106">
        <f t="shared" si="1"/>
        <v>-5.3859964093356805E-3</v>
      </c>
      <c r="AA10" s="104">
        <f t="shared" si="2"/>
        <v>0.1785714285714286</v>
      </c>
      <c r="AB10" s="104">
        <f t="shared" si="3"/>
        <v>0.17364108625028796</v>
      </c>
      <c r="AC10" s="104">
        <f t="shared" si="4"/>
        <v>8.5889570552147243E-2</v>
      </c>
      <c r="AD10" s="104">
        <f t="shared" si="5"/>
        <v>0.11913357400722022</v>
      </c>
      <c r="AE10" s="11">
        <f t="shared" si="6"/>
        <v>4.0999999999999996</v>
      </c>
      <c r="AF10" s="107">
        <f t="shared" si="7"/>
        <v>3.75390625</v>
      </c>
      <c r="AG10" s="11">
        <f t="shared" si="8"/>
        <v>126.74233128834355</v>
      </c>
      <c r="AH10" s="107">
        <f t="shared" si="9"/>
        <v>7.8250863060989648E-2</v>
      </c>
      <c r="AI10" s="107">
        <f t="shared" si="10"/>
        <v>0.26638917793964623</v>
      </c>
      <c r="AJ10" s="104">
        <f t="shared" si="11"/>
        <v>8.0552359033371698E-2</v>
      </c>
      <c r="AK10" s="11">
        <f t="shared" si="12"/>
        <v>3.8888888888888888</v>
      </c>
      <c r="AL10" s="104">
        <f t="shared" si="13"/>
        <v>5.9071729957805907E-2</v>
      </c>
      <c r="AM10" s="11">
        <f t="shared" ca="1" si="14"/>
        <v>64.690576652601962</v>
      </c>
      <c r="AN10" s="104">
        <f t="shared" ca="1" si="15"/>
        <v>1.5458201978475923E-2</v>
      </c>
      <c r="AO10" s="11">
        <f t="shared" si="16"/>
        <v>98.555555555555557</v>
      </c>
      <c r="AP10" s="11">
        <f t="shared" ca="1" si="17"/>
        <v>9.3338218714768875</v>
      </c>
    </row>
    <row r="11" spans="1:42" ht="15.75" customHeight="1" x14ac:dyDescent="0.3">
      <c r="A11" s="90">
        <v>540879</v>
      </c>
      <c r="B11" s="103" t="s">
        <v>183</v>
      </c>
      <c r="C11" s="10">
        <f ca="1">IFERROR(__xludf.DUMMYFUNCTION("GOOGLEFINANCE(""bom:""&amp;A11,""price"")"),111.6)</f>
        <v>111.6</v>
      </c>
      <c r="D11" s="11">
        <f ca="1">IFERROR(__xludf.DUMMYFUNCTION("GOOGLEFINANCE(""bom:""&amp;A11,""marketcap"")/10000000"),3419.7844212)</f>
        <v>3419.7844212</v>
      </c>
      <c r="E11" s="10">
        <v>613</v>
      </c>
      <c r="F11" s="10">
        <v>312</v>
      </c>
      <c r="G11" s="10">
        <v>771</v>
      </c>
      <c r="H11" s="10">
        <v>345</v>
      </c>
      <c r="I11" s="10">
        <v>23</v>
      </c>
      <c r="J11" s="10">
        <v>427</v>
      </c>
      <c r="K11" s="10">
        <v>169</v>
      </c>
      <c r="L11" s="10">
        <v>147</v>
      </c>
      <c r="M11" s="10">
        <v>1</v>
      </c>
      <c r="N11" s="10">
        <f ca="1">IFERROR(__xludf.DUMMYFUNCTION("GOOGLEFINANCE(""bom:""&amp;A11,""EPS"")"),1.35)</f>
        <v>1.35</v>
      </c>
      <c r="O11" s="104">
        <f t="shared" ca="1" si="0"/>
        <v>5.1777521034710684E-3</v>
      </c>
      <c r="P11" s="10">
        <v>220</v>
      </c>
      <c r="Q11" s="10">
        <v>297</v>
      </c>
      <c r="R11" s="108" t="e">
        <v>#N/A</v>
      </c>
      <c r="S11" s="10">
        <v>19</v>
      </c>
      <c r="T11" s="10">
        <v>236</v>
      </c>
      <c r="U11" s="10">
        <v>191</v>
      </c>
      <c r="V11" s="10">
        <v>18</v>
      </c>
      <c r="W11" s="10">
        <v>11</v>
      </c>
      <c r="X11" s="53">
        <v>23</v>
      </c>
      <c r="Y11" s="53">
        <v>266</v>
      </c>
      <c r="Z11" s="106">
        <f t="shared" si="1"/>
        <v>0.23560209424083767</v>
      </c>
      <c r="AA11" s="104">
        <f t="shared" si="2"/>
        <v>0.63636363636363646</v>
      </c>
      <c r="AB11" s="104">
        <f t="shared" si="3"/>
        <v>6.1858758794934632E-2</v>
      </c>
      <c r="AC11" s="104">
        <f t="shared" si="4"/>
        <v>6.3973063973063973E-2</v>
      </c>
      <c r="AD11" s="104">
        <f t="shared" si="5"/>
        <v>7.6271186440677971E-2</v>
      </c>
      <c r="AE11" s="11">
        <f t="shared" si="6"/>
        <v>2.347826086956522</v>
      </c>
      <c r="AF11" s="107">
        <f t="shared" si="7"/>
        <v>1.9647435897435896</v>
      </c>
      <c r="AG11" s="11">
        <f t="shared" si="8"/>
        <v>180.65656565656568</v>
      </c>
      <c r="AH11" s="107">
        <f t="shared" si="9"/>
        <v>0.39578454332552693</v>
      </c>
      <c r="AI11" s="107">
        <f t="shared" si="10"/>
        <v>0.50897226753670477</v>
      </c>
      <c r="AJ11" s="104">
        <f t="shared" si="11"/>
        <v>4.449648711943794E-2</v>
      </c>
      <c r="AK11" s="11">
        <f t="shared" si="12"/>
        <v>0.82608695652173914</v>
      </c>
      <c r="AL11" s="104">
        <f t="shared" si="13"/>
        <v>2.464332036316472E-2</v>
      </c>
      <c r="AM11" s="11">
        <f t="shared" ca="1" si="14"/>
        <v>82.666666666666657</v>
      </c>
      <c r="AN11" s="104">
        <f t="shared" ca="1" si="15"/>
        <v>1.2096774193548388E-2</v>
      </c>
      <c r="AO11" s="11">
        <f t="shared" si="16"/>
        <v>19.565217391304348</v>
      </c>
      <c r="AP11" s="11">
        <f t="shared" ca="1" si="17"/>
        <v>5.7039999999999997</v>
      </c>
    </row>
    <row r="12" spans="1:42" ht="15.75" customHeight="1" x14ac:dyDescent="0.3">
      <c r="A12" s="90">
        <v>543650</v>
      </c>
      <c r="B12" s="103" t="s">
        <v>184</v>
      </c>
      <c r="C12" s="10">
        <f ca="1">IFERROR(__xludf.DUMMYFUNCTION("GOOGLEFINANCE(""bom:""&amp;A12,""price"")"),331)</f>
        <v>331</v>
      </c>
      <c r="D12" s="11">
        <f ca="1">IFERROR(__xludf.DUMMYFUNCTION("GOOGLEFINANCE(""bom:""&amp;A12,""marketcap"")/10000000"),3700.07026)</f>
        <v>3700.07026</v>
      </c>
      <c r="E12" s="10">
        <v>1066</v>
      </c>
      <c r="F12" s="10">
        <v>505</v>
      </c>
      <c r="G12" s="10">
        <v>1118</v>
      </c>
      <c r="H12" s="10">
        <v>527</v>
      </c>
      <c r="I12" s="10">
        <v>19</v>
      </c>
      <c r="J12" s="10">
        <v>591</v>
      </c>
      <c r="K12" s="10">
        <v>433</v>
      </c>
      <c r="L12" s="10">
        <v>213</v>
      </c>
      <c r="M12" s="10">
        <v>2</v>
      </c>
      <c r="N12" s="10">
        <f ca="1">IFERROR(__xludf.DUMMYFUNCTION("GOOGLEFINANCE(""bom:""&amp;A12,""EPS"")"),6.73)</f>
        <v>6.73</v>
      </c>
      <c r="O12" s="104">
        <f t="shared" ca="1" si="0"/>
        <v>5.6021211316540235E-3</v>
      </c>
      <c r="P12" s="10">
        <v>300</v>
      </c>
      <c r="Q12" s="10">
        <v>1252</v>
      </c>
      <c r="R12" s="105">
        <v>1423</v>
      </c>
      <c r="S12" s="10">
        <v>72</v>
      </c>
      <c r="T12" s="10">
        <v>677</v>
      </c>
      <c r="U12" s="10">
        <v>743</v>
      </c>
      <c r="V12" s="10">
        <v>42</v>
      </c>
      <c r="W12" s="10">
        <v>30</v>
      </c>
      <c r="X12" s="53">
        <v>26</v>
      </c>
      <c r="Y12" s="53">
        <v>1197</v>
      </c>
      <c r="Z12" s="106">
        <f t="shared" si="1"/>
        <v>-8.8829071332436116E-2</v>
      </c>
      <c r="AA12" s="104">
        <f t="shared" si="2"/>
        <v>0.39999999999999991</v>
      </c>
      <c r="AB12" s="104">
        <f t="shared" si="3"/>
        <v>0.33075042894076834</v>
      </c>
      <c r="AC12" s="104">
        <f t="shared" si="4"/>
        <v>5.7507987220447282E-2</v>
      </c>
      <c r="AD12" s="104">
        <f t="shared" si="5"/>
        <v>6.2038404726735601E-2</v>
      </c>
      <c r="AE12" s="11">
        <f t="shared" si="6"/>
        <v>3.1153846153846154</v>
      </c>
      <c r="AF12" s="107">
        <f t="shared" si="7"/>
        <v>2.110891089108911</v>
      </c>
      <c r="AG12" s="11">
        <f t="shared" si="8"/>
        <v>62.096645367412137</v>
      </c>
      <c r="AH12" s="107">
        <f t="shared" si="9"/>
        <v>0.73265651438240276</v>
      </c>
      <c r="AI12" s="107">
        <f t="shared" si="10"/>
        <v>0.47373358348968103</v>
      </c>
      <c r="AJ12" s="104">
        <f t="shared" si="11"/>
        <v>0.12182741116751269</v>
      </c>
      <c r="AK12" s="11">
        <f t="shared" si="12"/>
        <v>3.7894736842105261</v>
      </c>
      <c r="AL12" s="104">
        <f t="shared" si="13"/>
        <v>6.4400715563506267E-2</v>
      </c>
      <c r="AM12" s="11">
        <f t="shared" ca="1" si="14"/>
        <v>49.18276374442793</v>
      </c>
      <c r="AN12" s="104">
        <f t="shared" ca="1" si="15"/>
        <v>2.0332326283987918E-2</v>
      </c>
      <c r="AO12" s="11">
        <f t="shared" si="16"/>
        <v>64.21052631578948</v>
      </c>
      <c r="AP12" s="11">
        <f t="shared" ca="1" si="17"/>
        <v>5.1549180327868847</v>
      </c>
    </row>
    <row r="13" spans="1:42" ht="15.75" customHeight="1" x14ac:dyDescent="0.3">
      <c r="A13" s="90">
        <v>543932</v>
      </c>
      <c r="B13" s="103" t="s">
        <v>185</v>
      </c>
      <c r="C13" s="10">
        <f ca="1">IFERROR(__xludf.DUMMYFUNCTION("GOOGLEFINANCE(""bom:""&amp;A13,""price"")"),718)</f>
        <v>718</v>
      </c>
      <c r="D13" s="11">
        <f ca="1">IFERROR(__xludf.DUMMYFUNCTION("GOOGLEFINANCE(""bom:""&amp;A13,""marketcap"")/10000000"),3085.5300913)</f>
        <v>3085.5300913000001</v>
      </c>
      <c r="E13" s="10">
        <v>595</v>
      </c>
      <c r="F13" s="10">
        <v>64</v>
      </c>
      <c r="G13" s="10">
        <v>709</v>
      </c>
      <c r="H13" s="10">
        <v>77</v>
      </c>
      <c r="I13" s="10">
        <v>42</v>
      </c>
      <c r="J13" s="10">
        <v>631</v>
      </c>
      <c r="K13" s="10">
        <v>0</v>
      </c>
      <c r="L13" s="10">
        <v>26</v>
      </c>
      <c r="M13" s="10">
        <v>10</v>
      </c>
      <c r="N13" s="10">
        <v>7.06</v>
      </c>
      <c r="O13" s="104">
        <f t="shared" ca="1" si="0"/>
        <v>4.6716716473449065E-3</v>
      </c>
      <c r="P13" s="10">
        <v>14</v>
      </c>
      <c r="Q13" s="10">
        <v>186</v>
      </c>
      <c r="R13" s="105">
        <v>313</v>
      </c>
      <c r="S13" s="10">
        <v>32</v>
      </c>
      <c r="T13" s="10">
        <v>212</v>
      </c>
      <c r="U13" s="10">
        <v>147</v>
      </c>
      <c r="V13" s="10">
        <v>35</v>
      </c>
      <c r="W13" s="10">
        <v>37</v>
      </c>
      <c r="X13" s="53">
        <v>86</v>
      </c>
      <c r="Y13" s="53">
        <v>155</v>
      </c>
      <c r="Z13" s="106">
        <f t="shared" si="1"/>
        <v>0.44217687074829937</v>
      </c>
      <c r="AA13" s="104">
        <f t="shared" si="2"/>
        <v>-5.4054054054054057E-2</v>
      </c>
      <c r="AB13" s="104">
        <f>(Q13/P13)^(1/3)-1</f>
        <v>1.3684359044831225</v>
      </c>
      <c r="AC13" s="104">
        <f t="shared" si="4"/>
        <v>0.17204301075268819</v>
      </c>
      <c r="AD13" s="104">
        <f t="shared" si="5"/>
        <v>0.1650943396226415</v>
      </c>
      <c r="AE13" s="11">
        <f t="shared" si="6"/>
        <v>1.3604651162790697</v>
      </c>
      <c r="AF13" s="107">
        <f t="shared" si="7"/>
        <v>9.296875</v>
      </c>
      <c r="AG13" s="11">
        <f t="shared" si="8"/>
        <v>51.021505376344081</v>
      </c>
      <c r="AH13" s="107">
        <f t="shared" si="9"/>
        <v>0</v>
      </c>
      <c r="AI13" s="107">
        <f t="shared" si="10"/>
        <v>0.10756302521008404</v>
      </c>
      <c r="AJ13" s="104">
        <f t="shared" si="11"/>
        <v>5.0713153724247229E-2</v>
      </c>
      <c r="AK13" s="11">
        <f t="shared" si="12"/>
        <v>0.76190476190476186</v>
      </c>
      <c r="AL13" s="104">
        <f t="shared" si="13"/>
        <v>4.5133991537376586E-2</v>
      </c>
      <c r="AM13" s="11">
        <f t="shared" ca="1" si="14"/>
        <v>101.69971671388103</v>
      </c>
      <c r="AN13" s="104">
        <f t="shared" ca="1" si="15"/>
        <v>9.8328690807799445E-3</v>
      </c>
      <c r="AO13" s="11">
        <f t="shared" si="16"/>
        <v>160.23809523809524</v>
      </c>
      <c r="AP13" s="11">
        <f t="shared" ca="1" si="17"/>
        <v>4.4808320950965825</v>
      </c>
    </row>
    <row r="14" spans="1:42" ht="15.75" customHeight="1" x14ac:dyDescent="0.3">
      <c r="A14" s="90">
        <v>543367</v>
      </c>
      <c r="B14" s="103" t="s">
        <v>186</v>
      </c>
      <c r="C14" s="10">
        <f ca="1">IFERROR(__xludf.DUMMYFUNCTION("GOOGLEFINANCE(""bom:""&amp;A14,""price"")"),1143)</f>
        <v>1143</v>
      </c>
      <c r="D14" s="11">
        <f ca="1">IFERROR(__xludf.DUMMYFUNCTION("GOOGLEFINANCE(""bom:""&amp;A14,""marketcap"")/10000000"),4458.090906)</f>
        <v>4458.0909060000004</v>
      </c>
      <c r="E14" s="10">
        <v>349</v>
      </c>
      <c r="F14" s="10">
        <v>119</v>
      </c>
      <c r="G14" s="10">
        <v>572</v>
      </c>
      <c r="H14" s="10">
        <v>144</v>
      </c>
      <c r="I14" s="10">
        <v>39</v>
      </c>
      <c r="J14" s="10">
        <v>428</v>
      </c>
      <c r="K14" s="10">
        <v>40</v>
      </c>
      <c r="L14" s="10">
        <v>175</v>
      </c>
      <c r="M14" s="10">
        <v>10</v>
      </c>
      <c r="N14" s="10">
        <f ca="1">IFERROR(__xludf.DUMMYFUNCTION("GOOGLEFINANCE(""bom:""&amp;A14,""EPS"")"),10.5)</f>
        <v>10.5</v>
      </c>
      <c r="O14" s="104">
        <f t="shared" ca="1" si="0"/>
        <v>6.7498083864324324E-3</v>
      </c>
      <c r="P14" s="10">
        <v>143</v>
      </c>
      <c r="Q14" s="10">
        <v>222</v>
      </c>
      <c r="R14" s="105">
        <v>253</v>
      </c>
      <c r="S14" s="10">
        <v>36</v>
      </c>
      <c r="T14" s="10">
        <v>174</v>
      </c>
      <c r="U14" s="10">
        <v>157</v>
      </c>
      <c r="V14" s="10">
        <v>20</v>
      </c>
      <c r="W14" s="10">
        <v>24</v>
      </c>
      <c r="X14" s="53">
        <v>7</v>
      </c>
      <c r="Y14" s="53">
        <v>183</v>
      </c>
      <c r="Z14" s="106">
        <f t="shared" si="1"/>
        <v>0.10828025477707004</v>
      </c>
      <c r="AA14" s="104">
        <f t="shared" si="2"/>
        <v>-0.16666666666666663</v>
      </c>
      <c r="AB14" s="104">
        <f t="shared" ref="AB14:AB15" si="18">(Q14/P14)^(1/5)-1</f>
        <v>9.1951595988549295E-2</v>
      </c>
      <c r="AC14" s="104">
        <f t="shared" si="4"/>
        <v>0.16216216216216217</v>
      </c>
      <c r="AD14" s="104">
        <f t="shared" si="5"/>
        <v>0.11494252873563218</v>
      </c>
      <c r="AE14" s="11">
        <f t="shared" si="6"/>
        <v>6.5714285714285712</v>
      </c>
      <c r="AF14" s="107">
        <f t="shared" si="7"/>
        <v>2.9327731092436973</v>
      </c>
      <c r="AG14" s="11">
        <f t="shared" si="8"/>
        <v>287.72522522522524</v>
      </c>
      <c r="AH14" s="107">
        <f t="shared" si="9"/>
        <v>9.3457943925233641E-2</v>
      </c>
      <c r="AI14" s="107">
        <f t="shared" si="10"/>
        <v>0.34097421203438394</v>
      </c>
      <c r="AJ14" s="104">
        <f t="shared" si="11"/>
        <v>8.4112149532710276E-2</v>
      </c>
      <c r="AK14" s="11">
        <f t="shared" si="12"/>
        <v>0.92307692307692313</v>
      </c>
      <c r="AL14" s="104">
        <f t="shared" si="13"/>
        <v>6.2937062937062943E-2</v>
      </c>
      <c r="AM14" s="11">
        <f t="shared" ca="1" si="14"/>
        <v>108.85714285714286</v>
      </c>
      <c r="AN14" s="104">
        <f t="shared" ca="1" si="15"/>
        <v>9.1863517060367453E-3</v>
      </c>
      <c r="AO14" s="11">
        <f t="shared" si="16"/>
        <v>119.74358974358975</v>
      </c>
      <c r="AP14" s="11">
        <f t="shared" ca="1" si="17"/>
        <v>9.5453961456102778</v>
      </c>
    </row>
    <row r="15" spans="1:42" ht="15.75" customHeight="1" x14ac:dyDescent="0.3">
      <c r="A15" s="90">
        <v>533168</v>
      </c>
      <c r="B15" s="103" t="s">
        <v>187</v>
      </c>
      <c r="C15" s="10">
        <f ca="1">IFERROR(__xludf.DUMMYFUNCTION("GOOGLEFINANCE(""bom:""&amp;A15,""price"")"),570.25)</f>
        <v>570.25</v>
      </c>
      <c r="D15" s="11">
        <f ca="1">IFERROR(__xludf.DUMMYFUNCTION("GOOGLEFINANCE(""bom:""&amp;A15,""marketcap"")/10000000"),2149.6412017)</f>
        <v>2149.6412016999998</v>
      </c>
      <c r="E15" s="10">
        <v>309</v>
      </c>
      <c r="F15" s="10">
        <v>264</v>
      </c>
      <c r="G15" s="10">
        <v>588</v>
      </c>
      <c r="H15" s="10">
        <v>277</v>
      </c>
      <c r="I15" s="10">
        <v>7</v>
      </c>
      <c r="J15" s="10">
        <v>311</v>
      </c>
      <c r="K15" s="10">
        <v>199</v>
      </c>
      <c r="L15" s="10">
        <v>69</v>
      </c>
      <c r="M15" s="10">
        <v>2</v>
      </c>
      <c r="N15" s="10">
        <f ca="1">IFERROR(__xludf.DUMMYFUNCTION("GOOGLEFINANCE(""bom:""&amp;A15,""EPS"")"),3.67)</f>
        <v>3.67</v>
      </c>
      <c r="O15" s="104">
        <f t="shared" ca="1" si="0"/>
        <v>3.2546815479978794E-3</v>
      </c>
      <c r="P15" s="10">
        <v>198</v>
      </c>
      <c r="Q15" s="10">
        <v>354</v>
      </c>
      <c r="S15" s="10">
        <v>28</v>
      </c>
      <c r="T15" s="10">
        <v>295</v>
      </c>
      <c r="U15" s="10">
        <v>283</v>
      </c>
      <c r="V15" s="10">
        <v>32</v>
      </c>
      <c r="W15" s="10">
        <v>48</v>
      </c>
      <c r="X15" s="53">
        <v>12</v>
      </c>
      <c r="Y15" s="53">
        <v>326</v>
      </c>
      <c r="Z15" s="106">
        <f t="shared" si="1"/>
        <v>4.2402826855123754E-2</v>
      </c>
      <c r="AA15" s="104">
        <f t="shared" si="2"/>
        <v>-0.33333333333333337</v>
      </c>
      <c r="AB15" s="104">
        <f t="shared" si="18"/>
        <v>0.12322720670278753</v>
      </c>
      <c r="AC15" s="104">
        <f t="shared" si="4"/>
        <v>7.909604519774012E-2</v>
      </c>
      <c r="AD15" s="104">
        <f t="shared" si="5"/>
        <v>0.10847457627118644</v>
      </c>
      <c r="AE15" s="11">
        <f t="shared" si="6"/>
        <v>3.3333333333333335</v>
      </c>
      <c r="AF15" s="107">
        <f t="shared" si="7"/>
        <v>1.1704545454545454</v>
      </c>
      <c r="AG15" s="11">
        <f t="shared" si="8"/>
        <v>71.144067796610173</v>
      </c>
      <c r="AH15" s="107">
        <f t="shared" si="9"/>
        <v>0.63987138263665599</v>
      </c>
      <c r="AI15" s="107">
        <f t="shared" si="10"/>
        <v>0.85436893203883491</v>
      </c>
      <c r="AJ15" s="104">
        <f t="shared" si="11"/>
        <v>9.0032154340836015E-2</v>
      </c>
      <c r="AK15" s="11">
        <f t="shared" si="12"/>
        <v>4</v>
      </c>
      <c r="AL15" s="104">
        <f t="shared" si="13"/>
        <v>4.7619047619047616E-2</v>
      </c>
      <c r="AM15" s="11">
        <f t="shared" ca="1" si="14"/>
        <v>155.38147138964578</v>
      </c>
      <c r="AN15" s="104">
        <f t="shared" ca="1" si="15"/>
        <v>6.435773783428321E-3</v>
      </c>
      <c r="AO15" s="11">
        <f t="shared" si="16"/>
        <v>90.857142857142861</v>
      </c>
      <c r="AP15" s="11">
        <f t="shared" ca="1" si="17"/>
        <v>6.2763364779874209</v>
      </c>
    </row>
    <row r="16" spans="1:42" ht="15.75" customHeight="1" x14ac:dyDescent="0.3">
      <c r="A16" s="90">
        <v>535136</v>
      </c>
      <c r="B16" s="103" t="s">
        <v>188</v>
      </c>
      <c r="C16" s="10">
        <f ca="1">IFERROR(__xludf.DUMMYFUNCTION("GOOGLEFINANCE(""bom:""&amp;A16,""price"")"),1983.6)</f>
        <v>1983.6</v>
      </c>
      <c r="D16" s="11">
        <f ca="1">IFERROR(__xludf.DUMMYFUNCTION("GOOGLEFINANCE(""bom:""&amp;A16,""marketcap"")/10000000"),2906.707)</f>
        <v>2906.7069999999999</v>
      </c>
      <c r="O16" s="104">
        <f t="shared" ca="1" si="0"/>
        <v>4.4009231079375965E-3</v>
      </c>
    </row>
    <row r="17" spans="1:42" ht="15.75" customHeight="1" x14ac:dyDescent="0.3">
      <c r="A17" s="90">
        <v>522229</v>
      </c>
      <c r="B17" s="103" t="s">
        <v>189</v>
      </c>
      <c r="C17" s="10">
        <f ca="1">IFERROR(__xludf.DUMMYFUNCTION("GOOGLEFINANCE(""bom:""&amp;A17,""price"")"),503.95)</f>
        <v>503.95</v>
      </c>
      <c r="D17" s="11">
        <f ca="1">IFERROR(__xludf.DUMMYFUNCTION("GOOGLEFINANCE(""bom:""&amp;A17,""marketcap"")/10000000"),1285.0997444)</f>
        <v>1285.0997444</v>
      </c>
      <c r="O17" s="104">
        <f t="shared" ca="1" si="0"/>
        <v>1.9457156022724886E-3</v>
      </c>
    </row>
    <row r="18" spans="1:42" ht="15.75" customHeight="1" x14ac:dyDescent="0.3">
      <c r="A18" s="90">
        <v>543920</v>
      </c>
      <c r="B18" s="103" t="s">
        <v>21</v>
      </c>
      <c r="C18" s="10">
        <f ca="1">IFERROR(__xludf.DUMMYFUNCTION("GOOGLEFINANCE(""bom:""&amp;A18,""price"")"),720)</f>
        <v>720</v>
      </c>
      <c r="D18" s="11">
        <f ca="1">IFERROR(__xludf.DUMMYFUNCTION("GOOGLEFINANCE(""bom:""&amp;A18,""marketcap"")/10000000"),1402.1352)</f>
        <v>1402.1351999999999</v>
      </c>
      <c r="O18" s="104">
        <f t="shared" ca="1" si="0"/>
        <v>2.1229140749764951E-3</v>
      </c>
    </row>
    <row r="19" spans="1:42" ht="15.75" customHeight="1" x14ac:dyDescent="0.3">
      <c r="A19" s="90">
        <v>523606</v>
      </c>
      <c r="B19" s="103" t="s">
        <v>190</v>
      </c>
      <c r="C19" s="10">
        <f ca="1">IFERROR(__xludf.DUMMYFUNCTION("GOOGLEFINANCE(""bom:""&amp;A19,""price"")"),2618.5)</f>
        <v>2618.5</v>
      </c>
      <c r="D19" s="11">
        <f ca="1">IFERROR(__xludf.DUMMYFUNCTION("GOOGLEFINANCE(""bom:""&amp;A19,""marketcap"")/10000000"),1110.2895619)</f>
        <v>1110.2895619000001</v>
      </c>
      <c r="O19" s="104">
        <f t="shared" ca="1" si="0"/>
        <v>1.6810428397040433E-3</v>
      </c>
    </row>
    <row r="20" spans="1:42" ht="15.75" customHeight="1" x14ac:dyDescent="0.3"/>
    <row r="21" spans="1:42" ht="15.75" customHeight="1" x14ac:dyDescent="0.3"/>
    <row r="22" spans="1:42" ht="15.75" customHeight="1" x14ac:dyDescent="0.3">
      <c r="A22" s="32"/>
      <c r="B22" s="32" t="s">
        <v>191</v>
      </c>
      <c r="C22" s="32"/>
      <c r="D22" s="109">
        <f t="shared" ref="D22:L22" ca="1" si="19">SUM(D2:D19)</f>
        <v>660476.66107989999</v>
      </c>
      <c r="E22" s="32">
        <f t="shared" si="19"/>
        <v>113649</v>
      </c>
      <c r="F22" s="32">
        <f t="shared" si="19"/>
        <v>69239</v>
      </c>
      <c r="G22" s="32">
        <f t="shared" si="19"/>
        <v>139728</v>
      </c>
      <c r="H22" s="32">
        <f t="shared" si="19"/>
        <v>87962.9</v>
      </c>
      <c r="I22" s="32">
        <f t="shared" si="19"/>
        <v>1747</v>
      </c>
      <c r="J22" s="32">
        <f t="shared" si="19"/>
        <v>51759</v>
      </c>
      <c r="K22" s="32">
        <f t="shared" si="19"/>
        <v>1550.47</v>
      </c>
      <c r="L22" s="32">
        <f t="shared" si="19"/>
        <v>14987</v>
      </c>
      <c r="M22" s="32">
        <f>MEDIAN(M2:M15)</f>
        <v>3.5</v>
      </c>
      <c r="N22" s="32">
        <f t="shared" ref="N22:Q22" ca="1" si="20">SUM(N2:N19)</f>
        <v>288.98000000000008</v>
      </c>
      <c r="O22" s="110">
        <f t="shared" ca="1" si="20"/>
        <v>1</v>
      </c>
      <c r="P22" s="32">
        <f t="shared" si="20"/>
        <v>37171</v>
      </c>
      <c r="Q22" s="32">
        <f t="shared" si="20"/>
        <v>54955</v>
      </c>
      <c r="S22" s="32">
        <f t="shared" ref="S22:Y22" si="21">SUM(S2:S19)</f>
        <v>10038</v>
      </c>
      <c r="T22" s="32">
        <f t="shared" si="21"/>
        <v>35116</v>
      </c>
      <c r="U22" s="32">
        <f t="shared" si="21"/>
        <v>32487</v>
      </c>
      <c r="V22" s="32">
        <f t="shared" si="21"/>
        <v>6621</v>
      </c>
      <c r="W22" s="32">
        <f t="shared" si="21"/>
        <v>5444</v>
      </c>
      <c r="X22" s="109">
        <f t="shared" si="21"/>
        <v>321</v>
      </c>
      <c r="Y22" s="109">
        <f t="shared" si="21"/>
        <v>45253</v>
      </c>
      <c r="Z22" s="106">
        <f>(T22/U22)-1</f>
        <v>8.0924677563332992E-2</v>
      </c>
      <c r="AA22" s="104">
        <f>(V22/W22)-1</f>
        <v>0.21620132255694346</v>
      </c>
      <c r="AB22" s="104">
        <f>(Q22/P22)^(1/5)-1</f>
        <v>8.1335829752430477E-2</v>
      </c>
      <c r="AC22" s="104">
        <f>S22/Q22</f>
        <v>0.18265853880447638</v>
      </c>
      <c r="AD22" s="104">
        <f>V22/T22</f>
        <v>0.18854653149561454</v>
      </c>
      <c r="AE22" s="11">
        <f>(Q22-Y22+X22)/X22</f>
        <v>31.22429906542056</v>
      </c>
      <c r="AF22" s="107">
        <f>E22/F22</f>
        <v>1.6414015222634641</v>
      </c>
      <c r="AG22" s="11">
        <f>(L22/Q22)*365</f>
        <v>99.540624147029391</v>
      </c>
      <c r="AH22" s="107">
        <f>K22/J22</f>
        <v>2.9955563283680132E-2</v>
      </c>
      <c r="AI22" s="107">
        <f>F22/E22</f>
        <v>0.6092354530176245</v>
      </c>
      <c r="AJ22" s="104">
        <f>S22/J22</f>
        <v>0.19393728626905465</v>
      </c>
      <c r="AK22" s="11">
        <f>S22/I22</f>
        <v>5.7458500286204925</v>
      </c>
      <c r="AL22" s="104">
        <f>S22/G22</f>
        <v>7.1839574029543107E-2</v>
      </c>
      <c r="AM22" s="109">
        <f t="shared" ref="AM22:AN22" ca="1" si="22">MEDIAN(AM2:AM15)</f>
        <v>83.634565998972761</v>
      </c>
      <c r="AN22" s="110">
        <f t="shared" ca="1" si="22"/>
        <v>1.1958380358106993E-2</v>
      </c>
      <c r="AO22" s="11">
        <f>(J22+I22)/(I22/M22)</f>
        <v>107.19576416714366</v>
      </c>
      <c r="AP22" s="109">
        <f ca="1">MEDIAN(AP2:AP15)</f>
        <v>8.6092194617500049</v>
      </c>
    </row>
    <row r="23" spans="1:42" ht="15.75" customHeight="1" x14ac:dyDescent="0.3"/>
    <row r="24" spans="1:42" ht="15.75" customHeight="1" x14ac:dyDescent="0.3">
      <c r="A24" s="31" t="s">
        <v>191</v>
      </c>
    </row>
    <row r="25" spans="1:42" ht="15.75" customHeight="1" x14ac:dyDescent="0.3"/>
    <row r="26" spans="1:42" ht="15.75" customHeight="1" x14ac:dyDescent="0.3">
      <c r="B26" s="92" t="s">
        <v>144</v>
      </c>
      <c r="C26" s="92" t="s">
        <v>146</v>
      </c>
      <c r="F26" s="92" t="s">
        <v>144</v>
      </c>
      <c r="G26" s="92" t="s">
        <v>157</v>
      </c>
      <c r="J26" s="92" t="s">
        <v>144</v>
      </c>
      <c r="K26" s="92" t="s">
        <v>159</v>
      </c>
    </row>
    <row r="27" spans="1:42" ht="15.75" customHeight="1" x14ac:dyDescent="0.3">
      <c r="B27" s="16" t="s">
        <v>175</v>
      </c>
      <c r="C27" s="111">
        <v>310458.68836779997</v>
      </c>
      <c r="F27" s="16" t="s">
        <v>175</v>
      </c>
      <c r="G27" s="112">
        <v>26927</v>
      </c>
      <c r="J27" s="16" t="s">
        <v>175</v>
      </c>
      <c r="K27" s="112">
        <v>5828</v>
      </c>
    </row>
    <row r="28" spans="1:42" ht="15.75" customHeight="1" x14ac:dyDescent="0.3">
      <c r="B28" s="16" t="s">
        <v>23</v>
      </c>
      <c r="C28" s="111">
        <v>212056.72226149999</v>
      </c>
      <c r="F28" s="16" t="s">
        <v>23</v>
      </c>
      <c r="G28" s="112">
        <v>17734</v>
      </c>
      <c r="J28" s="16" t="s">
        <v>23</v>
      </c>
      <c r="K28" s="112">
        <v>2940</v>
      </c>
    </row>
    <row r="29" spans="1:42" ht="15.75" customHeight="1" x14ac:dyDescent="0.3">
      <c r="B29" s="16" t="s">
        <v>176</v>
      </c>
      <c r="C29" s="111">
        <v>45501.382686800003</v>
      </c>
      <c r="F29" s="16" t="s">
        <v>176</v>
      </c>
      <c r="G29" s="112">
        <v>2489</v>
      </c>
      <c r="J29" s="16" t="s">
        <v>176</v>
      </c>
      <c r="K29" s="112">
        <v>352</v>
      </c>
    </row>
    <row r="30" spans="1:42" ht="15.75" customHeight="1" x14ac:dyDescent="0.3">
      <c r="B30" s="16" t="s">
        <v>177</v>
      </c>
      <c r="C30" s="111">
        <v>15020.496467999999</v>
      </c>
      <c r="F30" s="16" t="s">
        <v>177</v>
      </c>
      <c r="G30" s="112">
        <v>453</v>
      </c>
      <c r="J30" s="16" t="s">
        <v>177</v>
      </c>
      <c r="K30" s="112">
        <v>124</v>
      </c>
    </row>
    <row r="31" spans="1:42" ht="15.75" customHeight="1" x14ac:dyDescent="0.3">
      <c r="B31" s="16" t="s">
        <v>178</v>
      </c>
      <c r="C31" s="111">
        <v>20399.671944999998</v>
      </c>
      <c r="F31" s="16" t="s">
        <v>178</v>
      </c>
      <c r="G31" s="112">
        <v>2561</v>
      </c>
      <c r="J31" s="16" t="s">
        <v>178</v>
      </c>
      <c r="K31" s="112">
        <v>228</v>
      </c>
    </row>
    <row r="32" spans="1:42" ht="15.75" customHeight="1" x14ac:dyDescent="0.3">
      <c r="B32" s="16" t="s">
        <v>179</v>
      </c>
      <c r="C32" s="111">
        <v>7471.1149832999999</v>
      </c>
      <c r="F32" s="16" t="s">
        <v>179</v>
      </c>
      <c r="G32" s="112">
        <v>872</v>
      </c>
      <c r="J32" s="16" t="s">
        <v>179</v>
      </c>
      <c r="K32" s="112">
        <v>156</v>
      </c>
    </row>
    <row r="33" spans="2:11" ht="15.75" customHeight="1" x14ac:dyDescent="0.3">
      <c r="B33" s="16" t="s">
        <v>180</v>
      </c>
      <c r="C33" s="111">
        <v>14978.8238222</v>
      </c>
      <c r="F33" s="16" t="s">
        <v>180</v>
      </c>
      <c r="G33" s="112">
        <v>219</v>
      </c>
      <c r="J33" s="16" t="s">
        <v>180</v>
      </c>
      <c r="K33" s="112">
        <v>50</v>
      </c>
    </row>
    <row r="34" spans="2:11" ht="15.75" customHeight="1" x14ac:dyDescent="0.3">
      <c r="B34" s="16" t="s">
        <v>181</v>
      </c>
      <c r="C34" s="111">
        <v>5451.8327878999999</v>
      </c>
      <c r="F34" s="16" t="s">
        <v>181</v>
      </c>
      <c r="G34" s="112">
        <v>574</v>
      </c>
      <c r="J34" s="16" t="s">
        <v>181</v>
      </c>
      <c r="K34" s="112">
        <v>103</v>
      </c>
    </row>
    <row r="35" spans="2:11" ht="15.75" customHeight="1" x14ac:dyDescent="0.3">
      <c r="B35" s="16" t="s">
        <v>182</v>
      </c>
      <c r="C35" s="111">
        <v>8733.0409841000001</v>
      </c>
      <c r="F35" s="16" t="s">
        <v>182</v>
      </c>
      <c r="G35" s="112">
        <v>815</v>
      </c>
      <c r="J35" s="16" t="s">
        <v>182</v>
      </c>
      <c r="K35" s="112">
        <v>70</v>
      </c>
    </row>
    <row r="36" spans="2:11" ht="15.75" customHeight="1" x14ac:dyDescent="0.3">
      <c r="B36" s="16" t="s">
        <v>183</v>
      </c>
      <c r="C36" s="111">
        <v>3285.3197676999998</v>
      </c>
      <c r="F36" s="16" t="s">
        <v>183</v>
      </c>
      <c r="G36" s="112">
        <v>297</v>
      </c>
      <c r="J36" s="16" t="s">
        <v>183</v>
      </c>
      <c r="K36" s="112">
        <v>19</v>
      </c>
    </row>
    <row r="37" spans="2:11" ht="15.75" customHeight="1" x14ac:dyDescent="0.3">
      <c r="B37" s="16" t="s">
        <v>184</v>
      </c>
      <c r="C37" s="111">
        <v>3736.9894155000002</v>
      </c>
      <c r="F37" s="16" t="s">
        <v>184</v>
      </c>
      <c r="G37" s="112">
        <v>1252</v>
      </c>
      <c r="J37" s="16" t="s">
        <v>184</v>
      </c>
      <c r="K37" s="112">
        <v>72</v>
      </c>
    </row>
    <row r="38" spans="2:11" ht="15.75" customHeight="1" x14ac:dyDescent="0.3">
      <c r="B38" s="16" t="s">
        <v>185</v>
      </c>
      <c r="C38" s="111">
        <v>2993.2745107999999</v>
      </c>
      <c r="F38" s="16" t="s">
        <v>185</v>
      </c>
      <c r="G38" s="112">
        <v>186</v>
      </c>
      <c r="J38" s="16" t="s">
        <v>185</v>
      </c>
      <c r="K38" s="112">
        <v>32</v>
      </c>
    </row>
    <row r="39" spans="2:11" ht="15.75" customHeight="1" x14ac:dyDescent="0.3">
      <c r="B39" s="16" t="s">
        <v>186</v>
      </c>
      <c r="C39" s="111">
        <v>4519.8756372999997</v>
      </c>
      <c r="F39" s="16" t="s">
        <v>186</v>
      </c>
      <c r="G39" s="112">
        <v>222</v>
      </c>
      <c r="J39" s="16" t="s">
        <v>186</v>
      </c>
      <c r="K39" s="112">
        <v>36</v>
      </c>
    </row>
    <row r="40" spans="2:11" ht="15.75" customHeight="1" x14ac:dyDescent="0.3">
      <c r="B40" s="16" t="s">
        <v>187</v>
      </c>
      <c r="C40" s="111">
        <v>2122.6887078999998</v>
      </c>
      <c r="F40" s="113" t="s">
        <v>187</v>
      </c>
      <c r="G40" s="114">
        <v>354</v>
      </c>
      <c r="J40" s="113" t="s">
        <v>187</v>
      </c>
      <c r="K40" s="114">
        <v>28</v>
      </c>
    </row>
    <row r="41" spans="2:11" ht="15.75" customHeight="1" x14ac:dyDescent="0.3">
      <c r="B41" s="16" t="s">
        <v>188</v>
      </c>
      <c r="C41" s="111">
        <v>2951.241</v>
      </c>
    </row>
    <row r="42" spans="2:11" ht="15.75" customHeight="1" x14ac:dyDescent="0.3">
      <c r="B42" s="16" t="s">
        <v>189</v>
      </c>
      <c r="C42" s="111">
        <v>1314.0422797000001</v>
      </c>
    </row>
    <row r="43" spans="2:11" ht="15.75" customHeight="1" x14ac:dyDescent="0.3">
      <c r="B43" s="16" t="s">
        <v>21</v>
      </c>
      <c r="C43" s="111">
        <v>1471.4621927999999</v>
      </c>
    </row>
    <row r="44" spans="2:11" ht="15.75" customHeight="1" x14ac:dyDescent="0.3">
      <c r="B44" s="113" t="s">
        <v>190</v>
      </c>
      <c r="C44" s="115">
        <v>1113.8939725</v>
      </c>
    </row>
    <row r="45" spans="2:11" ht="15.75" customHeight="1" x14ac:dyDescent="0.3"/>
    <row r="46" spans="2:11" ht="15.75" customHeight="1" x14ac:dyDescent="0.3">
      <c r="B46" s="116" t="s">
        <v>191</v>
      </c>
      <c r="C46" s="117">
        <f>SUM(C27:C44)</f>
        <v>663580.56179079984</v>
      </c>
      <c r="F46" s="116" t="s">
        <v>191</v>
      </c>
      <c r="G46" s="116">
        <f>SUM(G27:G44)</f>
        <v>54955</v>
      </c>
      <c r="J46" s="116" t="s">
        <v>191</v>
      </c>
      <c r="K46" s="116">
        <f>SUM(K27:K44)</f>
        <v>10038</v>
      </c>
    </row>
    <row r="47" spans="2:11" ht="15.75" customHeight="1" x14ac:dyDescent="0.3"/>
    <row r="48" spans="2:11" ht="15.75" customHeight="1" x14ac:dyDescent="0.3"/>
    <row r="49" spans="1:1" ht="15.75" customHeight="1" x14ac:dyDescent="0.3"/>
    <row r="50" spans="1:1" ht="15.75" customHeight="1" x14ac:dyDescent="0.3"/>
    <row r="51" spans="1:1" ht="15.75" customHeight="1" x14ac:dyDescent="0.3"/>
    <row r="52" spans="1:1" ht="15.75" customHeight="1" x14ac:dyDescent="0.3"/>
    <row r="53" spans="1:1" ht="15.75" customHeight="1" x14ac:dyDescent="0.3"/>
    <row r="54" spans="1:1" ht="15.75" customHeight="1" x14ac:dyDescent="0.3"/>
    <row r="55" spans="1:1" ht="15.75" customHeight="1" x14ac:dyDescent="0.3"/>
    <row r="56" spans="1:1" ht="15.75" customHeight="1" x14ac:dyDescent="0.3"/>
    <row r="57" spans="1:1" ht="15.75" customHeight="1" x14ac:dyDescent="0.3"/>
    <row r="58" spans="1:1" ht="15.75" customHeight="1" x14ac:dyDescent="0.3"/>
    <row r="59" spans="1:1" ht="15.75" customHeight="1" x14ac:dyDescent="0.3"/>
    <row r="60" spans="1:1" ht="15.75" customHeight="1" x14ac:dyDescent="0.3"/>
    <row r="61" spans="1:1" ht="15.75" customHeight="1" x14ac:dyDescent="0.3"/>
    <row r="62" spans="1:1" ht="15.75" customHeight="1" x14ac:dyDescent="0.3"/>
    <row r="63" spans="1:1" ht="15.75" customHeight="1" x14ac:dyDescent="0.3"/>
    <row r="64" spans="1:1" ht="15.75" customHeight="1" x14ac:dyDescent="0.3">
      <c r="A64" s="31" t="s">
        <v>25</v>
      </c>
    </row>
    <row r="65" spans="2:7" ht="15.75" customHeight="1" x14ac:dyDescent="0.3"/>
    <row r="66" spans="2:7" ht="15.75" customHeight="1" x14ac:dyDescent="0.3">
      <c r="B66" s="31" t="s">
        <v>144</v>
      </c>
      <c r="C66" s="31" t="s">
        <v>168</v>
      </c>
      <c r="F66" s="118" t="s">
        <v>144</v>
      </c>
      <c r="G66" s="118" t="s">
        <v>166</v>
      </c>
    </row>
    <row r="67" spans="2:7" ht="15.75" customHeight="1" x14ac:dyDescent="0.3">
      <c r="B67" s="119" t="s">
        <v>175</v>
      </c>
      <c r="C67" s="40">
        <v>7.6522227808349497E-2</v>
      </c>
      <c r="F67" s="120" t="s">
        <v>175</v>
      </c>
      <c r="G67" s="40">
        <v>8.1762749445676297E-2</v>
      </c>
    </row>
    <row r="68" spans="2:7" ht="15.75" customHeight="1" x14ac:dyDescent="0.3">
      <c r="B68" s="119" t="s">
        <v>23</v>
      </c>
      <c r="C68" s="40">
        <v>0.11083013737953062</v>
      </c>
      <c r="F68" s="120" t="s">
        <v>23</v>
      </c>
      <c r="G68" s="40">
        <v>4.3218806509945695E-2</v>
      </c>
    </row>
    <row r="69" spans="2:7" ht="15.75" customHeight="1" x14ac:dyDescent="0.3">
      <c r="B69" s="119" t="s">
        <v>176</v>
      </c>
      <c r="C69" s="40">
        <v>-0.11396655562474201</v>
      </c>
      <c r="F69" s="120" t="s">
        <v>176</v>
      </c>
      <c r="G69" s="40">
        <v>-0.10167464114832536</v>
      </c>
    </row>
    <row r="70" spans="2:7" ht="15.75" customHeight="1" x14ac:dyDescent="0.3">
      <c r="B70" s="119" t="s">
        <v>177</v>
      </c>
      <c r="C70" s="40">
        <v>0.51371693346807001</v>
      </c>
      <c r="F70" s="120" t="s">
        <v>177</v>
      </c>
      <c r="G70" s="40">
        <v>0.25746268656716409</v>
      </c>
    </row>
    <row r="71" spans="2:7" ht="15.75" customHeight="1" x14ac:dyDescent="0.3">
      <c r="B71" s="119" t="s">
        <v>178</v>
      </c>
      <c r="C71" s="40">
        <v>0.13797157087261258</v>
      </c>
      <c r="F71" s="120" t="s">
        <v>178</v>
      </c>
      <c r="G71" s="40">
        <v>0.31479591836734699</v>
      </c>
    </row>
    <row r="72" spans="2:7" ht="15.75" customHeight="1" x14ac:dyDescent="0.3">
      <c r="B72" s="119" t="s">
        <v>179</v>
      </c>
      <c r="C72" s="40">
        <v>5.5379006914187956E-2</v>
      </c>
      <c r="F72" s="120" t="s">
        <v>179</v>
      </c>
      <c r="G72" s="40">
        <v>0.29013539651837528</v>
      </c>
    </row>
    <row r="73" spans="2:7" ht="15.75" customHeight="1" x14ac:dyDescent="0.3">
      <c r="B73" s="119" t="s">
        <v>180</v>
      </c>
      <c r="C73" s="40">
        <v>0.41213397362029625</v>
      </c>
      <c r="F73" s="120" t="s">
        <v>180</v>
      </c>
      <c r="G73" s="40">
        <v>1.4227642276422765</v>
      </c>
    </row>
    <row r="74" spans="2:7" ht="15.75" customHeight="1" x14ac:dyDescent="0.3">
      <c r="B74" s="119" t="s">
        <v>181</v>
      </c>
      <c r="C74" s="40">
        <v>0.29271549247162909</v>
      </c>
      <c r="F74" s="120" t="s">
        <v>181</v>
      </c>
      <c r="G74" s="40">
        <v>0.15915119363395225</v>
      </c>
    </row>
    <row r="75" spans="2:7" ht="15.75" customHeight="1" x14ac:dyDescent="0.3">
      <c r="B75" s="119" t="s">
        <v>182</v>
      </c>
      <c r="C75" s="40">
        <v>0.17364108625028796</v>
      </c>
      <c r="F75" s="120" t="s">
        <v>182</v>
      </c>
      <c r="G75" s="40">
        <v>-5.3859964093356805E-3</v>
      </c>
    </row>
    <row r="76" spans="2:7" ht="15.75" customHeight="1" x14ac:dyDescent="0.3">
      <c r="B76" s="119" t="s">
        <v>183</v>
      </c>
      <c r="C76" s="40">
        <v>6.1858758794934632E-2</v>
      </c>
      <c r="F76" s="120" t="s">
        <v>183</v>
      </c>
      <c r="G76" s="40">
        <v>0.23560209424083767</v>
      </c>
    </row>
    <row r="77" spans="2:7" ht="15.75" customHeight="1" x14ac:dyDescent="0.3">
      <c r="B77" s="119" t="s">
        <v>184</v>
      </c>
      <c r="C77" s="40">
        <v>0.33075042894076834</v>
      </c>
      <c r="F77" s="120" t="s">
        <v>184</v>
      </c>
      <c r="G77" s="40">
        <v>-8.8829071332436116E-2</v>
      </c>
    </row>
    <row r="78" spans="2:7" ht="15.75" customHeight="1" x14ac:dyDescent="0.3">
      <c r="B78" s="119" t="s">
        <v>185</v>
      </c>
      <c r="C78" s="40">
        <v>1.3684359044831225</v>
      </c>
      <c r="F78" s="120" t="s">
        <v>185</v>
      </c>
      <c r="G78" s="40">
        <v>0.44217687074829937</v>
      </c>
    </row>
    <row r="79" spans="2:7" ht="15.75" customHeight="1" x14ac:dyDescent="0.3">
      <c r="B79" s="119" t="s">
        <v>186</v>
      </c>
      <c r="C79" s="40">
        <v>9.1951595988549517E-2</v>
      </c>
      <c r="F79" s="120" t="s">
        <v>186</v>
      </c>
      <c r="G79" s="40">
        <v>0.10828025477707004</v>
      </c>
    </row>
    <row r="80" spans="2:7" ht="15.75" customHeight="1" x14ac:dyDescent="0.3">
      <c r="B80" s="119" t="s">
        <v>187</v>
      </c>
      <c r="C80" s="40">
        <v>0.12322720670278753</v>
      </c>
      <c r="F80" s="120" t="s">
        <v>187</v>
      </c>
      <c r="G80" s="40">
        <v>4.2402826855123754E-2</v>
      </c>
    </row>
    <row r="81" spans="2:7" ht="15.75" customHeight="1" x14ac:dyDescent="0.3">
      <c r="F81" s="121"/>
      <c r="G81" s="121"/>
    </row>
    <row r="82" spans="2:7" ht="15.75" customHeight="1" x14ac:dyDescent="0.3">
      <c r="B82" s="116" t="s">
        <v>191</v>
      </c>
      <c r="C82" s="122">
        <v>8.1299999999999997E-2</v>
      </c>
      <c r="F82" s="122" t="s">
        <v>191</v>
      </c>
      <c r="G82" s="122">
        <v>8.09E-2</v>
      </c>
    </row>
    <row r="83" spans="2:7" ht="15.75" customHeight="1" x14ac:dyDescent="0.3"/>
    <row r="84" spans="2:7" ht="15.75" customHeight="1" x14ac:dyDescent="0.3"/>
    <row r="85" spans="2:7" ht="15.75" customHeight="1" x14ac:dyDescent="0.3"/>
    <row r="86" spans="2:7" ht="15.75" customHeight="1" x14ac:dyDescent="0.3"/>
    <row r="87" spans="2:7" ht="15.75" customHeight="1" x14ac:dyDescent="0.3"/>
    <row r="88" spans="2:7" ht="15.75" customHeight="1" x14ac:dyDescent="0.3"/>
    <row r="89" spans="2:7" ht="15.75" customHeight="1" x14ac:dyDescent="0.3"/>
    <row r="90" spans="2:7" ht="15.75" customHeight="1" x14ac:dyDescent="0.3"/>
    <row r="91" spans="2:7" ht="15.75" customHeight="1" x14ac:dyDescent="0.3"/>
    <row r="92" spans="2:7" ht="15.75" customHeight="1" x14ac:dyDescent="0.3"/>
    <row r="93" spans="2:7" ht="15.75" customHeight="1" x14ac:dyDescent="0.3"/>
    <row r="94" spans="2:7" ht="15.75" customHeight="1" x14ac:dyDescent="0.3"/>
    <row r="95" spans="2:7" ht="15.75" customHeight="1" x14ac:dyDescent="0.3"/>
    <row r="96" spans="2:7" ht="15.75" customHeight="1" x14ac:dyDescent="0.3"/>
    <row r="97" spans="1:12" ht="15.75" customHeight="1" x14ac:dyDescent="0.3"/>
    <row r="98" spans="1:12" ht="15.75" customHeight="1" x14ac:dyDescent="0.3"/>
    <row r="99" spans="1:12" ht="15.75" customHeight="1" x14ac:dyDescent="0.3">
      <c r="A99" s="31" t="s">
        <v>192</v>
      </c>
    </row>
    <row r="100" spans="1:12" ht="15.75" customHeight="1" x14ac:dyDescent="0.3"/>
    <row r="101" spans="1:12" ht="15.75" customHeight="1" x14ac:dyDescent="0.3">
      <c r="B101" s="31" t="s">
        <v>144</v>
      </c>
      <c r="C101" s="31" t="s">
        <v>169</v>
      </c>
      <c r="D101" s="31" t="s">
        <v>170</v>
      </c>
      <c r="G101" s="31" t="s">
        <v>144</v>
      </c>
      <c r="H101" s="31" t="s">
        <v>171</v>
      </c>
      <c r="K101" s="31" t="s">
        <v>144</v>
      </c>
      <c r="L101" s="31" t="s">
        <v>172</v>
      </c>
    </row>
    <row r="102" spans="1:12" ht="15.75" customHeight="1" x14ac:dyDescent="0.3">
      <c r="B102" s="119" t="s">
        <v>175</v>
      </c>
      <c r="C102" s="40">
        <v>0.21643703346083856</v>
      </c>
      <c r="D102" s="40">
        <v>0.21214450422751729</v>
      </c>
      <c r="G102" s="119" t="s">
        <v>175</v>
      </c>
      <c r="H102" s="123">
        <v>1.6349895153774465</v>
      </c>
      <c r="K102" s="119" t="s">
        <v>175</v>
      </c>
      <c r="L102" s="124">
        <v>68.819586288855049</v>
      </c>
    </row>
    <row r="103" spans="1:12" ht="15.75" customHeight="1" x14ac:dyDescent="0.3">
      <c r="B103" s="119" t="s">
        <v>23</v>
      </c>
      <c r="C103" s="40">
        <v>0.16578324123153265</v>
      </c>
      <c r="D103" s="40">
        <v>0.18963425203674814</v>
      </c>
      <c r="G103" s="119" t="s">
        <v>23</v>
      </c>
      <c r="H103" s="123">
        <v>1.5089890951959917</v>
      </c>
      <c r="K103" s="119" t="s">
        <v>23</v>
      </c>
      <c r="L103" s="124">
        <v>150.96847862862299</v>
      </c>
    </row>
    <row r="104" spans="1:12" ht="15.75" customHeight="1" x14ac:dyDescent="0.3">
      <c r="B104" s="119" t="s">
        <v>176</v>
      </c>
      <c r="C104" s="40">
        <v>0.14142225793491361</v>
      </c>
      <c r="D104" s="40">
        <v>0.21504660452729693</v>
      </c>
      <c r="G104" s="119" t="s">
        <v>176</v>
      </c>
      <c r="H104" s="123">
        <v>4.4096514745308308</v>
      </c>
      <c r="K104" s="119" t="s">
        <v>176</v>
      </c>
      <c r="L104" s="124">
        <v>81.828043390920044</v>
      </c>
    </row>
    <row r="105" spans="1:12" ht="15.75" customHeight="1" x14ac:dyDescent="0.3">
      <c r="B105" s="119" t="s">
        <v>177</v>
      </c>
      <c r="C105" s="40">
        <v>0.27373068432671083</v>
      </c>
      <c r="D105" s="40">
        <v>0.32640949554896143</v>
      </c>
      <c r="G105" s="119" t="s">
        <v>177</v>
      </c>
      <c r="H105" s="123">
        <v>5.1040000000000001</v>
      </c>
      <c r="K105" s="119" t="s">
        <v>177</v>
      </c>
      <c r="L105" s="124">
        <v>277.98013245033115</v>
      </c>
    </row>
    <row r="106" spans="1:12" ht="15.75" customHeight="1" x14ac:dyDescent="0.3">
      <c r="B106" s="119" t="s">
        <v>178</v>
      </c>
      <c r="C106" s="40">
        <v>8.9027723545490045E-2</v>
      </c>
      <c r="D106" s="40">
        <v>9.5071788901823828E-2</v>
      </c>
      <c r="G106" s="119" t="s">
        <v>178</v>
      </c>
      <c r="H106" s="123">
        <v>1.0929967329587806</v>
      </c>
      <c r="K106" s="119" t="s">
        <v>178</v>
      </c>
      <c r="L106" s="124">
        <v>16.675126903553299</v>
      </c>
    </row>
    <row r="107" spans="1:12" ht="15.75" customHeight="1" x14ac:dyDescent="0.3">
      <c r="B107" s="119" t="s">
        <v>179</v>
      </c>
      <c r="C107" s="40">
        <v>0.17889908256880735</v>
      </c>
      <c r="D107" s="40">
        <v>6.7466266866566718E-2</v>
      </c>
      <c r="G107" s="119" t="s">
        <v>179</v>
      </c>
      <c r="H107" s="123">
        <v>2.0245649948822928</v>
      </c>
      <c r="K107" s="119" t="s">
        <v>179</v>
      </c>
      <c r="L107" s="124">
        <v>136.875</v>
      </c>
    </row>
    <row r="108" spans="1:12" ht="15.75" customHeight="1" x14ac:dyDescent="0.3">
      <c r="B108" s="119" t="s">
        <v>180</v>
      </c>
      <c r="C108" s="40">
        <v>0.22831050228310501</v>
      </c>
      <c r="D108" s="40">
        <v>0.44966442953020136</v>
      </c>
      <c r="G108" s="119" t="s">
        <v>180</v>
      </c>
      <c r="H108" s="123">
        <v>1.9469387755102041</v>
      </c>
      <c r="K108" s="119" t="s">
        <v>180</v>
      </c>
      <c r="L108" s="124">
        <v>215</v>
      </c>
    </row>
    <row r="109" spans="1:12" ht="15.75" customHeight="1" x14ac:dyDescent="0.3">
      <c r="B109" s="119" t="s">
        <v>181</v>
      </c>
      <c r="C109" s="40">
        <v>0.17944250871080139</v>
      </c>
      <c r="D109" s="40">
        <v>0.11670480549199085</v>
      </c>
      <c r="G109" s="119" t="s">
        <v>181</v>
      </c>
      <c r="H109" s="123">
        <v>2.2828282828282829</v>
      </c>
      <c r="K109" s="119" t="s">
        <v>181</v>
      </c>
      <c r="L109" s="124">
        <v>118.27526132404181</v>
      </c>
    </row>
    <row r="110" spans="1:12" ht="15.75" customHeight="1" x14ac:dyDescent="0.3">
      <c r="B110" s="119" t="s">
        <v>182</v>
      </c>
      <c r="C110" s="40">
        <v>8.5889570552147243E-2</v>
      </c>
      <c r="D110" s="40">
        <v>0.11913357400722022</v>
      </c>
      <c r="G110" s="119" t="s">
        <v>182</v>
      </c>
      <c r="H110" s="123">
        <v>3.75390625</v>
      </c>
      <c r="K110" s="119" t="s">
        <v>182</v>
      </c>
      <c r="L110" s="124">
        <v>126.74233128834355</v>
      </c>
    </row>
    <row r="111" spans="1:12" ht="15.75" customHeight="1" x14ac:dyDescent="0.3">
      <c r="B111" s="119" t="s">
        <v>183</v>
      </c>
      <c r="C111" s="40">
        <v>6.3973063973063973E-2</v>
      </c>
      <c r="D111" s="40">
        <v>7.6271186440677971E-2</v>
      </c>
      <c r="G111" s="119" t="s">
        <v>183</v>
      </c>
      <c r="H111" s="123">
        <v>1.9647435897435896</v>
      </c>
      <c r="K111" s="119" t="s">
        <v>183</v>
      </c>
      <c r="L111" s="124">
        <v>180.65656565656568</v>
      </c>
    </row>
    <row r="112" spans="1:12" ht="15.75" customHeight="1" x14ac:dyDescent="0.3">
      <c r="B112" s="119" t="s">
        <v>184</v>
      </c>
      <c r="C112" s="40">
        <v>5.7507987220447282E-2</v>
      </c>
      <c r="D112" s="40">
        <v>6.2038404726735601E-2</v>
      </c>
      <c r="G112" s="119" t="s">
        <v>184</v>
      </c>
      <c r="H112" s="123">
        <v>2.110891089108911</v>
      </c>
      <c r="K112" s="119" t="s">
        <v>184</v>
      </c>
      <c r="L112" s="124">
        <v>62.096645367412137</v>
      </c>
    </row>
    <row r="113" spans="2:12" ht="15.75" customHeight="1" x14ac:dyDescent="0.3">
      <c r="B113" s="119" t="s">
        <v>185</v>
      </c>
      <c r="C113" s="40">
        <v>0.17204301075268819</v>
      </c>
      <c r="D113" s="40">
        <v>0.1650943396226415</v>
      </c>
      <c r="G113" s="119" t="s">
        <v>185</v>
      </c>
      <c r="H113" s="123">
        <v>9.296875</v>
      </c>
      <c r="K113" s="119" t="s">
        <v>185</v>
      </c>
      <c r="L113" s="124">
        <v>51.021505376344081</v>
      </c>
    </row>
    <row r="114" spans="2:12" ht="15.75" customHeight="1" x14ac:dyDescent="0.3">
      <c r="B114" s="119" t="s">
        <v>186</v>
      </c>
      <c r="C114" s="40">
        <v>0.16216216216216217</v>
      </c>
      <c r="D114" s="40">
        <v>0.11494252873563218</v>
      </c>
      <c r="G114" s="119" t="s">
        <v>186</v>
      </c>
      <c r="H114" s="123">
        <v>2.9327731092436973</v>
      </c>
      <c r="K114" s="119" t="s">
        <v>186</v>
      </c>
      <c r="L114" s="124">
        <v>287.72522522522524</v>
      </c>
    </row>
    <row r="115" spans="2:12" ht="15.75" customHeight="1" x14ac:dyDescent="0.3">
      <c r="B115" s="119" t="s">
        <v>187</v>
      </c>
      <c r="C115" s="40">
        <v>7.909604519774012E-2</v>
      </c>
      <c r="D115" s="40">
        <v>0.10847457627118644</v>
      </c>
      <c r="G115" s="119" t="s">
        <v>187</v>
      </c>
      <c r="H115" s="123">
        <v>1.1704545454545454</v>
      </c>
      <c r="K115" s="119" t="s">
        <v>187</v>
      </c>
      <c r="L115" s="124">
        <v>71.144067796610173</v>
      </c>
    </row>
    <row r="116" spans="2:12" ht="15.75" customHeight="1" x14ac:dyDescent="0.3"/>
    <row r="117" spans="2:12" ht="15.75" customHeight="1" x14ac:dyDescent="0.3">
      <c r="B117" s="116" t="s">
        <v>191</v>
      </c>
      <c r="C117" s="122">
        <v>0.183</v>
      </c>
      <c r="D117" s="122">
        <v>0.189</v>
      </c>
      <c r="G117" s="116" t="s">
        <v>191</v>
      </c>
      <c r="H117" s="116">
        <v>1.7</v>
      </c>
      <c r="K117" s="116" t="s">
        <v>191</v>
      </c>
      <c r="L117" s="116">
        <v>100</v>
      </c>
    </row>
    <row r="118" spans="2:12" ht="15.75" customHeight="1" x14ac:dyDescent="0.3"/>
    <row r="119" spans="2:12" ht="15.75" customHeight="1" x14ac:dyDescent="0.3"/>
    <row r="120" spans="2:12" ht="15.75" customHeight="1" x14ac:dyDescent="0.3"/>
    <row r="121" spans="2:12" ht="15.75" customHeight="1" x14ac:dyDescent="0.3"/>
    <row r="122" spans="2:12" ht="15.75" customHeight="1" x14ac:dyDescent="0.3"/>
    <row r="123" spans="2:12" ht="15.75" customHeight="1" x14ac:dyDescent="0.3"/>
    <row r="124" spans="2:12" ht="15.75" customHeight="1" x14ac:dyDescent="0.3"/>
    <row r="125" spans="2:12" ht="15.75" customHeight="1" x14ac:dyDescent="0.3"/>
    <row r="126" spans="2:12" ht="15.75" customHeight="1" x14ac:dyDescent="0.3"/>
    <row r="127" spans="2:12" ht="15.75" customHeight="1" x14ac:dyDescent="0.3"/>
    <row r="128" spans="2:12" ht="15.75" customHeight="1" x14ac:dyDescent="0.3"/>
    <row r="129" spans="1:11" ht="15.75" customHeight="1" x14ac:dyDescent="0.3"/>
    <row r="130" spans="1:11" ht="15.75" customHeight="1" x14ac:dyDescent="0.3"/>
    <row r="131" spans="1:11" ht="15.75" customHeight="1" x14ac:dyDescent="0.3"/>
    <row r="132" spans="1:11" ht="15.75" customHeight="1" x14ac:dyDescent="0.3"/>
    <row r="133" spans="1:11" ht="15.75" customHeight="1" x14ac:dyDescent="0.3"/>
    <row r="134" spans="1:11" ht="15.75" customHeight="1" x14ac:dyDescent="0.3">
      <c r="A134" s="31" t="s">
        <v>27</v>
      </c>
    </row>
    <row r="135" spans="1:11" ht="15.75" customHeight="1" x14ac:dyDescent="0.3"/>
    <row r="136" spans="1:11" ht="15.75" customHeight="1" x14ac:dyDescent="0.3">
      <c r="B136" s="31" t="s">
        <v>144</v>
      </c>
      <c r="C136" s="31" t="s">
        <v>34</v>
      </c>
      <c r="F136" s="31" t="s">
        <v>144</v>
      </c>
      <c r="G136" s="31" t="s">
        <v>36</v>
      </c>
      <c r="J136" s="31" t="s">
        <v>144</v>
      </c>
      <c r="K136" s="31" t="s">
        <v>35</v>
      </c>
    </row>
    <row r="137" spans="1:11" ht="15.75" customHeight="1" x14ac:dyDescent="0.3">
      <c r="B137" s="119" t="s">
        <v>175</v>
      </c>
      <c r="C137" s="125">
        <v>0</v>
      </c>
      <c r="F137" s="119" t="s">
        <v>175</v>
      </c>
      <c r="G137" s="124">
        <v>84.379310344827587</v>
      </c>
      <c r="J137" s="119" t="s">
        <v>175</v>
      </c>
      <c r="K137" s="125">
        <v>0.61162471721975809</v>
      </c>
    </row>
    <row r="138" spans="1:11" ht="15.75" customHeight="1" x14ac:dyDescent="0.3">
      <c r="B138" s="119" t="s">
        <v>23</v>
      </c>
      <c r="C138" s="125">
        <v>0</v>
      </c>
      <c r="F138" s="119" t="s">
        <v>23</v>
      </c>
      <c r="G138" s="124">
        <v>243.8</v>
      </c>
      <c r="J138" s="119" t="s">
        <v>23</v>
      </c>
      <c r="K138" s="125">
        <v>0.66269531250000002</v>
      </c>
    </row>
    <row r="139" spans="1:11" ht="15.75" customHeight="1" x14ac:dyDescent="0.3">
      <c r="B139" s="119" t="s">
        <v>176</v>
      </c>
      <c r="C139" s="125">
        <v>0</v>
      </c>
      <c r="F139" s="119" t="s">
        <v>176</v>
      </c>
      <c r="G139" s="124">
        <v>73.444444444444443</v>
      </c>
      <c r="J139" s="119" t="s">
        <v>176</v>
      </c>
      <c r="K139" s="125">
        <v>0.22677529182879377</v>
      </c>
    </row>
    <row r="140" spans="1:11" ht="15.75" customHeight="1" x14ac:dyDescent="0.3">
      <c r="B140" s="119" t="s">
        <v>177</v>
      </c>
      <c r="C140" s="125">
        <v>0</v>
      </c>
      <c r="F140" s="119" t="s">
        <v>177</v>
      </c>
      <c r="G140" s="124">
        <v>20.375</v>
      </c>
      <c r="J140" s="119" t="s">
        <v>177</v>
      </c>
      <c r="K140" s="125">
        <v>0.19592476489028213</v>
      </c>
    </row>
    <row r="141" spans="1:11" ht="15.75" customHeight="1" x14ac:dyDescent="0.3">
      <c r="B141" s="119" t="s">
        <v>178</v>
      </c>
      <c r="C141" s="125">
        <v>0</v>
      </c>
      <c r="F141" s="119" t="s">
        <v>178</v>
      </c>
      <c r="G141" s="124">
        <v>16.89506172839506</v>
      </c>
      <c r="J141" s="119" t="s">
        <v>178</v>
      </c>
      <c r="K141" s="125">
        <v>0.9149158179942265</v>
      </c>
    </row>
    <row r="142" spans="1:11" ht="15.75" customHeight="1" x14ac:dyDescent="0.3">
      <c r="B142" s="119" t="s">
        <v>179</v>
      </c>
      <c r="C142" s="125">
        <v>0.29742033383915023</v>
      </c>
      <c r="F142" s="119" t="s">
        <v>179</v>
      </c>
      <c r="G142" s="124">
        <v>7.884615384615385</v>
      </c>
      <c r="J142" s="119" t="s">
        <v>179</v>
      </c>
      <c r="K142" s="125">
        <v>0.49393326592517695</v>
      </c>
    </row>
    <row r="143" spans="1:11" ht="15.75" customHeight="1" x14ac:dyDescent="0.3">
      <c r="B143" s="119" t="s">
        <v>180</v>
      </c>
      <c r="C143" s="125">
        <v>1.1959287531806615E-3</v>
      </c>
      <c r="F143" s="119" t="s">
        <v>180</v>
      </c>
      <c r="G143" s="124">
        <v>16.75</v>
      </c>
      <c r="J143" s="119" t="s">
        <v>180</v>
      </c>
      <c r="K143" s="125">
        <v>0.51362683438155132</v>
      </c>
    </row>
    <row r="144" spans="1:11" ht="15.75" customHeight="1" x14ac:dyDescent="0.3">
      <c r="B144" s="119" t="s">
        <v>181</v>
      </c>
      <c r="C144" s="125">
        <v>0.37670196671709533</v>
      </c>
      <c r="F144" s="119" t="s">
        <v>181</v>
      </c>
      <c r="G144" s="124">
        <v>9.3064460767488164</v>
      </c>
      <c r="J144" s="119" t="s">
        <v>181</v>
      </c>
      <c r="K144" s="125">
        <v>0.43805309734513276</v>
      </c>
    </row>
    <row r="145" spans="2:11" ht="15.75" customHeight="1" x14ac:dyDescent="0.3">
      <c r="B145" s="119" t="s">
        <v>182</v>
      </c>
      <c r="C145" s="125">
        <v>7.8250863060989648E-2</v>
      </c>
      <c r="F145" s="119" t="s">
        <v>182</v>
      </c>
      <c r="G145" s="124">
        <v>4.0999999999999996</v>
      </c>
      <c r="J145" s="119" t="s">
        <v>182</v>
      </c>
      <c r="K145" s="125">
        <v>0.26638917793964623</v>
      </c>
    </row>
    <row r="146" spans="2:11" ht="15.75" customHeight="1" x14ac:dyDescent="0.3">
      <c r="B146" s="119" t="s">
        <v>183</v>
      </c>
      <c r="C146" s="125">
        <v>0.39578454332552693</v>
      </c>
      <c r="F146" s="119" t="s">
        <v>183</v>
      </c>
      <c r="G146" s="124">
        <v>2.347826086956522</v>
      </c>
      <c r="J146" s="119" t="s">
        <v>183</v>
      </c>
      <c r="K146" s="125">
        <v>0.50897226753670477</v>
      </c>
    </row>
    <row r="147" spans="2:11" ht="15.75" customHeight="1" x14ac:dyDescent="0.3">
      <c r="B147" s="119" t="s">
        <v>184</v>
      </c>
      <c r="C147" s="125">
        <v>0.73265651438240276</v>
      </c>
      <c r="F147" s="119" t="s">
        <v>184</v>
      </c>
      <c r="G147" s="124">
        <v>3.1153846153846154</v>
      </c>
      <c r="J147" s="119" t="s">
        <v>184</v>
      </c>
      <c r="K147" s="125">
        <v>0.47373358348968103</v>
      </c>
    </row>
    <row r="148" spans="2:11" ht="15.75" customHeight="1" x14ac:dyDescent="0.3">
      <c r="B148" s="119" t="s">
        <v>185</v>
      </c>
      <c r="C148" s="125">
        <v>0</v>
      </c>
      <c r="F148" s="119" t="s">
        <v>185</v>
      </c>
      <c r="G148" s="124">
        <v>1.3604651162790697</v>
      </c>
      <c r="J148" s="119" t="s">
        <v>185</v>
      </c>
      <c r="K148" s="125">
        <v>0.10756302521008404</v>
      </c>
    </row>
    <row r="149" spans="2:11" ht="15.75" customHeight="1" x14ac:dyDescent="0.3">
      <c r="B149" s="119" t="s">
        <v>186</v>
      </c>
      <c r="C149" s="125">
        <v>9.3457943925233641E-2</v>
      </c>
      <c r="F149" s="119" t="s">
        <v>186</v>
      </c>
      <c r="G149" s="124">
        <v>6.5714285714285712</v>
      </c>
      <c r="J149" s="119" t="s">
        <v>186</v>
      </c>
      <c r="K149" s="125">
        <v>0.34097421203438394</v>
      </c>
    </row>
    <row r="150" spans="2:11" ht="15.75" customHeight="1" x14ac:dyDescent="0.3">
      <c r="B150" s="119" t="s">
        <v>187</v>
      </c>
      <c r="C150" s="125">
        <v>0.63987138263665599</v>
      </c>
      <c r="F150" s="119" t="s">
        <v>187</v>
      </c>
      <c r="G150" s="124">
        <v>3.3333333333333335</v>
      </c>
      <c r="J150" s="119" t="s">
        <v>187</v>
      </c>
      <c r="K150" s="125">
        <v>0.85436893203883491</v>
      </c>
    </row>
    <row r="151" spans="2:11" ht="15.75" customHeight="1" x14ac:dyDescent="0.3"/>
    <row r="152" spans="2:11" ht="15.75" customHeight="1" x14ac:dyDescent="0.3">
      <c r="B152" s="116" t="s">
        <v>191</v>
      </c>
      <c r="C152" s="116">
        <v>0.03</v>
      </c>
      <c r="F152" s="116" t="s">
        <v>191</v>
      </c>
      <c r="G152" s="116">
        <v>31</v>
      </c>
      <c r="J152" s="116" t="s">
        <v>191</v>
      </c>
      <c r="K152" s="116">
        <v>0.61</v>
      </c>
    </row>
    <row r="153" spans="2:11" ht="15.75" customHeight="1" x14ac:dyDescent="0.3"/>
    <row r="154" spans="2:11" ht="15.75" customHeight="1" x14ac:dyDescent="0.3"/>
    <row r="155" spans="2:11" ht="15.75" customHeight="1" x14ac:dyDescent="0.3"/>
    <row r="156" spans="2:11" ht="15.75" customHeight="1" x14ac:dyDescent="0.3"/>
    <row r="157" spans="2:11" ht="15.75" customHeight="1" x14ac:dyDescent="0.3"/>
    <row r="158" spans="2:11" ht="15.75" customHeight="1" x14ac:dyDescent="0.3"/>
    <row r="159" spans="2:11" ht="15.75" customHeight="1" x14ac:dyDescent="0.3"/>
    <row r="160" spans="2:11" ht="15.75" customHeight="1" x14ac:dyDescent="0.3"/>
    <row r="161" spans="1:13" ht="15.75" customHeight="1" x14ac:dyDescent="0.3"/>
    <row r="162" spans="1:13" ht="15.75" customHeight="1" x14ac:dyDescent="0.3"/>
    <row r="163" spans="1:13" ht="15.75" customHeight="1" x14ac:dyDescent="0.3"/>
    <row r="164" spans="1:13" ht="15.75" customHeight="1" x14ac:dyDescent="0.3"/>
    <row r="165" spans="1:13" ht="15.75" customHeight="1" x14ac:dyDescent="0.3"/>
    <row r="166" spans="1:13" ht="15.75" customHeight="1" x14ac:dyDescent="0.3"/>
    <row r="167" spans="1:13" ht="15.75" customHeight="1" x14ac:dyDescent="0.3"/>
    <row r="168" spans="1:13" ht="15.75" customHeight="1" x14ac:dyDescent="0.3"/>
    <row r="169" spans="1:13" ht="15.75" customHeight="1" x14ac:dyDescent="0.3"/>
    <row r="170" spans="1:13" ht="15.75" customHeight="1" x14ac:dyDescent="0.3">
      <c r="A170" s="31" t="s">
        <v>28</v>
      </c>
      <c r="F170" s="31" t="s">
        <v>29</v>
      </c>
    </row>
    <row r="171" spans="1:13" ht="15.75" customHeight="1" x14ac:dyDescent="0.3">
      <c r="B171" s="31" t="s">
        <v>144</v>
      </c>
      <c r="C171" s="31" t="s">
        <v>37</v>
      </c>
      <c r="D171" s="31" t="s">
        <v>38</v>
      </c>
      <c r="G171" s="31" t="s">
        <v>144</v>
      </c>
      <c r="H171" s="31" t="s">
        <v>39</v>
      </c>
      <c r="I171" s="31" t="s">
        <v>42</v>
      </c>
      <c r="L171" s="31" t="s">
        <v>144</v>
      </c>
      <c r="M171" s="31" t="s">
        <v>174</v>
      </c>
    </row>
    <row r="172" spans="1:13" ht="15.75" customHeight="1" x14ac:dyDescent="0.3">
      <c r="B172" s="119" t="s">
        <v>175</v>
      </c>
      <c r="C172" s="40">
        <v>0.23164672681744108</v>
      </c>
      <c r="D172" s="40">
        <v>8.1107786514508382E-2</v>
      </c>
      <c r="G172" s="15" t="s">
        <v>175</v>
      </c>
      <c r="H172" s="126">
        <v>32.707380796864797</v>
      </c>
      <c r="I172" s="126">
        <v>7.8727729180559374</v>
      </c>
      <c r="L172" s="15" t="s">
        <v>175</v>
      </c>
      <c r="M172" s="121">
        <v>3.0574138791812283E-2</v>
      </c>
    </row>
    <row r="173" spans="1:13" ht="15.75" customHeight="1" x14ac:dyDescent="0.3">
      <c r="B173" s="119" t="s">
        <v>23</v>
      </c>
      <c r="C173" s="40">
        <v>0.19820670127418594</v>
      </c>
      <c r="D173" s="40">
        <v>8.1067666685049361E-2</v>
      </c>
      <c r="G173" s="15" t="s">
        <v>23</v>
      </c>
      <c r="H173" s="126">
        <v>39.86707566462168</v>
      </c>
      <c r="I173" s="126">
        <v>9.1443487759429409</v>
      </c>
      <c r="L173" s="15" t="s">
        <v>23</v>
      </c>
      <c r="M173" s="121">
        <v>2.5083354706334958E-2</v>
      </c>
    </row>
    <row r="174" spans="1:13" ht="15.75" customHeight="1" x14ac:dyDescent="0.3">
      <c r="B174" s="119" t="s">
        <v>176</v>
      </c>
      <c r="C174" s="40">
        <v>0.10435813815594426</v>
      </c>
      <c r="D174" s="40">
        <v>3.7861675809400884E-2</v>
      </c>
      <c r="G174" s="15" t="s">
        <v>176</v>
      </c>
      <c r="H174" s="126">
        <v>67.239984591679502</v>
      </c>
      <c r="I174" s="126">
        <v>8.9830047806524185</v>
      </c>
      <c r="L174" s="15" t="s">
        <v>176</v>
      </c>
      <c r="M174" s="121">
        <v>1.4872103348514796E-2</v>
      </c>
    </row>
    <row r="175" spans="1:13" ht="15.75" customHeight="1" x14ac:dyDescent="0.3">
      <c r="B175" s="119" t="s">
        <v>177</v>
      </c>
      <c r="C175" s="40">
        <v>0.10324729392173189</v>
      </c>
      <c r="D175" s="40">
        <v>8.4124830393487116E-2</v>
      </c>
      <c r="G175" s="15" t="s">
        <v>177</v>
      </c>
      <c r="H175" s="126">
        <v>74.027777777777786</v>
      </c>
      <c r="I175" s="126">
        <v>10.158663366336633</v>
      </c>
      <c r="L175" s="15" t="s">
        <v>177</v>
      </c>
      <c r="M175" s="121">
        <v>1.350844277673546E-2</v>
      </c>
    </row>
    <row r="176" spans="1:13" ht="15.75" customHeight="1" x14ac:dyDescent="0.3">
      <c r="B176" s="119" t="s">
        <v>178</v>
      </c>
      <c r="C176" s="40">
        <v>0.14578005115089515</v>
      </c>
      <c r="D176" s="40">
        <v>2.0585048754062838E-2</v>
      </c>
      <c r="G176" s="15" t="s">
        <v>178</v>
      </c>
      <c r="H176" s="126">
        <v>31.035795887281033</v>
      </c>
      <c r="I176" s="126">
        <v>5.5821917808219181</v>
      </c>
      <c r="L176" s="15" t="s">
        <v>178</v>
      </c>
      <c r="M176" s="121">
        <v>3.2220858895705522E-2</v>
      </c>
    </row>
    <row r="177" spans="2:13" ht="15.75" customHeight="1" x14ac:dyDescent="0.3">
      <c r="B177" s="119" t="s">
        <v>179</v>
      </c>
      <c r="C177" s="40">
        <v>0.11836115326251896</v>
      </c>
      <c r="D177" s="40">
        <v>5.019305019305019E-2</v>
      </c>
      <c r="G177" s="15" t="s">
        <v>179</v>
      </c>
      <c r="H177" s="126">
        <v>74.036850921273029</v>
      </c>
      <c r="I177" s="126">
        <v>5.4919601328903651</v>
      </c>
      <c r="L177" s="15" t="s">
        <v>179</v>
      </c>
      <c r="M177" s="121">
        <v>1.3506787330316742E-2</v>
      </c>
    </row>
    <row r="178" spans="2:13" ht="15.75" customHeight="1" x14ac:dyDescent="0.3">
      <c r="B178" s="119" t="s">
        <v>180</v>
      </c>
      <c r="C178" s="40">
        <v>0.1272264631043257</v>
      </c>
      <c r="D178" s="40">
        <v>7.7760497667185069E-2</v>
      </c>
      <c r="G178" s="15" t="s">
        <v>180</v>
      </c>
      <c r="H178" s="126">
        <v>59.43911439114391</v>
      </c>
      <c r="I178" s="126">
        <v>16.067830423940148</v>
      </c>
      <c r="L178" s="15" t="s">
        <v>180</v>
      </c>
      <c r="M178" s="121">
        <v>1.6823938415694066E-2</v>
      </c>
    </row>
    <row r="179" spans="2:13" ht="15.75" customHeight="1" x14ac:dyDescent="0.3">
      <c r="B179" s="119" t="s">
        <v>181</v>
      </c>
      <c r="C179" s="40">
        <v>0.15582450832072617</v>
      </c>
      <c r="D179" s="40">
        <v>9.662288930581614E-2</v>
      </c>
      <c r="G179" s="15" t="s">
        <v>181</v>
      </c>
      <c r="H179" s="126">
        <v>75.330717488789233</v>
      </c>
      <c r="I179" s="126">
        <v>9.0305419075144506</v>
      </c>
      <c r="L179" s="15" t="s">
        <v>181</v>
      </c>
      <c r="M179" s="121">
        <v>1.3274797231936902E-2</v>
      </c>
    </row>
    <row r="180" spans="2:13" ht="15.75" customHeight="1" x14ac:dyDescent="0.3">
      <c r="B180" s="119" t="s">
        <v>182</v>
      </c>
      <c r="C180" s="40">
        <v>8.0552359033371698E-2</v>
      </c>
      <c r="D180" s="40">
        <v>5.9071729957805907E-2</v>
      </c>
      <c r="G180" s="15" t="s">
        <v>182</v>
      </c>
      <c r="H180" s="126">
        <v>74.818925233644862</v>
      </c>
      <c r="I180" s="126">
        <v>6.4983652762119508</v>
      </c>
      <c r="L180" s="15" t="s">
        <v>182</v>
      </c>
      <c r="M180" s="121">
        <v>1.3365602310875165E-2</v>
      </c>
    </row>
    <row r="181" spans="2:13" ht="15.75" customHeight="1" x14ac:dyDescent="0.3">
      <c r="B181" s="119" t="s">
        <v>183</v>
      </c>
      <c r="C181" s="40">
        <v>4.449648711943794E-2</v>
      </c>
      <c r="D181" s="40">
        <v>2.464332036316472E-2</v>
      </c>
      <c r="G181" s="15" t="s">
        <v>183</v>
      </c>
      <c r="H181" s="126">
        <v>179.51388888888889</v>
      </c>
      <c r="I181" s="126">
        <v>6.6061111111111108</v>
      </c>
      <c r="L181" s="15" t="s">
        <v>183</v>
      </c>
      <c r="M181" s="121">
        <v>5.5705996131528044E-3</v>
      </c>
    </row>
    <row r="182" spans="2:13" ht="15.75" customHeight="1" x14ac:dyDescent="0.3">
      <c r="B182" s="119" t="s">
        <v>184</v>
      </c>
      <c r="C182" s="40">
        <v>0.12182741116751269</v>
      </c>
      <c r="D182" s="40">
        <v>6.4400715563506267E-2</v>
      </c>
      <c r="G182" s="15" t="s">
        <v>184</v>
      </c>
      <c r="H182" s="126">
        <v>37.035755478662054</v>
      </c>
      <c r="I182" s="126">
        <v>5.0007377049180324</v>
      </c>
      <c r="L182" s="15" t="s">
        <v>184</v>
      </c>
      <c r="M182" s="121">
        <v>2.7000934288383679E-2</v>
      </c>
    </row>
    <row r="183" spans="2:13" ht="15.75" customHeight="1" x14ac:dyDescent="0.3">
      <c r="B183" s="119" t="s">
        <v>185</v>
      </c>
      <c r="C183" s="40">
        <v>5.0713153724247229E-2</v>
      </c>
      <c r="D183" s="40">
        <v>4.5133991537376586E-2</v>
      </c>
      <c r="G183" s="15" t="s">
        <v>185</v>
      </c>
      <c r="H183" s="126">
        <v>103.39943342776205</v>
      </c>
      <c r="I183" s="126">
        <v>4.5557206537890043</v>
      </c>
      <c r="L183" s="15" t="s">
        <v>185</v>
      </c>
      <c r="M183" s="121">
        <v>9.6712328767123278E-3</v>
      </c>
    </row>
    <row r="184" spans="2:13" ht="15.75" customHeight="1" x14ac:dyDescent="0.3">
      <c r="B184" s="119" t="s">
        <v>186</v>
      </c>
      <c r="C184" s="40">
        <v>8.4112149532710276E-2</v>
      </c>
      <c r="D184" s="40">
        <v>6.2937062937062943E-2</v>
      </c>
      <c r="G184" s="15" t="s">
        <v>186</v>
      </c>
      <c r="H184" s="126">
        <v>88.309608540925282</v>
      </c>
      <c r="I184" s="126">
        <v>6.2170342612419702</v>
      </c>
      <c r="L184" s="15" t="s">
        <v>186</v>
      </c>
      <c r="M184" s="121">
        <v>1.1323796091073946E-2</v>
      </c>
    </row>
    <row r="185" spans="2:13" ht="15.75" customHeight="1" x14ac:dyDescent="0.3">
      <c r="B185" s="119" t="s">
        <v>187</v>
      </c>
      <c r="C185" s="40">
        <v>9.0032154340836015E-2</v>
      </c>
      <c r="D185" s="40">
        <v>4.7619047619047616E-2</v>
      </c>
      <c r="G185" s="127" t="s">
        <v>187</v>
      </c>
      <c r="H185" s="128">
        <v>133.4795321637427</v>
      </c>
      <c r="I185" s="128">
        <v>5.02437106918239</v>
      </c>
      <c r="L185" s="127" t="s">
        <v>187</v>
      </c>
      <c r="M185" s="129">
        <v>7.4917853231106241E-3</v>
      </c>
    </row>
    <row r="186" spans="2:13" ht="15.75" customHeight="1" x14ac:dyDescent="0.3">
      <c r="C186" s="121"/>
      <c r="D186" s="121"/>
      <c r="L186" s="127"/>
      <c r="M186" s="127"/>
    </row>
    <row r="187" spans="2:13" ht="15.75" customHeight="1" x14ac:dyDescent="0.3">
      <c r="B187" s="116" t="s">
        <v>191</v>
      </c>
      <c r="C187" s="122">
        <v>0.19400000000000001</v>
      </c>
      <c r="D187" s="122">
        <v>7.1999999999999995E-2</v>
      </c>
      <c r="G187" s="116" t="s">
        <v>191</v>
      </c>
      <c r="H187" s="116">
        <v>74</v>
      </c>
      <c r="I187" s="116">
        <v>7</v>
      </c>
      <c r="L187" s="116" t="s">
        <v>191</v>
      </c>
      <c r="M187" s="122">
        <v>1.4E-2</v>
      </c>
    </row>
    <row r="188" spans="2:13" ht="15.75" customHeight="1" x14ac:dyDescent="0.3"/>
    <row r="189" spans="2:13" ht="15.75" customHeight="1" x14ac:dyDescent="0.3"/>
    <row r="190" spans="2:13" ht="15.75" customHeight="1" x14ac:dyDescent="0.3"/>
    <row r="191" spans="2:13" ht="15.75" customHeight="1" x14ac:dyDescent="0.3"/>
    <row r="192" spans="2:13" ht="15.75" customHeight="1" x14ac:dyDescent="0.3"/>
    <row r="193" spans="2:14" ht="15.75" customHeight="1" x14ac:dyDescent="0.3"/>
    <row r="194" spans="2:14" ht="15.75" customHeight="1" x14ac:dyDescent="0.3"/>
    <row r="195" spans="2:14" ht="15.75" customHeight="1" x14ac:dyDescent="0.3"/>
    <row r="196" spans="2:14" ht="15.75" customHeight="1" x14ac:dyDescent="0.3"/>
    <row r="197" spans="2:14" ht="15.75" customHeight="1" x14ac:dyDescent="0.3"/>
    <row r="198" spans="2:14" ht="15.75" customHeight="1" x14ac:dyDescent="0.3"/>
    <row r="199" spans="2:14" ht="15.75" customHeight="1" x14ac:dyDescent="0.3"/>
    <row r="200" spans="2:14" ht="15.75" customHeight="1" x14ac:dyDescent="0.3"/>
    <row r="201" spans="2:14" ht="15.75" customHeight="1" x14ac:dyDescent="0.3"/>
    <row r="202" spans="2:14" ht="15.75" customHeight="1" x14ac:dyDescent="0.3"/>
    <row r="203" spans="2:14" ht="15.75" customHeight="1" x14ac:dyDescent="0.3"/>
    <row r="204" spans="2:14" ht="15.75" customHeight="1" x14ac:dyDescent="0.3">
      <c r="B204" s="130" t="s">
        <v>193</v>
      </c>
      <c r="C204" s="131"/>
      <c r="D204" s="131"/>
      <c r="E204" s="131"/>
      <c r="F204" s="131"/>
      <c r="G204" s="131"/>
      <c r="H204" s="131"/>
      <c r="I204" s="131"/>
      <c r="J204" s="131"/>
      <c r="K204" s="131"/>
      <c r="L204" s="131"/>
      <c r="M204" s="131"/>
      <c r="N204" s="132"/>
    </row>
    <row r="205" spans="2:14" ht="15.75" customHeight="1" x14ac:dyDescent="0.3">
      <c r="B205" s="133"/>
      <c r="C205" s="134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5"/>
    </row>
    <row r="206" spans="2:14" ht="15.75" customHeight="1" x14ac:dyDescent="0.3"/>
    <row r="207" spans="2:14" ht="15.75" customHeight="1" x14ac:dyDescent="0.3"/>
    <row r="208" spans="2:14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autoFilter ref="A1:AP19" xr:uid="{00000000-0009-0000-0000-000001000000}"/>
  <mergeCells count="1">
    <mergeCell ref="B204:N205"/>
  </mergeCells>
  <conditionalFormatting sqref="C27:C44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67:C80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37:C150">
    <cfRule type="colorScale" priority="9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172:C185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02:D115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27:G40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67:G80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37:G150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02:H115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72:H185">
    <cfRule type="colorScale" priority="1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I172:I185">
    <cfRule type="colorScale" priority="14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27:K40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37:K150">
    <cfRule type="colorScale" priority="1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L102:L115">
    <cfRule type="colorScale" priority="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M172:M185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hyperlinks>
    <hyperlink ref="B204" r:id="rId1" xr:uid="{7DC7A91D-496D-4BAE-A93B-C7240A5D49E3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FAIRVALUE BEL</vt:lpstr>
      <vt:lpstr>Aerospace &amp; Defense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2024-09-16T11:05:29Z</dcterms:created>
  <dcterms:modified xsi:type="dcterms:W3CDTF">2024-09-16T11:05:54Z</dcterms:modified>
</cp:coreProperties>
</file>