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FY_24\"/>
    </mc:Choice>
  </mc:AlternateContent>
  <xr:revisionPtr revIDLastSave="0" documentId="13_ncr:1_{011AF0AD-66E7-42FF-BA97-BE24C44B52D6}" xr6:coauthVersionLast="47" xr6:coauthVersionMax="47" xr10:uidLastSave="{00000000-0000-0000-0000-000000000000}"/>
  <bookViews>
    <workbookView xWindow="-108" yWindow="-108" windowWidth="23256" windowHeight="12456" xr2:uid="{64073DB5-FA75-4944-8CBD-C560B364C001}"/>
  </bookViews>
  <sheets>
    <sheet name="Piind" sheetId="2" r:id="rId1"/>
    <sheet name="Dashboard" sheetId="1" r:id="rId2"/>
  </sheets>
  <definedNames>
    <definedName name="_xlnm._FilterDatabase" localSheetId="1" hidden="1">Dashboard!$B$117:$D$130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2" l="1"/>
  <c r="P51" i="2"/>
  <c r="L51" i="2"/>
  <c r="K51" i="2"/>
  <c r="I51" i="2"/>
  <c r="Q50" i="2"/>
  <c r="P50" i="2"/>
  <c r="R50" i="2" s="1"/>
  <c r="L50" i="2"/>
  <c r="K50" i="2"/>
  <c r="I50" i="2"/>
  <c r="Q49" i="2"/>
  <c r="P49" i="2"/>
  <c r="R49" i="2" s="1"/>
  <c r="L49" i="2"/>
  <c r="K49" i="2"/>
  <c r="I49" i="2"/>
  <c r="Q48" i="2"/>
  <c r="P48" i="2"/>
  <c r="R48" i="2" s="1"/>
  <c r="L48" i="2"/>
  <c r="K48" i="2"/>
  <c r="I48" i="2"/>
  <c r="R47" i="2"/>
  <c r="Q47" i="2"/>
  <c r="P47" i="2"/>
  <c r="L47" i="2"/>
  <c r="K47" i="2"/>
  <c r="I47" i="2"/>
  <c r="Q46" i="2"/>
  <c r="P46" i="2"/>
  <c r="R46" i="2" s="1"/>
  <c r="L46" i="2"/>
  <c r="K46" i="2"/>
  <c r="I46" i="2"/>
  <c r="Q45" i="2"/>
  <c r="P45" i="2"/>
  <c r="R45" i="2" s="1"/>
  <c r="L45" i="2"/>
  <c r="K45" i="2"/>
  <c r="I45" i="2"/>
  <c r="Q44" i="2"/>
  <c r="P44" i="2"/>
  <c r="R44" i="2" s="1"/>
  <c r="L44" i="2"/>
  <c r="K44" i="2"/>
  <c r="I44" i="2"/>
  <c r="R43" i="2"/>
  <c r="Q43" i="2"/>
  <c r="P43" i="2"/>
  <c r="L43" i="2"/>
  <c r="K43" i="2"/>
  <c r="I43" i="2"/>
  <c r="Q42" i="2"/>
  <c r="P42" i="2"/>
  <c r="R42" i="2" s="1"/>
  <c r="L42" i="2"/>
  <c r="K42" i="2"/>
  <c r="I42" i="2"/>
  <c r="V41" i="2"/>
  <c r="U41" i="2"/>
  <c r="Q41" i="2"/>
  <c r="P41" i="2"/>
  <c r="R41" i="2" s="1"/>
  <c r="L41" i="2"/>
  <c r="K41" i="2"/>
  <c r="I41" i="2"/>
  <c r="Q40" i="2"/>
  <c r="P40" i="2"/>
  <c r="R40" i="2" s="1"/>
  <c r="L40" i="2"/>
  <c r="K40" i="2"/>
  <c r="I40" i="2"/>
  <c r="Q39" i="2"/>
  <c r="P39" i="2"/>
  <c r="R39" i="2" s="1"/>
  <c r="L39" i="2"/>
  <c r="K39" i="2"/>
  <c r="I39" i="2"/>
  <c r="R38" i="2"/>
  <c r="Q38" i="2"/>
  <c r="P38" i="2"/>
  <c r="L38" i="2"/>
  <c r="K38" i="2"/>
  <c r="I38" i="2"/>
  <c r="Q37" i="2"/>
  <c r="P37" i="2"/>
  <c r="R37" i="2" s="1"/>
  <c r="L37" i="2"/>
  <c r="K37" i="2"/>
  <c r="I37" i="2"/>
  <c r="Q36" i="2"/>
  <c r="P36" i="2"/>
  <c r="R36" i="2" s="1"/>
  <c r="L36" i="2"/>
  <c r="K36" i="2"/>
  <c r="I36" i="2"/>
  <c r="Q35" i="2"/>
  <c r="P35" i="2"/>
  <c r="R35" i="2" s="1"/>
  <c r="L35" i="2"/>
  <c r="K35" i="2"/>
  <c r="I35" i="2"/>
  <c r="R34" i="2"/>
  <c r="Q34" i="2"/>
  <c r="P34" i="2"/>
  <c r="L34" i="2"/>
  <c r="K34" i="2"/>
  <c r="I34" i="2"/>
  <c r="W33" i="2"/>
  <c r="V33" i="2"/>
  <c r="X33" i="2" s="1"/>
  <c r="U33" i="2"/>
  <c r="Q33" i="2"/>
  <c r="P33" i="2"/>
  <c r="R33" i="2" s="1"/>
  <c r="L33" i="2"/>
  <c r="L23" i="2" s="1"/>
  <c r="K33" i="2"/>
  <c r="K25" i="2" s="1"/>
  <c r="I33" i="2"/>
  <c r="I23" i="2" s="1"/>
  <c r="R32" i="2"/>
  <c r="Q32" i="2"/>
  <c r="P32" i="2"/>
  <c r="L32" i="2"/>
  <c r="K32" i="2"/>
  <c r="I32" i="2"/>
  <c r="X31" i="2"/>
  <c r="W31" i="2"/>
  <c r="R31" i="2"/>
  <c r="Q31" i="2"/>
  <c r="P31" i="2"/>
  <c r="L31" i="2"/>
  <c r="K31" i="2"/>
  <c r="K23" i="2" s="1"/>
  <c r="X30" i="2"/>
  <c r="W30" i="2"/>
  <c r="Q30" i="2"/>
  <c r="R30" i="2" s="1"/>
  <c r="P30" i="2"/>
  <c r="L30" i="2"/>
  <c r="K30" i="2"/>
  <c r="X29" i="2"/>
  <c r="W29" i="2"/>
  <c r="Q29" i="2"/>
  <c r="Q23" i="2" s="1"/>
  <c r="P29" i="2"/>
  <c r="P25" i="2" s="1"/>
  <c r="R25" i="2" s="1"/>
  <c r="L29" i="2"/>
  <c r="K29" i="2"/>
  <c r="X28" i="2"/>
  <c r="W28" i="2"/>
  <c r="X27" i="2"/>
  <c r="W27" i="2"/>
  <c r="O27" i="2"/>
  <c r="N27" i="2"/>
  <c r="H27" i="2"/>
  <c r="F27" i="2"/>
  <c r="C27" i="2"/>
  <c r="X26" i="2"/>
  <c r="W26" i="2"/>
  <c r="Q26" i="2"/>
  <c r="P26" i="2"/>
  <c r="O26" i="2"/>
  <c r="N26" i="2"/>
  <c r="L26" i="2"/>
  <c r="K26" i="2"/>
  <c r="J26" i="2"/>
  <c r="I26" i="2"/>
  <c r="H26" i="2"/>
  <c r="G26" i="2"/>
  <c r="F26" i="2"/>
  <c r="E26" i="2"/>
  <c r="D26" i="2"/>
  <c r="C26" i="2"/>
  <c r="X25" i="2"/>
  <c r="W25" i="2"/>
  <c r="Q25" i="2"/>
  <c r="O25" i="2"/>
  <c r="N25" i="2"/>
  <c r="J25" i="2"/>
  <c r="I25" i="2"/>
  <c r="H25" i="2"/>
  <c r="G25" i="2"/>
  <c r="F25" i="2"/>
  <c r="E25" i="2"/>
  <c r="D25" i="2"/>
  <c r="C25" i="2"/>
  <c r="P24" i="2"/>
  <c r="O24" i="2"/>
  <c r="N24" i="2"/>
  <c r="J24" i="2"/>
  <c r="H24" i="2"/>
  <c r="G24" i="2"/>
  <c r="F24" i="2"/>
  <c r="E24" i="2"/>
  <c r="D24" i="2"/>
  <c r="C24" i="2"/>
  <c r="O23" i="2"/>
  <c r="N23" i="2"/>
  <c r="J23" i="2"/>
  <c r="H23" i="2"/>
  <c r="G23" i="2"/>
  <c r="F23" i="2"/>
  <c r="E23" i="2"/>
  <c r="D23" i="2"/>
  <c r="C23" i="2"/>
  <c r="AF22" i="2"/>
  <c r="AE22" i="2"/>
  <c r="AG22" i="2" s="1"/>
  <c r="AA22" i="2"/>
  <c r="AB22" i="2" s="1"/>
  <c r="Z22" i="2"/>
  <c r="V22" i="2"/>
  <c r="U22" i="2"/>
  <c r="W22" i="2" s="1"/>
  <c r="AF21" i="2"/>
  <c r="AE21" i="2"/>
  <c r="AG21" i="2" s="1"/>
  <c r="AB21" i="2"/>
  <c r="AA21" i="2"/>
  <c r="Z21" i="2"/>
  <c r="V21" i="2"/>
  <c r="U21" i="2"/>
  <c r="W21" i="2" s="1"/>
  <c r="AG20" i="2"/>
  <c r="AB20" i="2"/>
  <c r="W20" i="2"/>
  <c r="P20" i="2"/>
  <c r="O20" i="2"/>
  <c r="AG19" i="2"/>
  <c r="AB19" i="2"/>
  <c r="W19" i="2"/>
  <c r="AG18" i="2"/>
  <c r="AB18" i="2"/>
  <c r="W18" i="2"/>
  <c r="R18" i="2"/>
  <c r="AG17" i="2"/>
  <c r="AB17" i="2"/>
  <c r="W17" i="2"/>
  <c r="AG16" i="2"/>
  <c r="AB16" i="2"/>
  <c r="W16" i="2"/>
  <c r="M15" i="2"/>
  <c r="E15" i="2"/>
  <c r="F15" i="2" s="1"/>
  <c r="C15" i="2"/>
  <c r="D15" i="2" s="1"/>
  <c r="D19" i="2" s="1"/>
  <c r="Q10" i="2"/>
  <c r="O10" i="2"/>
  <c r="L10" i="2"/>
  <c r="K10" i="2"/>
  <c r="J10" i="2"/>
  <c r="I10" i="2"/>
  <c r="H10" i="2"/>
  <c r="G10" i="2"/>
  <c r="F10" i="2"/>
  <c r="E10" i="2"/>
  <c r="D10" i="2"/>
  <c r="C10" i="2"/>
  <c r="B10" i="2"/>
  <c r="W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V4" i="2"/>
  <c r="V3" i="2"/>
  <c r="V5" i="2" s="1"/>
  <c r="D3" i="2"/>
  <c r="C3" i="2"/>
  <c r="Q20" i="2" s="1"/>
  <c r="D128" i="1"/>
  <c r="C128" i="1"/>
  <c r="D127" i="1"/>
  <c r="C127" i="1"/>
  <c r="D126" i="1"/>
  <c r="C126" i="1"/>
  <c r="D125" i="1"/>
  <c r="C125" i="1"/>
  <c r="D123" i="1"/>
  <c r="C123" i="1"/>
  <c r="D122" i="1"/>
  <c r="C122" i="1"/>
  <c r="D121" i="1"/>
  <c r="D130" i="1" s="1"/>
  <c r="C121" i="1"/>
  <c r="C130" i="1" s="1"/>
  <c r="E68" i="1"/>
  <c r="G47" i="1"/>
  <c r="F47" i="1"/>
  <c r="E47" i="1"/>
  <c r="D47" i="1"/>
  <c r="C45" i="1"/>
  <c r="C44" i="1"/>
  <c r="C43" i="1"/>
  <c r="C42" i="1"/>
  <c r="C41" i="1"/>
  <c r="C40" i="1"/>
  <c r="C39" i="1"/>
  <c r="C38" i="1"/>
  <c r="C37" i="1"/>
  <c r="C36" i="1"/>
  <c r="C35" i="1"/>
  <c r="D4" i="2" l="1"/>
  <c r="D5" i="2" s="1"/>
  <c r="M10" i="2"/>
  <c r="C5" i="2"/>
  <c r="F18" i="2"/>
  <c r="P23" i="2"/>
  <c r="R23" i="2" s="1"/>
  <c r="K24" i="2"/>
  <c r="L25" i="2"/>
  <c r="N10" i="2"/>
  <c r="C14" i="2"/>
  <c r="L24" i="2"/>
  <c r="Q24" i="2"/>
  <c r="R24" i="2" s="1"/>
  <c r="R29" i="2"/>
  <c r="I24" i="2"/>
  <c r="P10" i="2"/>
  <c r="C47" i="1"/>
  <c r="D14" i="2" l="1"/>
  <c r="C13" i="2"/>
  <c r="R26" i="2"/>
  <c r="E14" i="2" l="1"/>
  <c r="D13" i="2"/>
  <c r="F14" i="2" l="1"/>
  <c r="E13" i="2"/>
  <c r="F13" i="2" s="1"/>
</calcChain>
</file>

<file path=xl/sharedStrings.xml><?xml version="1.0" encoding="utf-8"?>
<sst xmlns="http://schemas.openxmlformats.org/spreadsheetml/2006/main" count="333" uniqueCount="212">
  <si>
    <t>AgroChem</t>
  </si>
  <si>
    <t>World</t>
  </si>
  <si>
    <t>Globaly 10-40% Yield are affected by Pathogens &amp; Pest in major crops</t>
  </si>
  <si>
    <t>860 cr</t>
  </si>
  <si>
    <t>population</t>
  </si>
  <si>
    <t>980 cr</t>
  </si>
  <si>
    <t>80% of agrioutput going to come from Emerging Countires</t>
  </si>
  <si>
    <t>55% Urban today and will be 68% till 2030</t>
  </si>
  <si>
    <t xml:space="preserve">Arable land to be decrease by 20% till 2050. </t>
  </si>
  <si>
    <t>Agri productivity growth is 1.66% v/s required 1.75% till 2050</t>
  </si>
  <si>
    <t xml:space="preserve">40% of the world population would suffer from water scarcity. </t>
  </si>
  <si>
    <t>India</t>
  </si>
  <si>
    <t>7Th largest By Size</t>
  </si>
  <si>
    <t>2nd Largest by Population</t>
  </si>
  <si>
    <t>one of the Largest Agri market of the world</t>
  </si>
  <si>
    <t>10th largest arable land</t>
  </si>
  <si>
    <t>Agrimarket</t>
  </si>
  <si>
    <t>Agri market 90 Lakh cr by 2023 &amp; growth of 12.5%</t>
  </si>
  <si>
    <t>Indians Employed in Agri: 43%</t>
  </si>
  <si>
    <t>China 18%</t>
  </si>
  <si>
    <t>58% of India Population depend on Agri</t>
  </si>
  <si>
    <t>70% of India's rural HouseHold depend on Agri</t>
  </si>
  <si>
    <t>86% of Indian farmer are categorised small farmers with less than 2 hectar land</t>
  </si>
  <si>
    <t xml:space="preserve">India agri spending is just 0.3% of AgriGDP </t>
  </si>
  <si>
    <t>v/s China 2X, US 4X, Braxin 6X, south Africa 10X</t>
  </si>
  <si>
    <t>Average Surpla in Rural India is just 1477/month</t>
  </si>
  <si>
    <t xml:space="preserve">Aim to double income by PMKSY, PMFBY, DBT &amp; NFSM. </t>
  </si>
  <si>
    <t>INDIA to be double income from current 1lakh/year to 2lakh/year</t>
  </si>
  <si>
    <t>Agri contribution is 16% in GDP v/s globaly 6.5%</t>
  </si>
  <si>
    <t>India's paddy yield/hectare rise by 2.5X during last 56 years, still its 18% less than China, 50% less than Brazil or 62% to US.</t>
  </si>
  <si>
    <t>30-35% of annual Crop have lost due to pests</t>
  </si>
  <si>
    <t xml:space="preserve">India pesticide usage lowest in the world as India use 0.6kg/hectar, v/s 6.5/hectar In US &amp; 12kg in Japan. </t>
  </si>
  <si>
    <t>Company</t>
  </si>
  <si>
    <t>MARKETCAP</t>
  </si>
  <si>
    <t>Revenue</t>
  </si>
  <si>
    <t>Profit</t>
  </si>
  <si>
    <t>Researve</t>
  </si>
  <si>
    <t>DEBT</t>
  </si>
  <si>
    <t>UPL</t>
  </si>
  <si>
    <t>BAYERCROP</t>
  </si>
  <si>
    <t>PIIND</t>
  </si>
  <si>
    <t>SHARDACROP</t>
  </si>
  <si>
    <t>RALLIS</t>
  </si>
  <si>
    <t>INSECTICID</t>
  </si>
  <si>
    <t>SUMICHEM</t>
  </si>
  <si>
    <t>DHANUKA</t>
  </si>
  <si>
    <t>BHARATRAS</t>
  </si>
  <si>
    <t>NACLIND</t>
  </si>
  <si>
    <t>PUNJABCHEM</t>
  </si>
  <si>
    <t>Industry</t>
  </si>
  <si>
    <t>Profit Margin</t>
  </si>
  <si>
    <t>ROE</t>
  </si>
  <si>
    <t>Debt Paying Capacity</t>
  </si>
  <si>
    <t>JUBLINDS</t>
  </si>
  <si>
    <t>IndiaPest</t>
  </si>
  <si>
    <t>Rev CAGR 2010</t>
  </si>
  <si>
    <t>Profit CAGR 2010</t>
  </si>
  <si>
    <t>ATUL</t>
  </si>
  <si>
    <t>EXCELCROP</t>
  </si>
  <si>
    <t>MONSANTO</t>
  </si>
  <si>
    <t>Loss</t>
  </si>
  <si>
    <t>Price Cagr 2001</t>
  </si>
  <si>
    <t>Price Cagr 2010</t>
  </si>
  <si>
    <t>Div%</t>
  </si>
  <si>
    <t>Sumichem</t>
  </si>
  <si>
    <t>Cy Rev Gr</t>
  </si>
  <si>
    <t>Cy Profit Gr</t>
  </si>
  <si>
    <t>Grand Total</t>
  </si>
  <si>
    <t>MARKET</t>
  </si>
  <si>
    <t>INCOME</t>
  </si>
  <si>
    <t>BALANCESHEET</t>
  </si>
  <si>
    <t>CASHFLOW</t>
  </si>
  <si>
    <t>COMPANY</t>
  </si>
  <si>
    <t>PRICE</t>
  </si>
  <si>
    <t>MCAP</t>
  </si>
  <si>
    <t>SALES</t>
  </si>
  <si>
    <t>PROFIT</t>
  </si>
  <si>
    <t>EBITDA</t>
  </si>
  <si>
    <t>FV</t>
  </si>
  <si>
    <t>EPS</t>
  </si>
  <si>
    <t>EQUITY</t>
  </si>
  <si>
    <t>RESERVE</t>
  </si>
  <si>
    <t>BORROWING</t>
  </si>
  <si>
    <t>LEASE</t>
  </si>
  <si>
    <t>CUR.ASSET</t>
  </si>
  <si>
    <t>CUR.LIABILITY</t>
  </si>
  <si>
    <t>ASSET</t>
  </si>
  <si>
    <t>LIABILITY</t>
  </si>
  <si>
    <t>TRADE REC</t>
  </si>
  <si>
    <t>CFO</t>
  </si>
  <si>
    <t>CFI</t>
  </si>
  <si>
    <t>CFF</t>
  </si>
  <si>
    <t>TOTAL</t>
  </si>
  <si>
    <t>PPE</t>
  </si>
  <si>
    <t>LastYear_22</t>
  </si>
  <si>
    <t>Growth</t>
  </si>
  <si>
    <t>GROWTH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</si>
  <si>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</si>
  <si>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</si>
  <si>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</si>
  <si>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</si>
  <si>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</si>
  <si>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</si>
  <si>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</si>
  <si>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</si>
  <si>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TRADE CYC</t>
  </si>
  <si>
    <t>DEBT2EQUITY</t>
  </si>
  <si>
    <t>DEBTRATIO</t>
  </si>
  <si>
    <t>ICR</t>
  </si>
  <si>
    <t>ROCE</t>
  </si>
  <si>
    <t>ROA</t>
  </si>
  <si>
    <t>PE</t>
  </si>
  <si>
    <t>YIELD</t>
  </si>
  <si>
    <t>BOOKVALUE</t>
  </si>
  <si>
    <t>PBV</t>
  </si>
  <si>
    <t>PEG</t>
  </si>
  <si>
    <t>Estimate</t>
  </si>
  <si>
    <t>F-YEAR</t>
  </si>
  <si>
    <t>Total Income</t>
  </si>
  <si>
    <t>NET PROFIT</t>
  </si>
  <si>
    <t>Fairvalue</t>
  </si>
  <si>
    <t>FY_2035</t>
  </si>
  <si>
    <t>FY_2030</t>
  </si>
  <si>
    <t>TRAIL</t>
  </si>
  <si>
    <t>Q1_FY_24</t>
  </si>
  <si>
    <t>Q2_FY_24</t>
  </si>
  <si>
    <t>Q3_FY_24</t>
  </si>
  <si>
    <t>Q34FY_24</t>
  </si>
  <si>
    <t>EPS_23</t>
  </si>
  <si>
    <t>FY_2024</t>
  </si>
  <si>
    <t>FY_24_RESULT</t>
  </si>
  <si>
    <t>FY_24</t>
  </si>
  <si>
    <t>FY_23</t>
  </si>
  <si>
    <t>CAGR</t>
  </si>
  <si>
    <t>Q4_FY_24</t>
  </si>
  <si>
    <t>Q4FY_24</t>
  </si>
  <si>
    <t>Q4FY_23</t>
  </si>
  <si>
    <t>9M_FY_24</t>
  </si>
  <si>
    <t>9M_FY_23</t>
  </si>
  <si>
    <t>Sales</t>
  </si>
  <si>
    <t>Exp Growth</t>
  </si>
  <si>
    <t>Years</t>
  </si>
  <si>
    <t>Net Profit</t>
  </si>
  <si>
    <t>MARGIN</t>
  </si>
  <si>
    <t>TREND</t>
  </si>
  <si>
    <t>H1_FY_24</t>
  </si>
  <si>
    <t>EST-2025</t>
  </si>
  <si>
    <t>EPS_24</t>
  </si>
  <si>
    <t>F_EPS_25</t>
  </si>
  <si>
    <t>COST</t>
  </si>
  <si>
    <t>LongTerm</t>
  </si>
  <si>
    <t>Finance</t>
  </si>
  <si>
    <t>Cy Year</t>
  </si>
  <si>
    <t>F_PE</t>
  </si>
  <si>
    <t>Margin</t>
  </si>
  <si>
    <t>Expenditure</t>
  </si>
  <si>
    <t>Interest</t>
  </si>
  <si>
    <t>Equity</t>
  </si>
  <si>
    <t>NPM %</t>
  </si>
  <si>
    <t>Reserve</t>
  </si>
  <si>
    <t>ROPE</t>
  </si>
  <si>
    <t>CORP. ACTION</t>
  </si>
  <si>
    <t>HIGH PRICE</t>
  </si>
  <si>
    <t>LOW PRICE</t>
  </si>
  <si>
    <t>HIGH PE</t>
  </si>
  <si>
    <t>LOW PE</t>
  </si>
  <si>
    <t>FAIR PE</t>
  </si>
  <si>
    <t>20 Years</t>
  </si>
  <si>
    <t>10 Years</t>
  </si>
  <si>
    <t>MajorCost</t>
  </si>
  <si>
    <t>FY_22</t>
  </si>
  <si>
    <t>SHARE</t>
  </si>
  <si>
    <t>5 Years</t>
  </si>
  <si>
    <t>MATERIAL</t>
  </si>
  <si>
    <t>STOCK</t>
  </si>
  <si>
    <t>INVENTORIES</t>
  </si>
  <si>
    <t>Actual</t>
  </si>
  <si>
    <t>Year</t>
  </si>
  <si>
    <t>EMPLOYEE</t>
  </si>
  <si>
    <t>FINANCE</t>
  </si>
  <si>
    <t>D&amp;A</t>
  </si>
  <si>
    <t>OTHER EXP</t>
  </si>
  <si>
    <t>FY_21</t>
  </si>
  <si>
    <t>FY_20</t>
  </si>
  <si>
    <t>FY_19</t>
  </si>
  <si>
    <t>FY_18</t>
  </si>
  <si>
    <t>SHP</t>
  </si>
  <si>
    <t>FY_01</t>
  </si>
  <si>
    <t>FY_17</t>
  </si>
  <si>
    <t>Promoters</t>
  </si>
  <si>
    <t>FY_16</t>
  </si>
  <si>
    <t>MF/AIF/INSURANCE</t>
  </si>
  <si>
    <t>FY_15</t>
  </si>
  <si>
    <t>FII/FPI/NRI</t>
  </si>
  <si>
    <t>FY_14</t>
  </si>
  <si>
    <t>Split 5:1</t>
  </si>
  <si>
    <t>RETAIL</t>
  </si>
  <si>
    <t>FY_13</t>
  </si>
  <si>
    <t>FY_12</t>
  </si>
  <si>
    <t>Split 10:5</t>
  </si>
  <si>
    <t>FY_11</t>
  </si>
  <si>
    <t>BONUS 1:2</t>
  </si>
  <si>
    <t>FY_10</t>
  </si>
  <si>
    <t>FY_09</t>
  </si>
  <si>
    <t>BONUS 1:1</t>
  </si>
  <si>
    <t>FY_08</t>
  </si>
  <si>
    <t>FY_07</t>
  </si>
  <si>
    <t>FY_06</t>
  </si>
  <si>
    <t>FY_05</t>
  </si>
  <si>
    <t>FY_04</t>
  </si>
  <si>
    <t>FY_03</t>
  </si>
  <si>
    <t>FY_02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</si>
</sst>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,##0.0"/>
    <numFmt numFmtId="167" formatCode="#,##0;\(#,##0\)"/>
  </numFmts>
  <fonts count="32">
    <font>
      <sz val="11"/>
      <color theme="1"/>
      <name val="Calibri"/>
      <scheme val="minor"/>
    </font>
    <font>
      <sz val="11"/>
      <color theme="1"/>
      <name val="Calibri"/>
      <scheme val="minor"/>
    </font>
    <font>
      <b/>
      <sz val="12"/>
      <color rgb="FF0070C0"/>
      <name val="Arial Black"/>
    </font>
    <font>
      <b/>
      <sz val="11"/>
      <color theme="0"/>
      <name val="Calibri"/>
      <scheme val="minor"/>
    </font>
    <font>
      <b/>
      <sz val="11"/>
      <color rgb="FFFFFFFF"/>
      <name val="Calibri"/>
      <scheme val="minor"/>
    </font>
    <font>
      <sz val="11"/>
      <color rgb="FF006100"/>
      <name val="Calibri"/>
      <scheme val="minor"/>
    </font>
    <font>
      <sz val="11"/>
      <color rgb="FF9C6500"/>
      <name val="Calibri"/>
      <scheme val="minor"/>
    </font>
    <font>
      <sz val="11"/>
      <color rgb="FF9C0006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FFFFFF"/>
      <name val="Calibri"/>
      <scheme val="minor"/>
    </font>
    <font>
      <sz val="11"/>
      <color rgb="FFFFFFFF"/>
      <name val="Arial"/>
    </font>
    <font>
      <sz val="9"/>
      <color rgb="FF000000"/>
      <name val="Arial"/>
    </font>
    <font>
      <sz val="11"/>
      <color theme="1"/>
      <name val="Arial"/>
    </font>
    <font>
      <b/>
      <i/>
      <u/>
      <sz val="11"/>
      <color theme="1"/>
      <name val="Calibri"/>
      <scheme val="minor"/>
    </font>
    <font>
      <sz val="11"/>
      <color theme="1"/>
      <name val="Calibri"/>
    </font>
    <font>
      <i/>
      <sz val="11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sz val="14"/>
      <color rgb="FFFFFFFF"/>
      <name val="Calibri"/>
    </font>
    <font>
      <sz val="34"/>
      <color theme="1"/>
      <name val="Calibri"/>
    </font>
    <font>
      <b/>
      <i/>
      <sz val="11"/>
      <color rgb="FF7F7F7F"/>
      <name val="Calibri"/>
      <scheme val="minor"/>
    </font>
    <font>
      <u/>
      <sz val="11"/>
      <color theme="10"/>
      <name val="Calibri"/>
    </font>
    <font>
      <sz val="11"/>
      <color rgb="FF000000"/>
      <name val="Arial"/>
    </font>
    <font>
      <sz val="11"/>
      <color rgb="FF000000"/>
      <name val="Calibri"/>
    </font>
    <font>
      <b/>
      <i/>
      <sz val="9"/>
      <color rgb="FF000000"/>
      <name val="Arial"/>
    </font>
    <font>
      <b/>
      <i/>
      <sz val="11"/>
      <color theme="1"/>
      <name val="Arial"/>
    </font>
    <font>
      <sz val="11"/>
      <color rgb="FF000000"/>
      <name val="Myfirstfont"/>
    </font>
    <font>
      <sz val="11"/>
      <color rgb="FF303030"/>
      <name val="Arial"/>
    </font>
    <font>
      <b/>
      <i/>
      <sz val="11"/>
      <color theme="1"/>
      <name val="Calibri"/>
      <scheme val="minor"/>
    </font>
    <font>
      <sz val="9"/>
      <color rgb="FF1F1F1F"/>
      <name val="&quot;Google Sans&quot;"/>
    </font>
    <font>
      <sz val="11"/>
      <color rgb="FF000000"/>
      <name val="Docs-Calibri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0B5394"/>
        <bgColor rgb="FF0B5394"/>
      </patternFill>
    </fill>
    <fill>
      <patternFill patternType="solid">
        <fgColor rgb="FF20124D"/>
        <bgColor rgb="FF20124D"/>
      </patternFill>
    </fill>
    <fill>
      <patternFill patternType="solid">
        <fgColor rgb="FF4A86E8"/>
        <bgColor rgb="FF4A86E8"/>
      </patternFill>
    </fill>
    <fill>
      <patternFill patternType="solid">
        <fgColor rgb="FFB7B7B7"/>
        <bgColor rgb="FFB7B7B7"/>
      </patternFill>
    </fill>
    <fill>
      <patternFill patternType="solid">
        <fgColor rgb="FF073763"/>
        <bgColor rgb="FF073763"/>
      </patternFill>
    </fill>
    <fill>
      <patternFill patternType="solid">
        <fgColor rgb="FF57BB8A"/>
        <bgColor rgb="FF57BB8A"/>
      </patternFill>
    </fill>
    <fill>
      <patternFill patternType="solid">
        <fgColor rgb="FF92D3B3"/>
        <bgColor rgb="FF92D3B3"/>
      </patternFill>
    </fill>
    <fill>
      <patternFill patternType="solid">
        <fgColor rgb="FFF3BFBB"/>
        <bgColor rgb="FFF3BFBB"/>
      </patternFill>
    </fill>
    <fill>
      <patternFill patternType="solid">
        <fgColor rgb="FFFEFFFE"/>
        <bgColor rgb="FFFEFFFE"/>
      </patternFill>
    </fill>
    <fill>
      <patternFill patternType="solid">
        <fgColor rgb="FFF2FAF6"/>
        <bgColor rgb="FFF2FAF6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right"/>
    </xf>
    <xf numFmtId="0" fontId="3" fillId="3" borderId="1" xfId="0" applyFont="1" applyFill="1" applyBorder="1"/>
    <xf numFmtId="0" fontId="4" fillId="3" borderId="1" xfId="0" applyFont="1" applyFill="1" applyBorder="1"/>
    <xf numFmtId="0" fontId="5" fillId="4" borderId="1" xfId="0" applyFont="1" applyFill="1" applyBorder="1" applyAlignment="1">
      <alignment horizontal="left"/>
    </xf>
    <xf numFmtId="1" fontId="1" fillId="0" borderId="0" xfId="0" applyNumberFormat="1" applyFont="1"/>
    <xf numFmtId="1" fontId="0" fillId="2" borderId="1" xfId="0" applyNumberFormat="1" applyFill="1" applyBorder="1"/>
    <xf numFmtId="0" fontId="0" fillId="2" borderId="1" xfId="0" applyFill="1" applyBorder="1"/>
    <xf numFmtId="0" fontId="6" fillId="5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0" fontId="1" fillId="0" borderId="0" xfId="0" applyFont="1"/>
    <xf numFmtId="0" fontId="8" fillId="2" borderId="1" xfId="0" applyFont="1" applyFill="1" applyBorder="1" applyAlignment="1">
      <alignment horizontal="left"/>
    </xf>
    <xf numFmtId="1" fontId="8" fillId="2" borderId="1" xfId="0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164" fontId="8" fillId="2" borderId="1" xfId="0" applyNumberFormat="1" applyFont="1" applyFill="1" applyBorder="1"/>
    <xf numFmtId="9" fontId="0" fillId="2" borderId="1" xfId="0" applyNumberFormat="1" applyFill="1" applyBorder="1"/>
    <xf numFmtId="9" fontId="0" fillId="2" borderId="0" xfId="0" applyNumberFormat="1" applyFill="1"/>
    <xf numFmtId="9" fontId="8" fillId="2" borderId="1" xfId="0" applyNumberFormat="1" applyFont="1" applyFill="1" applyBorder="1"/>
    <xf numFmtId="0" fontId="9" fillId="7" borderId="1" xfId="0" applyFont="1" applyFill="1" applyBorder="1" applyAlignment="1">
      <alignment horizontal="left"/>
    </xf>
    <xf numFmtId="0" fontId="10" fillId="8" borderId="2" xfId="0" applyFont="1" applyFill="1" applyBorder="1" applyAlignment="1">
      <alignment horizontal="center"/>
    </xf>
    <xf numFmtId="0" fontId="11" fillId="9" borderId="0" xfId="0" applyFont="1" applyFill="1"/>
    <xf numFmtId="9" fontId="1" fillId="0" borderId="0" xfId="0" applyNumberFormat="1" applyFont="1"/>
    <xf numFmtId="15" fontId="12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2" borderId="0" xfId="0" applyNumberFormat="1" applyFill="1"/>
    <xf numFmtId="0" fontId="11" fillId="10" borderId="0" xfId="0" applyFont="1" applyFill="1"/>
    <xf numFmtId="9" fontId="13" fillId="0" borderId="0" xfId="0" applyNumberFormat="1" applyFont="1" applyAlignment="1">
      <alignment horizontal="right"/>
    </xf>
    <xf numFmtId="0" fontId="14" fillId="11" borderId="3" xfId="0" applyFont="1" applyFill="1" applyBorder="1" applyAlignment="1">
      <alignment horizontal="center"/>
    </xf>
    <xf numFmtId="9" fontId="14" fillId="11" borderId="3" xfId="0" applyNumberFormat="1" applyFont="1" applyFill="1" applyBorder="1" applyAlignment="1">
      <alignment horizontal="center"/>
    </xf>
    <xf numFmtId="0" fontId="15" fillId="0" borderId="0" xfId="0" applyFont="1"/>
    <xf numFmtId="1" fontId="15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9" fontId="13" fillId="11" borderId="0" xfId="0" applyNumberFormat="1" applyFont="1" applyFill="1"/>
    <xf numFmtId="1" fontId="13" fillId="11" borderId="0" xfId="0" applyNumberFormat="1" applyFont="1" applyFill="1" applyAlignment="1">
      <alignment horizontal="right"/>
    </xf>
    <xf numFmtId="164" fontId="13" fillId="11" borderId="0" xfId="0" applyNumberFormat="1" applyFont="1" applyFill="1"/>
    <xf numFmtId="165" fontId="13" fillId="11" borderId="0" xfId="0" applyNumberFormat="1" applyFont="1" applyFill="1"/>
    <xf numFmtId="1" fontId="13" fillId="11" borderId="0" xfId="0" applyNumberFormat="1" applyFont="1" applyFill="1"/>
    <xf numFmtId="0" fontId="13" fillId="11" borderId="0" xfId="0" applyFont="1" applyFill="1"/>
    <xf numFmtId="165" fontId="13" fillId="0" borderId="0" xfId="0" applyNumberFormat="1" applyFont="1" applyAlignment="1">
      <alignment horizontal="right"/>
    </xf>
    <xf numFmtId="9" fontId="16" fillId="11" borderId="3" xfId="0" applyNumberFormat="1" applyFont="1" applyFill="1" applyBorder="1" applyAlignment="1">
      <alignment horizontal="right"/>
    </xf>
    <xf numFmtId="166" fontId="16" fillId="11" borderId="3" xfId="0" applyNumberFormat="1" applyFont="1" applyFill="1" applyBorder="1" applyAlignment="1">
      <alignment horizontal="right"/>
    </xf>
    <xf numFmtId="3" fontId="16" fillId="11" borderId="3" xfId="0" applyNumberFormat="1" applyFont="1" applyFill="1" applyBorder="1" applyAlignment="1">
      <alignment horizontal="right"/>
    </xf>
    <xf numFmtId="165" fontId="16" fillId="11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4" fontId="12" fillId="2" borderId="0" xfId="0" applyNumberFormat="1" applyFont="1" applyFill="1" applyAlignment="1">
      <alignment horizontal="right" wrapText="1"/>
    </xf>
    <xf numFmtId="0" fontId="17" fillId="2" borderId="0" xfId="0" applyFont="1" applyFill="1" applyAlignment="1">
      <alignment horizontal="left"/>
    </xf>
    <xf numFmtId="3" fontId="18" fillId="2" borderId="0" xfId="0" applyNumberFormat="1" applyFont="1" applyFill="1"/>
    <xf numFmtId="3" fontId="17" fillId="2" borderId="0" xfId="0" applyNumberFormat="1" applyFont="1" applyFill="1"/>
    <xf numFmtId="0" fontId="12" fillId="2" borderId="0" xfId="0" applyFont="1" applyFill="1" applyAlignment="1">
      <alignment horizontal="right" wrapText="1"/>
    </xf>
    <xf numFmtId="164" fontId="1" fillId="0" borderId="0" xfId="0" applyNumberFormat="1" applyFont="1"/>
    <xf numFmtId="4" fontId="1" fillId="0" borderId="0" xfId="0" applyNumberFormat="1" applyFont="1"/>
    <xf numFmtId="0" fontId="17" fillId="2" borderId="3" xfId="0" applyFont="1" applyFill="1" applyBorder="1" applyAlignment="1">
      <alignment horizontal="left"/>
    </xf>
    <xf numFmtId="3" fontId="17" fillId="2" borderId="3" xfId="0" applyNumberFormat="1" applyFont="1" applyFill="1" applyBorder="1"/>
    <xf numFmtId="0" fontId="13" fillId="0" borderId="4" xfId="0" applyFont="1" applyBorder="1"/>
    <xf numFmtId="0" fontId="13" fillId="0" borderId="4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1" fillId="0" borderId="0" xfId="0" applyFont="1"/>
    <xf numFmtId="4" fontId="12" fillId="2" borderId="0" xfId="0" applyNumberFormat="1" applyFont="1" applyFill="1" applyAlignment="1">
      <alignment horizontal="left" wrapText="1"/>
    </xf>
    <xf numFmtId="1" fontId="13" fillId="0" borderId="0" xfId="0" applyNumberFormat="1" applyFont="1" applyAlignment="1">
      <alignment horizontal="right"/>
    </xf>
    <xf numFmtId="0" fontId="19" fillId="12" borderId="1" xfId="0" applyFont="1" applyFill="1" applyBorder="1" applyAlignment="1">
      <alignment horizontal="center"/>
    </xf>
    <xf numFmtId="0" fontId="19" fillId="12" borderId="5" xfId="0" applyFont="1" applyFill="1" applyBorder="1" applyAlignment="1">
      <alignment horizontal="center"/>
    </xf>
    <xf numFmtId="0" fontId="12" fillId="2" borderId="0" xfId="0" applyFont="1" applyFill="1" applyAlignment="1">
      <alignment horizontal="left" wrapText="1"/>
    </xf>
    <xf numFmtId="0" fontId="1" fillId="0" borderId="1" xfId="0" applyFont="1" applyBorder="1" applyAlignment="1">
      <alignment horizontal="left"/>
    </xf>
    <xf numFmtId="9" fontId="1" fillId="0" borderId="1" xfId="0" applyNumberFormat="1" applyFont="1" applyBorder="1"/>
    <xf numFmtId="0" fontId="13" fillId="0" borderId="1" xfId="0" applyFont="1" applyBorder="1"/>
    <xf numFmtId="9" fontId="13" fillId="0" borderId="1" xfId="0" applyNumberFormat="1" applyFont="1" applyBorder="1" applyAlignment="1">
      <alignment horizontal="right"/>
    </xf>
    <xf numFmtId="9" fontId="15" fillId="0" borderId="1" xfId="0" applyNumberFormat="1" applyFont="1" applyBorder="1" applyAlignment="1">
      <alignment horizontal="right"/>
    </xf>
    <xf numFmtId="0" fontId="13" fillId="0" borderId="6" xfId="0" applyFont="1" applyBorder="1" applyAlignment="1">
      <alignment horizontal="center"/>
    </xf>
    <xf numFmtId="0" fontId="13" fillId="13" borderId="7" xfId="0" applyFont="1" applyFill="1" applyBorder="1" applyAlignment="1">
      <alignment horizontal="center"/>
    </xf>
    <xf numFmtId="0" fontId="13" fillId="14" borderId="7" xfId="0" applyFont="1" applyFill="1" applyBorder="1" applyAlignment="1">
      <alignment horizontal="center"/>
    </xf>
    <xf numFmtId="0" fontId="13" fillId="0" borderId="0" xfId="0" applyFont="1"/>
    <xf numFmtId="0" fontId="1" fillId="0" borderId="4" xfId="0" applyFont="1" applyBorder="1" applyAlignment="1">
      <alignment horizontal="left"/>
    </xf>
    <xf numFmtId="9" fontId="1" fillId="0" borderId="4" xfId="0" applyNumberFormat="1" applyFont="1" applyBorder="1"/>
    <xf numFmtId="0" fontId="19" fillId="12" borderId="6" xfId="0" applyFont="1" applyFill="1" applyBorder="1" applyAlignment="1">
      <alignment horizontal="center"/>
    </xf>
    <xf numFmtId="0" fontId="19" fillId="12" borderId="7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5" fillId="0" borderId="4" xfId="0" applyFont="1" applyBorder="1"/>
    <xf numFmtId="165" fontId="15" fillId="0" borderId="4" xfId="0" applyNumberFormat="1" applyFont="1" applyBorder="1" applyAlignment="1">
      <alignment horizontal="right"/>
    </xf>
    <xf numFmtId="1" fontId="13" fillId="15" borderId="6" xfId="0" applyNumberFormat="1" applyFont="1" applyFill="1" applyBorder="1" applyAlignment="1">
      <alignment horizontal="center"/>
    </xf>
    <xf numFmtId="1" fontId="13" fillId="16" borderId="7" xfId="0" applyNumberFormat="1" applyFont="1" applyFill="1" applyBorder="1" applyAlignment="1">
      <alignment horizontal="center"/>
    </xf>
    <xf numFmtId="1" fontId="13" fillId="17" borderId="7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right"/>
    </xf>
    <xf numFmtId="165" fontId="13" fillId="0" borderId="0" xfId="0" applyNumberFormat="1" applyFont="1"/>
    <xf numFmtId="0" fontId="13" fillId="0" borderId="3" xfId="0" applyFont="1" applyBorder="1"/>
    <xf numFmtId="3" fontId="13" fillId="0" borderId="3" xfId="0" applyNumberFormat="1" applyFont="1" applyBorder="1" applyAlignment="1">
      <alignment horizontal="right"/>
    </xf>
    <xf numFmtId="9" fontId="13" fillId="0" borderId="3" xfId="0" applyNumberFormat="1" applyFont="1" applyBorder="1" applyAlignment="1">
      <alignment horizontal="right"/>
    </xf>
    <xf numFmtId="9" fontId="21" fillId="2" borderId="0" xfId="0" applyNumberFormat="1" applyFont="1" applyFill="1" applyAlignment="1">
      <alignment horizontal="right"/>
    </xf>
    <xf numFmtId="9" fontId="21" fillId="2" borderId="0" xfId="0" applyNumberFormat="1" applyFont="1" applyFill="1"/>
    <xf numFmtId="1" fontId="21" fillId="2" borderId="0" xfId="0" applyNumberFormat="1" applyFont="1" applyFill="1"/>
    <xf numFmtId="0" fontId="21" fillId="2" borderId="0" xfId="0" applyFont="1" applyFill="1"/>
    <xf numFmtId="0" fontId="0" fillId="2" borderId="0" xfId="0" applyFill="1" applyAlignment="1">
      <alignment horizontal="left"/>
    </xf>
    <xf numFmtId="0" fontId="1" fillId="0" borderId="3" xfId="0" applyFont="1" applyBorder="1" applyAlignment="1">
      <alignment horizontal="left"/>
    </xf>
    <xf numFmtId="9" fontId="1" fillId="0" borderId="3" xfId="0" applyNumberFormat="1" applyFont="1" applyBorder="1"/>
    <xf numFmtId="3" fontId="1" fillId="0" borderId="3" xfId="0" applyNumberFormat="1" applyFont="1" applyBorder="1"/>
    <xf numFmtId="0" fontId="1" fillId="0" borderId="3" xfId="0" applyFont="1" applyBorder="1"/>
    <xf numFmtId="1" fontId="1" fillId="0" borderId="3" xfId="0" applyNumberFormat="1" applyFont="1" applyBorder="1"/>
    <xf numFmtId="1" fontId="21" fillId="2" borderId="3" xfId="0" applyNumberFormat="1" applyFont="1" applyFill="1" applyBorder="1"/>
    <xf numFmtId="0" fontId="10" fillId="3" borderId="8" xfId="0" applyFont="1" applyFill="1" applyBorder="1" applyAlignment="1">
      <alignment horizontal="left"/>
    </xf>
    <xf numFmtId="167" fontId="1" fillId="0" borderId="0" xfId="0" applyNumberFormat="1" applyFont="1"/>
    <xf numFmtId="3" fontId="15" fillId="2" borderId="0" xfId="0" applyNumberFormat="1" applyFont="1" applyFill="1" applyAlignment="1">
      <alignment horizontal="right"/>
    </xf>
    <xf numFmtId="1" fontId="15" fillId="2" borderId="0" xfId="0" applyNumberFormat="1" applyFont="1" applyFill="1"/>
    <xf numFmtId="0" fontId="22" fillId="2" borderId="0" xfId="0" applyFont="1" applyFill="1" applyAlignment="1">
      <alignment horizontal="right" wrapText="1"/>
    </xf>
    <xf numFmtId="167" fontId="23" fillId="2" borderId="0" xfId="0" applyNumberFormat="1" applyFont="1" applyFill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1" fontId="23" fillId="2" borderId="0" xfId="0" applyNumberFormat="1" applyFont="1" applyFill="1" applyAlignment="1">
      <alignment horizontal="right"/>
    </xf>
    <xf numFmtId="9" fontId="15" fillId="2" borderId="0" xfId="0" applyNumberFormat="1" applyFont="1" applyFill="1" applyAlignment="1">
      <alignment horizontal="right"/>
    </xf>
    <xf numFmtId="167" fontId="13" fillId="2" borderId="0" xfId="0" applyNumberFormat="1" applyFont="1" applyFill="1" applyAlignment="1">
      <alignment horizontal="right"/>
    </xf>
    <xf numFmtId="0" fontId="15" fillId="2" borderId="0" xfId="0" applyFont="1" applyFill="1"/>
    <xf numFmtId="1" fontId="24" fillId="18" borderId="0" xfId="0" applyNumberFormat="1" applyFont="1" applyFill="1" applyAlignment="1">
      <alignment horizontal="right"/>
    </xf>
    <xf numFmtId="1" fontId="24" fillId="2" borderId="0" xfId="0" applyNumberFormat="1" applyFont="1" applyFill="1" applyAlignment="1">
      <alignment horizontal="right"/>
    </xf>
    <xf numFmtId="2" fontId="0" fillId="2" borderId="0" xfId="0" applyNumberFormat="1" applyFill="1"/>
    <xf numFmtId="0" fontId="25" fillId="0" borderId="1" xfId="0" applyFont="1" applyBorder="1" applyAlignment="1">
      <alignment horizontal="right" wrapText="1"/>
    </xf>
    <xf numFmtId="1" fontId="25" fillId="0" borderId="1" xfId="0" applyNumberFormat="1" applyFont="1" applyBorder="1" applyAlignment="1">
      <alignment horizontal="left" wrapText="1"/>
    </xf>
    <xf numFmtId="9" fontId="26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1" fontId="27" fillId="2" borderId="0" xfId="0" applyNumberFormat="1" applyFont="1" applyFill="1" applyAlignment="1">
      <alignment horizontal="right"/>
    </xf>
    <xf numFmtId="4" fontId="12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3" fontId="7" fillId="6" borderId="0" xfId="0" applyNumberFormat="1" applyFont="1" applyFill="1" applyAlignment="1">
      <alignment horizontal="right"/>
    </xf>
    <xf numFmtId="1" fontId="13" fillId="2" borderId="0" xfId="0" applyNumberFormat="1" applyFont="1" applyFill="1" applyAlignment="1">
      <alignment horizontal="right"/>
    </xf>
    <xf numFmtId="9" fontId="0" fillId="0" borderId="0" xfId="0" applyNumberFormat="1"/>
    <xf numFmtId="167" fontId="28" fillId="2" borderId="0" xfId="0" applyNumberFormat="1" applyFont="1" applyFill="1" applyAlignment="1">
      <alignment horizontal="right"/>
    </xf>
    <xf numFmtId="0" fontId="13" fillId="2" borderId="0" xfId="0" applyFont="1" applyFill="1"/>
    <xf numFmtId="1" fontId="24" fillId="19" borderId="0" xfId="0" applyNumberFormat="1" applyFont="1" applyFill="1" applyAlignment="1">
      <alignment horizontal="right"/>
    </xf>
    <xf numFmtId="9" fontId="0" fillId="2" borderId="4" xfId="0" applyNumberFormat="1" applyFill="1" applyBorder="1"/>
    <xf numFmtId="0" fontId="29" fillId="0" borderId="0" xfId="0" applyFont="1"/>
    <xf numFmtId="9" fontId="29" fillId="0" borderId="0" xfId="0" applyNumberFormat="1" applyFont="1"/>
    <xf numFmtId="1" fontId="23" fillId="18" borderId="0" xfId="0" applyNumberFormat="1" applyFont="1" applyFill="1" applyAlignment="1">
      <alignment horizontal="right"/>
    </xf>
    <xf numFmtId="167" fontId="7" fillId="6" borderId="0" xfId="0" applyNumberFormat="1" applyFont="1" applyFill="1" applyAlignment="1">
      <alignment horizontal="right"/>
    </xf>
    <xf numFmtId="3" fontId="24" fillId="2" borderId="0" xfId="0" applyNumberFormat="1" applyFont="1" applyFill="1" applyAlignment="1">
      <alignment horizontal="right"/>
    </xf>
    <xf numFmtId="167" fontId="24" fillId="2" borderId="0" xfId="0" applyNumberFormat="1" applyFont="1" applyFill="1" applyAlignment="1">
      <alignment horizontal="right"/>
    </xf>
    <xf numFmtId="1" fontId="15" fillId="18" borderId="0" xfId="0" applyNumberFormat="1" applyFont="1" applyFill="1"/>
    <xf numFmtId="167" fontId="15" fillId="2" borderId="0" xfId="0" applyNumberFormat="1" applyFont="1" applyFill="1" applyAlignment="1">
      <alignment horizontal="right"/>
    </xf>
    <xf numFmtId="1" fontId="15" fillId="2" borderId="0" xfId="0" applyNumberFormat="1" applyFont="1" applyFill="1" applyAlignment="1">
      <alignment horizontal="right"/>
    </xf>
    <xf numFmtId="1" fontId="15" fillId="19" borderId="0" xfId="0" applyNumberFormat="1" applyFont="1" applyFill="1"/>
    <xf numFmtId="167" fontId="15" fillId="2" borderId="3" xfId="0" applyNumberFormat="1" applyFont="1" applyFill="1" applyBorder="1"/>
    <xf numFmtId="0" fontId="15" fillId="2" borderId="3" xfId="0" applyFont="1" applyFill="1" applyBorder="1"/>
    <xf numFmtId="3" fontId="23" fillId="2" borderId="3" xfId="0" applyNumberFormat="1" applyFont="1" applyFill="1" applyBorder="1" applyAlignment="1">
      <alignment horizontal="right"/>
    </xf>
    <xf numFmtId="1" fontId="15" fillId="2" borderId="3" xfId="0" applyNumberFormat="1" applyFont="1" applyFill="1" applyBorder="1"/>
    <xf numFmtId="3" fontId="15" fillId="2" borderId="3" xfId="0" applyNumberFormat="1" applyFont="1" applyFill="1" applyBorder="1" applyAlignment="1">
      <alignment horizontal="right"/>
    </xf>
    <xf numFmtId="1" fontId="24" fillId="2" borderId="3" xfId="0" applyNumberFormat="1" applyFont="1" applyFill="1" applyBorder="1" applyAlignment="1">
      <alignment horizontal="right"/>
    </xf>
    <xf numFmtId="0" fontId="0" fillId="2" borderId="3" xfId="0" applyFill="1" applyBorder="1"/>
    <xf numFmtId="3" fontId="30" fillId="7" borderId="0" xfId="0" applyNumberFormat="1" applyFont="1" applyFill="1"/>
    <xf numFmtId="167" fontId="1" fillId="0" borderId="0" xfId="0" applyNumberFormat="1" applyFont="1" applyAlignment="1">
      <alignment horizontal="right"/>
    </xf>
    <xf numFmtId="167" fontId="30" fillId="7" borderId="0" xfId="0" applyNumberFormat="1" applyFont="1" applyFill="1" applyAlignment="1">
      <alignment horizontal="right"/>
    </xf>
    <xf numFmtId="0" fontId="30" fillId="7" borderId="0" xfId="0" applyFont="1" applyFill="1"/>
    <xf numFmtId="0" fontId="31" fillId="7" borderId="0" xfId="0" applyFont="1" applyFill="1" applyAlignment="1">
      <alignment horizontal="left"/>
    </xf>
    <xf numFmtId="3" fontId="31" fillId="7" borderId="0" xfId="0" applyNumberFormat="1" applyFont="1" applyFill="1" applyAlignment="1">
      <alignment horizontal="left"/>
    </xf>
    <xf numFmtId="167" fontId="31" fillId="7" borderId="0" xfId="0" applyNumberFormat="1" applyFont="1" applyFill="1" applyAlignment="1">
      <alignment horizontal="right"/>
    </xf>
    <xf numFmtId="10" fontId="0" fillId="2" borderId="0" xfId="0" applyNumberFormat="1" applyFill="1"/>
    <xf numFmtId="164" fontId="20" fillId="11" borderId="0" xfId="0" applyNumberFormat="1" applyFont="1" applyFill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Revenue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Dashboard!$C$35</c:f>
              <c:strCache>
                <c:ptCount val="1"/>
                <c:pt idx="0">
                  <c:v>42714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4078-4DCD-A2D3-49C69415B57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4078-4DCD-A2D3-49C69415B57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4078-4DCD-A2D3-49C69415B57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4078-4DCD-A2D3-49C69415B57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4078-4DCD-A2D3-49C69415B572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4078-4DCD-A2D3-49C69415B572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4078-4DCD-A2D3-49C69415B572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4078-4DCD-A2D3-49C69415B572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4078-4DCD-A2D3-49C69415B572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4078-4DCD-A2D3-49C69415B57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Dashboard!$B$36:$B$45</c:f>
              <c:strCache>
                <c:ptCount val="10"/>
                <c:pt idx="0">
                  <c:v>BAYERCROP</c:v>
                </c:pt>
                <c:pt idx="1">
                  <c:v>PIIND</c:v>
                </c:pt>
                <c:pt idx="2">
                  <c:v>SHARDACROP</c:v>
                </c:pt>
                <c:pt idx="3">
                  <c:v>RALLIS</c:v>
                </c:pt>
                <c:pt idx="4">
                  <c:v>INSECTICID</c:v>
                </c:pt>
                <c:pt idx="5">
                  <c:v>SUMICHEM</c:v>
                </c:pt>
                <c:pt idx="6">
                  <c:v>DHANUKA</c:v>
                </c:pt>
                <c:pt idx="7">
                  <c:v>BHARATRAS</c:v>
                </c:pt>
                <c:pt idx="8">
                  <c:v>NACLIND</c:v>
                </c:pt>
                <c:pt idx="9">
                  <c:v>PUNJABCHEM</c:v>
                </c:pt>
              </c:strCache>
            </c:strRef>
          </c:cat>
          <c:val>
            <c:numRef>
              <c:f>Dashboard!$C$36:$C$45</c:f>
              <c:numCache>
                <c:formatCode>0</c:formatCode>
                <c:ptCount val="10"/>
                <c:pt idx="0">
                  <c:v>28130.730341999999</c:v>
                </c:pt>
                <c:pt idx="1">
                  <c:v>57336.694092600002</c:v>
                </c:pt>
                <c:pt idx="2">
                  <c:v>4071.1991600000001</c:v>
                </c:pt>
                <c:pt idx="3">
                  <c:v>6606.1947706999999</c:v>
                </c:pt>
                <c:pt idx="4">
                  <c:v>2129.6279749999999</c:v>
                </c:pt>
                <c:pt idx="5">
                  <c:v>24824.364825699999</c:v>
                </c:pt>
                <c:pt idx="6">
                  <c:v>7705.2329957000002</c:v>
                </c:pt>
                <c:pt idx="7">
                  <c:v>5221.7014600000002</c:v>
                </c:pt>
                <c:pt idx="8">
                  <c:v>1553.2021694</c:v>
                </c:pt>
                <c:pt idx="9">
                  <c:v>1662.1998696999999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078-4DCD-A2D3-49C69415B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Revenue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Dashboard!$D$34</c:f>
              <c:strCache>
                <c:ptCount val="1"/>
                <c:pt idx="0">
                  <c:v>Revenue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EA8E-4926-9562-D8130C7465F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EA8E-4926-9562-D8130C7465F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EA8E-4926-9562-D8130C7465F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EA8E-4926-9562-D8130C7465F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EA8E-4926-9562-D8130C7465F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EA8E-4926-9562-D8130C7465FF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EA8E-4926-9562-D8130C7465FF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EA8E-4926-9562-D8130C7465FF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EA8E-4926-9562-D8130C7465FF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EA8E-4926-9562-D8130C7465FF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EA8E-4926-9562-D8130C7465FF}"/>
              </c:ext>
            </c:extLst>
          </c:dPt>
          <c:cat>
            <c:strRef>
              <c:f>Dashboard!$B$35:$B$45</c:f>
              <c:strCache>
                <c:ptCount val="11"/>
                <c:pt idx="0">
                  <c:v>UPL</c:v>
                </c:pt>
                <c:pt idx="1">
                  <c:v>BAYERCROP</c:v>
                </c:pt>
                <c:pt idx="2">
                  <c:v>PIIND</c:v>
                </c:pt>
                <c:pt idx="3">
                  <c:v>SHARDACROP</c:v>
                </c:pt>
                <c:pt idx="4">
                  <c:v>RALLIS</c:v>
                </c:pt>
                <c:pt idx="5">
                  <c:v>INSECTICID</c:v>
                </c:pt>
                <c:pt idx="6">
                  <c:v>SUMICHEM</c:v>
                </c:pt>
                <c:pt idx="7">
                  <c:v>DHANUKA</c:v>
                </c:pt>
                <c:pt idx="8">
                  <c:v>BHARATRAS</c:v>
                </c:pt>
                <c:pt idx="9">
                  <c:v>NACLIND</c:v>
                </c:pt>
                <c:pt idx="10">
                  <c:v>PUNJABCHEM</c:v>
                </c:pt>
              </c:strCache>
            </c:strRef>
          </c:cat>
          <c:val>
            <c:numRef>
              <c:f>Dashboard!$D$35:$D$45</c:f>
              <c:numCache>
                <c:formatCode>0</c:formatCode>
                <c:ptCount val="11"/>
                <c:pt idx="0">
                  <c:v>43098</c:v>
                </c:pt>
                <c:pt idx="1">
                  <c:v>5103</c:v>
                </c:pt>
                <c:pt idx="2">
                  <c:v>7666</c:v>
                </c:pt>
                <c:pt idx="3">
                  <c:v>3163</c:v>
                </c:pt>
                <c:pt idx="4">
                  <c:v>2648</c:v>
                </c:pt>
                <c:pt idx="5">
                  <c:v>1966</c:v>
                </c:pt>
                <c:pt idx="6">
                  <c:v>2833</c:v>
                </c:pt>
                <c:pt idx="7">
                  <c:v>1758</c:v>
                </c:pt>
                <c:pt idx="8">
                  <c:v>1045</c:v>
                </c:pt>
                <c:pt idx="9">
                  <c:v>1779</c:v>
                </c:pt>
                <c:pt idx="10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A8E-4926-9562-D8130C746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Dashboard!$C$55</c:f>
              <c:strCache>
                <c:ptCount val="1"/>
                <c:pt idx="0">
                  <c:v>Profit Margin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Dashboard!$B$56:$B$68</c:f>
              <c:strCache>
                <c:ptCount val="13"/>
                <c:pt idx="0">
                  <c:v>BHARATRAS</c:v>
                </c:pt>
                <c:pt idx="1">
                  <c:v>PIIND</c:v>
                </c:pt>
                <c:pt idx="2">
                  <c:v>SUMICHEM</c:v>
                </c:pt>
                <c:pt idx="3">
                  <c:v>DHANUKA</c:v>
                </c:pt>
                <c:pt idx="4">
                  <c:v>BAYERCROP</c:v>
                </c:pt>
                <c:pt idx="5">
                  <c:v>RALLIS</c:v>
                </c:pt>
                <c:pt idx="6">
                  <c:v>INSECTICID</c:v>
                </c:pt>
                <c:pt idx="7">
                  <c:v>UPL</c:v>
                </c:pt>
                <c:pt idx="8">
                  <c:v>SHARDACROP</c:v>
                </c:pt>
                <c:pt idx="9">
                  <c:v>JUBLINDS</c:v>
                </c:pt>
                <c:pt idx="10">
                  <c:v>NACLIND</c:v>
                </c:pt>
                <c:pt idx="11">
                  <c:v>PUNJABCHEM</c:v>
                </c:pt>
                <c:pt idx="12">
                  <c:v>IndiaPest</c:v>
                </c:pt>
              </c:strCache>
            </c:strRef>
          </c:cat>
          <c:val>
            <c:numRef>
              <c:f>Dashboard!$C$56:$C$67</c:f>
              <c:numCache>
                <c:formatCode>0.0</c:formatCode>
                <c:ptCount val="12"/>
                <c:pt idx="0">
                  <c:v>16.666666666666668</c:v>
                </c:pt>
                <c:pt idx="1">
                  <c:v>16.372080440075752</c:v>
                </c:pt>
                <c:pt idx="2" formatCode="0">
                  <c:v>15.290322580645162</c:v>
                </c:pt>
                <c:pt idx="3">
                  <c:v>14.950980392156863</c:v>
                </c:pt>
                <c:pt idx="4">
                  <c:v>13.146229290186735</c:v>
                </c:pt>
                <c:pt idx="5">
                  <c:v>9.5336787564766841</c:v>
                </c:pt>
                <c:pt idx="6">
                  <c:v>8.3333333333333339</c:v>
                </c:pt>
                <c:pt idx="7">
                  <c:v>7.0951585976627713</c:v>
                </c:pt>
                <c:pt idx="8">
                  <c:v>5.7760845520462087</c:v>
                </c:pt>
                <c:pt idx="9">
                  <c:v>2.9975601254792612</c:v>
                </c:pt>
                <c:pt idx="10">
                  <c:v>1.476510067114094</c:v>
                </c:pt>
                <c:pt idx="11">
                  <c:v>1.1210762331838564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521-47D8-ABB5-4304BEA22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840318"/>
        <c:axId val="905241930"/>
      </c:barChart>
      <c:catAx>
        <c:axId val="8384031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05241930"/>
        <c:crosses val="autoZero"/>
        <c:auto val="1"/>
        <c:lblAlgn val="ctr"/>
        <c:lblOffset val="100"/>
        <c:noMultiLvlLbl val="1"/>
      </c:catAx>
      <c:valAx>
        <c:axId val="90524193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840318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 Paying Capacity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1"/>
        <c:ser>
          <c:idx val="0"/>
          <c:order val="0"/>
          <c:tx>
            <c:strRef>
              <c:f>Dashboard!$D$55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Dashboard!$B$56:$B$68</c:f>
              <c:strCache>
                <c:ptCount val="13"/>
                <c:pt idx="0">
                  <c:v>BHARATRAS</c:v>
                </c:pt>
                <c:pt idx="1">
                  <c:v>PIIND</c:v>
                </c:pt>
                <c:pt idx="2">
                  <c:v>SUMICHEM</c:v>
                </c:pt>
                <c:pt idx="3">
                  <c:v>DHANUKA</c:v>
                </c:pt>
                <c:pt idx="4">
                  <c:v>BAYERCROP</c:v>
                </c:pt>
                <c:pt idx="5">
                  <c:v>RALLIS</c:v>
                </c:pt>
                <c:pt idx="6">
                  <c:v>INSECTICID</c:v>
                </c:pt>
                <c:pt idx="7">
                  <c:v>UPL</c:v>
                </c:pt>
                <c:pt idx="8">
                  <c:v>SHARDACROP</c:v>
                </c:pt>
                <c:pt idx="9">
                  <c:v>JUBLINDS</c:v>
                </c:pt>
                <c:pt idx="10">
                  <c:v>NACLIND</c:v>
                </c:pt>
                <c:pt idx="11">
                  <c:v>PUNJABCHEM</c:v>
                </c:pt>
                <c:pt idx="12">
                  <c:v>IndiaPest</c:v>
                </c:pt>
              </c:strCache>
            </c:strRef>
          </c:cat>
          <c:val>
            <c:numRef>
              <c:f>Dashboard!$D$56:$D$68</c:f>
              <c:numCache>
                <c:formatCode>0</c:formatCode>
                <c:ptCount val="13"/>
                <c:pt idx="0">
                  <c:v>1.8259423503325942</c:v>
                </c:pt>
                <c:pt idx="1">
                  <c:v>10.56792873051225</c:v>
                </c:pt>
                <c:pt idx="2">
                  <c:v>37.082352941176474</c:v>
                </c:pt>
                <c:pt idx="3">
                  <c:v>14.884210526315789</c:v>
                </c:pt>
                <c:pt idx="4">
                  <c:v>14.215686274509803</c:v>
                </c:pt>
                <c:pt idx="5">
                  <c:v>7.9333333333333336</c:v>
                </c:pt>
                <c:pt idx="6">
                  <c:v>7.9333333333333336</c:v>
                </c:pt>
                <c:pt idx="7">
                  <c:v>30.039473684210527</c:v>
                </c:pt>
                <c:pt idx="8">
                  <c:v>1.8259423503325942</c:v>
                </c:pt>
                <c:pt idx="9">
                  <c:v>-0.39831932773109241</c:v>
                </c:pt>
                <c:pt idx="10">
                  <c:v>5.7584541062801931</c:v>
                </c:pt>
                <c:pt idx="11">
                  <c:v>-0.41317365269461076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9C8-4CCD-8D38-A688A69AB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32593941"/>
        <c:axId val="316592155"/>
        <c:axId val="0"/>
      </c:bar3DChart>
      <c:catAx>
        <c:axId val="213259394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6592155"/>
        <c:crosses val="autoZero"/>
        <c:auto val="1"/>
        <c:lblAlgn val="ctr"/>
        <c:lblOffset val="100"/>
        <c:noMultiLvlLbl val="1"/>
      </c:catAx>
      <c:valAx>
        <c:axId val="31659215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32593941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Dashboard!$C$76</c:f>
              <c:strCache>
                <c:ptCount val="1"/>
                <c:pt idx="0">
                  <c:v>Rev CAGR 2010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Dashboard!$B$77:$B$90</c:f>
              <c:strCache>
                <c:ptCount val="14"/>
                <c:pt idx="0">
                  <c:v>BHARATRAS</c:v>
                </c:pt>
                <c:pt idx="1">
                  <c:v>SHARDACROP</c:v>
                </c:pt>
                <c:pt idx="2">
                  <c:v>UPL</c:v>
                </c:pt>
                <c:pt idx="3">
                  <c:v>PIIND</c:v>
                </c:pt>
                <c:pt idx="4">
                  <c:v>ATUL</c:v>
                </c:pt>
                <c:pt idx="5">
                  <c:v>INSECTICID</c:v>
                </c:pt>
                <c:pt idx="6">
                  <c:v>DHANUKA</c:v>
                </c:pt>
                <c:pt idx="7">
                  <c:v>RALLIS</c:v>
                </c:pt>
                <c:pt idx="8">
                  <c:v>PUNJABCHEM</c:v>
                </c:pt>
                <c:pt idx="9">
                  <c:v>EXCELCROP</c:v>
                </c:pt>
                <c:pt idx="10">
                  <c:v>BAYERCROP</c:v>
                </c:pt>
                <c:pt idx="11">
                  <c:v>MONSANTO</c:v>
                </c:pt>
                <c:pt idx="12">
                  <c:v>NACLIND</c:v>
                </c:pt>
                <c:pt idx="13">
                  <c:v>JUBLINDS</c:v>
                </c:pt>
              </c:strCache>
            </c:strRef>
          </c:cat>
          <c:val>
            <c:numRef>
              <c:f>Dashboard!$C$77:$C$90</c:f>
              <c:numCache>
                <c:formatCode>0%</c:formatCode>
                <c:ptCount val="14"/>
                <c:pt idx="0">
                  <c:v>0.28868193321380575</c:v>
                </c:pt>
                <c:pt idx="1">
                  <c:v>0.28825861925655261</c:v>
                </c:pt>
                <c:pt idx="2">
                  <c:v>0.27074710335348295</c:v>
                </c:pt>
                <c:pt idx="3">
                  <c:v>0.20189492303155521</c:v>
                </c:pt>
                <c:pt idx="4">
                  <c:v>0.14563768009867006</c:v>
                </c:pt>
                <c:pt idx="5">
                  <c:v>0.12981425213645359</c:v>
                </c:pt>
                <c:pt idx="6">
                  <c:v>0.10816584090024017</c:v>
                </c:pt>
                <c:pt idx="7">
                  <c:v>9.3183227892099874E-2</c:v>
                </c:pt>
                <c:pt idx="8">
                  <c:v>8.0067129854201946E-2</c:v>
                </c:pt>
                <c:pt idx="9">
                  <c:v>7.9704181807853214E-2</c:v>
                </c:pt>
                <c:pt idx="10">
                  <c:v>7.188873651087202E-2</c:v>
                </c:pt>
                <c:pt idx="11">
                  <c:v>6.304448394124873E-2</c:v>
                </c:pt>
                <c:pt idx="12">
                  <c:v>3.4110609376438283E-2</c:v>
                </c:pt>
                <c:pt idx="13">
                  <c:v>-1.808294428699353E-2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79E-4B9A-8CC2-B08BA9F57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914390"/>
        <c:axId val="1298954393"/>
      </c:barChart>
      <c:catAx>
        <c:axId val="16389143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98954393"/>
        <c:crosses val="autoZero"/>
        <c:auto val="1"/>
        <c:lblAlgn val="ctr"/>
        <c:lblOffset val="100"/>
        <c:noMultiLvlLbl val="1"/>
      </c:catAx>
      <c:valAx>
        <c:axId val="12989543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3891439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Dashboard!$D$76</c:f>
              <c:strCache>
                <c:ptCount val="1"/>
                <c:pt idx="0">
                  <c:v>Profit CAGR 2010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Dashboard!$B$77:$B$90</c:f>
              <c:strCache>
                <c:ptCount val="14"/>
                <c:pt idx="0">
                  <c:v>BHARATRAS</c:v>
                </c:pt>
                <c:pt idx="1">
                  <c:v>SHARDACROP</c:v>
                </c:pt>
                <c:pt idx="2">
                  <c:v>UPL</c:v>
                </c:pt>
                <c:pt idx="3">
                  <c:v>PIIND</c:v>
                </c:pt>
                <c:pt idx="4">
                  <c:v>ATUL</c:v>
                </c:pt>
                <c:pt idx="5">
                  <c:v>INSECTICID</c:v>
                </c:pt>
                <c:pt idx="6">
                  <c:v>DHANUKA</c:v>
                </c:pt>
                <c:pt idx="7">
                  <c:v>RALLIS</c:v>
                </c:pt>
                <c:pt idx="8">
                  <c:v>PUNJABCHEM</c:v>
                </c:pt>
                <c:pt idx="9">
                  <c:v>EXCELCROP</c:v>
                </c:pt>
                <c:pt idx="10">
                  <c:v>BAYERCROP</c:v>
                </c:pt>
                <c:pt idx="11">
                  <c:v>MONSANTO</c:v>
                </c:pt>
                <c:pt idx="12">
                  <c:v>NACLIND</c:v>
                </c:pt>
                <c:pt idx="13">
                  <c:v>JUBLINDS</c:v>
                </c:pt>
              </c:strCache>
            </c:strRef>
          </c:cat>
          <c:val>
            <c:numRef>
              <c:f>Dashboard!$D$77:$D$90</c:f>
              <c:numCache>
                <c:formatCode>0%</c:formatCode>
                <c:ptCount val="14"/>
                <c:pt idx="0">
                  <c:v>0.38487979770442471</c:v>
                </c:pt>
                <c:pt idx="1">
                  <c:v>0.33263490922602346</c:v>
                </c:pt>
                <c:pt idx="2">
                  <c:v>0.2651824098400144</c:v>
                </c:pt>
                <c:pt idx="3">
                  <c:v>0.29181231397999952</c:v>
                </c:pt>
                <c:pt idx="4">
                  <c:v>0.25365798270565998</c:v>
                </c:pt>
                <c:pt idx="5">
                  <c:v>0.1736253749174006</c:v>
                </c:pt>
                <c:pt idx="6">
                  <c:v>0.13368656708118509</c:v>
                </c:pt>
                <c:pt idx="7">
                  <c:v>4.8468095480662443E-2</c:v>
                </c:pt>
                <c:pt idx="8">
                  <c:v>-6.1227868214537184E-2</c:v>
                </c:pt>
                <c:pt idx="9">
                  <c:v>0.10181762610539469</c:v>
                </c:pt>
                <c:pt idx="10">
                  <c:v>0.1086635945790122</c:v>
                </c:pt>
                <c:pt idx="11">
                  <c:v>0.14990639003964934</c:v>
                </c:pt>
                <c:pt idx="12">
                  <c:v>0</c:v>
                </c:pt>
                <c:pt idx="13">
                  <c:v>-0.3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A4A-47EA-9F35-00F427B0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6295799"/>
        <c:axId val="1274039760"/>
      </c:barChart>
      <c:catAx>
        <c:axId val="14962957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74039760"/>
        <c:crosses val="autoZero"/>
        <c:auto val="1"/>
        <c:lblAlgn val="ctr"/>
        <c:lblOffset val="100"/>
        <c:noMultiLvlLbl val="1"/>
      </c:catAx>
      <c:valAx>
        <c:axId val="12740397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9629579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Dashboard!$D$97</c:f>
              <c:strCache>
                <c:ptCount val="1"/>
                <c:pt idx="0">
                  <c:v>Price Cagr 2010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Dashboard!$B$98:$B$111</c:f>
              <c:strCache>
                <c:ptCount val="14"/>
                <c:pt idx="0">
                  <c:v>PIIND</c:v>
                </c:pt>
                <c:pt idx="1">
                  <c:v>UPL</c:v>
                </c:pt>
                <c:pt idx="2">
                  <c:v>BHARATRAS</c:v>
                </c:pt>
                <c:pt idx="3">
                  <c:v>DHANUKA</c:v>
                </c:pt>
                <c:pt idx="4">
                  <c:v>ATUL</c:v>
                </c:pt>
                <c:pt idx="5">
                  <c:v>RALLIS</c:v>
                </c:pt>
                <c:pt idx="6">
                  <c:v>NACLIND</c:v>
                </c:pt>
                <c:pt idx="7">
                  <c:v>PUNJABCHEM</c:v>
                </c:pt>
                <c:pt idx="8">
                  <c:v>BAYERCROP</c:v>
                </c:pt>
                <c:pt idx="9">
                  <c:v>INSECTICID</c:v>
                </c:pt>
                <c:pt idx="10">
                  <c:v>Sumichem</c:v>
                </c:pt>
                <c:pt idx="11">
                  <c:v>JUBLINDS</c:v>
                </c:pt>
                <c:pt idx="12">
                  <c:v>MONSANTO</c:v>
                </c:pt>
                <c:pt idx="13">
                  <c:v>SHARDACROP</c:v>
                </c:pt>
              </c:strCache>
            </c:strRef>
          </c:cat>
          <c:val>
            <c:numRef>
              <c:f>Dashboard!$D$98:$D$111</c:f>
              <c:numCache>
                <c:formatCode>0%</c:formatCode>
                <c:ptCount val="14"/>
                <c:pt idx="0">
                  <c:v>0.5630708686657746</c:v>
                </c:pt>
                <c:pt idx="1">
                  <c:v>0.15983220572362788</c:v>
                </c:pt>
                <c:pt idx="2">
                  <c:v>0.66943370340192265</c:v>
                </c:pt>
                <c:pt idx="3">
                  <c:v>0.30060688002492686</c:v>
                </c:pt>
                <c:pt idx="4">
                  <c:v>0.70715301670946551</c:v>
                </c:pt>
                <c:pt idx="5">
                  <c:v>0.124695876745613</c:v>
                </c:pt>
                <c:pt idx="6">
                  <c:v>2.5272278796327763E-2</c:v>
                </c:pt>
                <c:pt idx="7">
                  <c:v>0.13034983075343498</c:v>
                </c:pt>
                <c:pt idx="8">
                  <c:v>0.23854055407397445</c:v>
                </c:pt>
                <c:pt idx="9">
                  <c:v>0.25993539260525722</c:v>
                </c:pt>
                <c:pt idx="11">
                  <c:v>-6.7127252612600108E-2</c:v>
                </c:pt>
                <c:pt idx="13">
                  <c:v>-2.6995632784709511E-2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5FA-47B6-867C-EFEB5A38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3386943"/>
        <c:axId val="687707400"/>
      </c:barChart>
      <c:catAx>
        <c:axId val="7433869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87707400"/>
        <c:crosses val="autoZero"/>
        <c:auto val="1"/>
        <c:lblAlgn val="ctr"/>
        <c:lblOffset val="100"/>
        <c:noMultiLvlLbl val="1"/>
      </c:catAx>
      <c:valAx>
        <c:axId val="6877074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4338694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Dashboard!$C$117</c:f>
              <c:strCache>
                <c:ptCount val="1"/>
                <c:pt idx="0">
                  <c:v>Cy Rev 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Dashboard!$B$118:$B$130</c:f>
              <c:strCache>
                <c:ptCount val="13"/>
                <c:pt idx="0">
                  <c:v>UPL</c:v>
                </c:pt>
                <c:pt idx="1">
                  <c:v>BAYERCROP</c:v>
                </c:pt>
                <c:pt idx="2">
                  <c:v>PIIND</c:v>
                </c:pt>
                <c:pt idx="3">
                  <c:v>SHARDACROP</c:v>
                </c:pt>
                <c:pt idx="4">
                  <c:v>RALLIS</c:v>
                </c:pt>
                <c:pt idx="5">
                  <c:v>INSECTICID</c:v>
                </c:pt>
                <c:pt idx="6">
                  <c:v>SUMICHEM</c:v>
                </c:pt>
                <c:pt idx="7">
                  <c:v>DHANUKA</c:v>
                </c:pt>
                <c:pt idx="8">
                  <c:v>BHARATRAS</c:v>
                </c:pt>
                <c:pt idx="9">
                  <c:v>NACLIND</c:v>
                </c:pt>
                <c:pt idx="10">
                  <c:v>PUNJABCHEM</c:v>
                </c:pt>
                <c:pt idx="12">
                  <c:v>Grand Total</c:v>
                </c:pt>
              </c:strCache>
            </c:strRef>
          </c:cat>
          <c:val>
            <c:numRef>
              <c:f>Dashboard!$C$118:$C$130</c:f>
              <c:numCache>
                <c:formatCode>0%</c:formatCode>
                <c:ptCount val="13"/>
                <c:pt idx="0">
                  <c:v>-0.1956</c:v>
                </c:pt>
                <c:pt idx="1">
                  <c:v>-7.1999999999999998E-3</c:v>
                </c:pt>
                <c:pt idx="2">
                  <c:v>0.18079999999999999</c:v>
                </c:pt>
                <c:pt idx="3">
                  <c:v>-0.21804697156983932</c:v>
                </c:pt>
                <c:pt idx="4">
                  <c:v>-0.1075160094371419</c:v>
                </c:pt>
                <c:pt idx="5">
                  <c:v>8.6063298167684543E-2</c:v>
                </c:pt>
                <c:pt idx="6">
                  <c:v>-0.19</c:v>
                </c:pt>
                <c:pt idx="7">
                  <c:v>3.4705882352941142E-2</c:v>
                </c:pt>
                <c:pt idx="8">
                  <c:v>-0.15316045380875198</c:v>
                </c:pt>
                <c:pt idx="9">
                  <c:v>-0.15926275992438566</c:v>
                </c:pt>
                <c:pt idx="10">
                  <c:v>-7.1570576540755493E-2</c:v>
                </c:pt>
                <c:pt idx="12">
                  <c:v>-0.1075160094371419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000-4F52-9EDD-5A77F6D78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5801745"/>
        <c:axId val="166676043"/>
      </c:barChart>
      <c:catAx>
        <c:axId val="10758017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6676043"/>
        <c:crosses val="autoZero"/>
        <c:auto val="1"/>
        <c:lblAlgn val="ctr"/>
        <c:lblOffset val="100"/>
        <c:noMultiLvlLbl val="1"/>
      </c:catAx>
      <c:valAx>
        <c:axId val="1666760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7580174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Dashboard!$D$117</c:f>
              <c:strCache>
                <c:ptCount val="1"/>
                <c:pt idx="0">
                  <c:v>Cy Profit 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Dashboard!$B$118:$B$130</c:f>
              <c:strCache>
                <c:ptCount val="13"/>
                <c:pt idx="0">
                  <c:v>UPL</c:v>
                </c:pt>
                <c:pt idx="1">
                  <c:v>BAYERCROP</c:v>
                </c:pt>
                <c:pt idx="2">
                  <c:v>PIIND</c:v>
                </c:pt>
                <c:pt idx="3">
                  <c:v>SHARDACROP</c:v>
                </c:pt>
                <c:pt idx="4">
                  <c:v>RALLIS</c:v>
                </c:pt>
                <c:pt idx="5">
                  <c:v>INSECTICID</c:v>
                </c:pt>
                <c:pt idx="6">
                  <c:v>SUMICHEM</c:v>
                </c:pt>
                <c:pt idx="7">
                  <c:v>DHANUKA</c:v>
                </c:pt>
                <c:pt idx="8">
                  <c:v>BHARATRAS</c:v>
                </c:pt>
                <c:pt idx="9">
                  <c:v>NACLIND</c:v>
                </c:pt>
                <c:pt idx="10">
                  <c:v>PUNJABCHEM</c:v>
                </c:pt>
                <c:pt idx="12">
                  <c:v>Grand Total</c:v>
                </c:pt>
              </c:strCache>
            </c:strRef>
          </c:cat>
          <c:val>
            <c:numRef>
              <c:f>Dashboard!$D$118:$D$130</c:f>
              <c:numCache>
                <c:formatCode>0%</c:formatCode>
                <c:ptCount val="13"/>
                <c:pt idx="0">
                  <c:v>-1.4255</c:v>
                </c:pt>
                <c:pt idx="1">
                  <c:v>-2.24E-2</c:v>
                </c:pt>
                <c:pt idx="2">
                  <c:v>0.36749999999999999</c:v>
                </c:pt>
                <c:pt idx="3">
                  <c:v>-0.9064327485380117</c:v>
                </c:pt>
                <c:pt idx="4">
                  <c:v>0.60869565217391308</c:v>
                </c:pt>
                <c:pt idx="5">
                  <c:v>0.63492063492063489</c:v>
                </c:pt>
                <c:pt idx="6">
                  <c:v>-0.26290000000000002</c:v>
                </c:pt>
                <c:pt idx="7">
                  <c:v>2.1367521367521292E-2</c:v>
                </c:pt>
                <c:pt idx="8">
                  <c:v>-0.37404580152671751</c:v>
                </c:pt>
                <c:pt idx="9">
                  <c:v>-1.6210526315789475</c:v>
                </c:pt>
                <c:pt idx="10">
                  <c:v>-0.11475409836065575</c:v>
                </c:pt>
                <c:pt idx="12">
                  <c:v>-0.11475409836065575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493-4452-BE3F-1E8341A8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1359477"/>
        <c:axId val="1375263441"/>
      </c:barChart>
      <c:catAx>
        <c:axId val="14713594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5263441"/>
        <c:crosses val="autoZero"/>
        <c:auto val="1"/>
        <c:lblAlgn val="ctr"/>
        <c:lblOffset val="100"/>
        <c:noMultiLvlLbl val="1"/>
      </c:catAx>
      <c:valAx>
        <c:axId val="13752634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7135947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Dashboard!$D$35</c:f>
              <c:strCache>
                <c:ptCount val="1"/>
                <c:pt idx="0">
                  <c:v>43098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20AE-4B44-A8D5-91554D73F9DB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20AE-4B44-A8D5-91554D73F9DB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20AE-4B44-A8D5-91554D73F9DB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20AE-4B44-A8D5-91554D73F9DB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20AE-4B44-A8D5-91554D73F9DB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20AE-4B44-A8D5-91554D73F9DB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20AE-4B44-A8D5-91554D73F9DB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20AE-4B44-A8D5-91554D73F9DB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20AE-4B44-A8D5-91554D73F9DB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20AE-4B44-A8D5-91554D73F9D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Dashboard!$B$36:$B$45</c:f>
              <c:strCache>
                <c:ptCount val="10"/>
                <c:pt idx="0">
                  <c:v>BAYERCROP</c:v>
                </c:pt>
                <c:pt idx="1">
                  <c:v>PIIND</c:v>
                </c:pt>
                <c:pt idx="2">
                  <c:v>SHARDACROP</c:v>
                </c:pt>
                <c:pt idx="3">
                  <c:v>RALLIS</c:v>
                </c:pt>
                <c:pt idx="4">
                  <c:v>INSECTICID</c:v>
                </c:pt>
                <c:pt idx="5">
                  <c:v>SUMICHEM</c:v>
                </c:pt>
                <c:pt idx="6">
                  <c:v>DHANUKA</c:v>
                </c:pt>
                <c:pt idx="7">
                  <c:v>BHARATRAS</c:v>
                </c:pt>
                <c:pt idx="8">
                  <c:v>NACLIND</c:v>
                </c:pt>
                <c:pt idx="9">
                  <c:v>PUNJABCHEM</c:v>
                </c:pt>
              </c:strCache>
            </c:strRef>
          </c:cat>
          <c:val>
            <c:numRef>
              <c:f>Dashboard!$D$36:$D$45</c:f>
              <c:numCache>
                <c:formatCode>0</c:formatCode>
                <c:ptCount val="10"/>
                <c:pt idx="0">
                  <c:v>5103</c:v>
                </c:pt>
                <c:pt idx="1">
                  <c:v>7666</c:v>
                </c:pt>
                <c:pt idx="2">
                  <c:v>3163</c:v>
                </c:pt>
                <c:pt idx="3">
                  <c:v>2648</c:v>
                </c:pt>
                <c:pt idx="4">
                  <c:v>1966</c:v>
                </c:pt>
                <c:pt idx="5">
                  <c:v>2833</c:v>
                </c:pt>
                <c:pt idx="6">
                  <c:v>1758</c:v>
                </c:pt>
                <c:pt idx="7">
                  <c:v>1045</c:v>
                </c:pt>
                <c:pt idx="8">
                  <c:v>1779</c:v>
                </c:pt>
                <c:pt idx="9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0AE-4B44-A8D5-91554D73F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52</xdr:row>
      <xdr:rowOff>-114300</xdr:rowOff>
    </xdr:from>
    <xdr:ext cx="6581775" cy="6581775"/>
    <xdr:pic>
      <xdr:nvPicPr>
        <xdr:cNvPr id="2" name="image6.png" title="Image">
          <a:extLst>
            <a:ext uri="{FF2B5EF4-FFF2-40B4-BE49-F238E27FC236}">
              <a16:creationId xmlns:a16="http://schemas.microsoft.com/office/drawing/2014/main" id="{351B5EB7-4D89-4ED7-9BB1-FF224CD443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9608820"/>
          <a:ext cx="6581775" cy="65817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476250</xdr:colOff>
      <xdr:row>32</xdr:row>
      <xdr:rowOff>180975</xdr:rowOff>
    </xdr:from>
    <xdr:ext cx="2876550" cy="22002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AF1E9293-E419-40B5-9574-DCC3BF967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152400</xdr:colOff>
      <xdr:row>53</xdr:row>
      <xdr:rowOff>142875</xdr:rowOff>
    </xdr:from>
    <xdr:ext cx="3457575" cy="36766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A127D0-EA77-4016-AEE9-3FB30CE0E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495300</xdr:colOff>
      <xdr:row>53</xdr:row>
      <xdr:rowOff>123825</xdr:rowOff>
    </xdr:from>
    <xdr:ext cx="4343400" cy="36861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3EBD6A9D-DA32-458A-975B-CF14082DF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4</xdr:col>
      <xdr:colOff>209550</xdr:colOff>
      <xdr:row>75</xdr:row>
      <xdr:rowOff>0</xdr:rowOff>
    </xdr:from>
    <xdr:ext cx="4191000" cy="360045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6A02C1F-FFED-4A0F-A7D9-8547C8391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533400</xdr:colOff>
      <xdr:row>74</xdr:row>
      <xdr:rowOff>171450</xdr:rowOff>
    </xdr:from>
    <xdr:ext cx="4343400" cy="360045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4444D8-C16B-49C9-9476-36E7BDC7A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5</xdr:col>
      <xdr:colOff>257175</xdr:colOff>
      <xdr:row>96</xdr:row>
      <xdr:rowOff>9525</xdr:rowOff>
    </xdr:from>
    <xdr:ext cx="7839075" cy="3552825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A17695C-B69B-4C40-BF23-9E6939BB0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4</xdr:col>
      <xdr:colOff>514350</xdr:colOff>
      <xdr:row>115</xdr:row>
      <xdr:rowOff>161925</xdr:rowOff>
    </xdr:from>
    <xdr:ext cx="4124325" cy="363855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86ADC89-6F75-4139-8886-610A32641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11</xdr:col>
      <xdr:colOff>152400</xdr:colOff>
      <xdr:row>115</xdr:row>
      <xdr:rowOff>142875</xdr:rowOff>
    </xdr:from>
    <xdr:ext cx="4371975" cy="3590925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9556B4F-B375-4273-A6A7-A0630A8B0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19</xdr:col>
      <xdr:colOff>0</xdr:colOff>
      <xdr:row>32</xdr:row>
      <xdr:rowOff>180975</xdr:rowOff>
    </xdr:from>
    <xdr:ext cx="2876550" cy="2200275"/>
    <xdr:graphicFrame macro="">
      <xdr:nvGraphicFramePr>
        <xdr:cNvPr id="10" name="Chart 9" title="Chart">
          <a:extLst>
            <a:ext uri="{FF2B5EF4-FFF2-40B4-BE49-F238E27FC236}">
              <a16:creationId xmlns:a16="http://schemas.microsoft.com/office/drawing/2014/main" id="{0894185B-D95F-4D1F-A35A-928B47061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12</xdr:col>
      <xdr:colOff>457200</xdr:colOff>
      <xdr:row>32</xdr:row>
      <xdr:rowOff>180975</xdr:rowOff>
    </xdr:from>
    <xdr:ext cx="3600450" cy="2200275"/>
    <xdr:graphicFrame macro="">
      <xdr:nvGraphicFramePr>
        <xdr:cNvPr id="11" name="Chart 10" title="Chart">
          <a:extLst>
            <a:ext uri="{FF2B5EF4-FFF2-40B4-BE49-F238E27FC236}">
              <a16:creationId xmlns:a16="http://schemas.microsoft.com/office/drawing/2014/main" id="{91F56254-CDA9-41A9-A221-DE7E18394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03730-DB74-43C4-AA4F-2A253A720B94}">
  <dimension ref="A1:AG1009"/>
  <sheetViews>
    <sheetView tabSelected="1" workbookViewId="0"/>
  </sheetViews>
  <sheetFormatPr defaultColWidth="14.44140625" defaultRowHeight="15" customHeight="1"/>
  <cols>
    <col min="1" max="1" width="8.88671875" customWidth="1"/>
    <col min="2" max="2" width="12" customWidth="1"/>
    <col min="3" max="3" width="12.6640625" customWidth="1"/>
    <col min="4" max="4" width="12.109375" customWidth="1"/>
    <col min="5" max="5" width="9.44140625" customWidth="1"/>
    <col min="6" max="6" width="11.44140625" customWidth="1"/>
    <col min="7" max="7" width="11.5546875" customWidth="1"/>
    <col min="8" max="8" width="12.6640625" customWidth="1"/>
    <col min="9" max="9" width="7.6640625" customWidth="1"/>
    <col min="10" max="10" width="10.5546875" customWidth="1"/>
    <col min="11" max="11" width="12.109375" customWidth="1"/>
    <col min="12" max="12" width="12.44140625" customWidth="1"/>
    <col min="13" max="13" width="14.109375" customWidth="1"/>
    <col min="14" max="14" width="14.44140625" customWidth="1"/>
    <col min="15" max="15" width="12" customWidth="1"/>
    <col min="16" max="16" width="13.6640625" customWidth="1"/>
    <col min="17" max="17" width="10.6640625" customWidth="1"/>
    <col min="18" max="18" width="13.33203125" customWidth="1"/>
    <col min="19" max="19" width="9.109375" customWidth="1"/>
    <col min="20" max="20" width="19.5546875" customWidth="1"/>
    <col min="21" max="21" width="12" customWidth="1"/>
    <col min="22" max="22" width="11.44140625" customWidth="1"/>
    <col min="23" max="24" width="8.6640625" customWidth="1"/>
    <col min="25" max="25" width="15.33203125" customWidth="1"/>
    <col min="26" max="26" width="11.5546875" customWidth="1"/>
    <col min="27" max="27" width="12" customWidth="1"/>
    <col min="28" max="33" width="8.6640625" customWidth="1"/>
  </cols>
  <sheetData>
    <row r="1" spans="1:33" ht="14.4">
      <c r="A1" s="1"/>
      <c r="B1" s="22" t="s">
        <v>68</v>
      </c>
      <c r="C1" s="1"/>
      <c r="D1" s="1"/>
      <c r="E1" s="22" t="s">
        <v>69</v>
      </c>
      <c r="F1" s="1"/>
      <c r="G1" s="1"/>
      <c r="H1" s="12"/>
      <c r="I1" s="12"/>
      <c r="J1" s="22" t="s">
        <v>70</v>
      </c>
      <c r="K1" s="12"/>
      <c r="L1" s="12"/>
      <c r="M1" s="12"/>
      <c r="N1" s="12"/>
      <c r="O1" s="12"/>
      <c r="P1" s="12"/>
      <c r="Q1" s="12"/>
      <c r="R1" s="12"/>
      <c r="S1" s="22" t="s">
        <v>71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.4">
      <c r="A2" s="1"/>
      <c r="B2" s="23" t="s">
        <v>72</v>
      </c>
      <c r="C2" s="23" t="s">
        <v>73</v>
      </c>
      <c r="D2" s="23" t="s">
        <v>74</v>
      </c>
      <c r="E2" s="23" t="s">
        <v>75</v>
      </c>
      <c r="F2" s="23" t="s">
        <v>76</v>
      </c>
      <c r="G2" s="23" t="s">
        <v>77</v>
      </c>
      <c r="H2" s="23" t="s">
        <v>78</v>
      </c>
      <c r="I2" s="23" t="s">
        <v>79</v>
      </c>
      <c r="J2" s="23" t="s">
        <v>80</v>
      </c>
      <c r="K2" s="23" t="s">
        <v>81</v>
      </c>
      <c r="L2" s="23" t="s">
        <v>82</v>
      </c>
      <c r="M2" s="23" t="s">
        <v>83</v>
      </c>
      <c r="N2" s="23" t="s">
        <v>84</v>
      </c>
      <c r="O2" s="23" t="s">
        <v>85</v>
      </c>
      <c r="P2" s="23" t="s">
        <v>86</v>
      </c>
      <c r="Q2" s="23" t="s">
        <v>87</v>
      </c>
      <c r="R2" s="23" t="s">
        <v>88</v>
      </c>
      <c r="S2" s="23" t="s">
        <v>89</v>
      </c>
      <c r="T2" s="23" t="s">
        <v>90</v>
      </c>
      <c r="U2" s="23" t="s">
        <v>91</v>
      </c>
      <c r="V2" s="23" t="s">
        <v>92</v>
      </c>
      <c r="W2" s="23" t="s">
        <v>93</v>
      </c>
      <c r="X2" s="1"/>
      <c r="Y2" s="1"/>
      <c r="Z2" s="1"/>
      <c r="AE2" s="24"/>
      <c r="AF2" s="24"/>
      <c r="AG2" s="24"/>
    </row>
    <row r="3" spans="1:33" ht="14.4">
      <c r="A3" s="25"/>
      <c r="B3" s="26" t="s">
        <v>40</v>
      </c>
      <c r="C3" s="27">
        <f ca="1">IFERROR(__xludf.DUMMYFUNCTION("GOOGLEFINANCE(""nse:""&amp;B3,""price"")"),3779.8)</f>
        <v>3779.8</v>
      </c>
      <c r="D3" s="27">
        <f ca="1">IFERROR(__xludf.DUMMYFUNCTION("GOOGLEFINANCE(""nse:""&amp;B3,""marketcap"")/10000000"),57336.6940926)</f>
        <v>57336.694092600002</v>
      </c>
      <c r="E3" s="28">
        <v>7665</v>
      </c>
      <c r="F3" s="28">
        <v>1681</v>
      </c>
      <c r="G3" s="26">
        <v>1849</v>
      </c>
      <c r="H3" s="28">
        <v>1</v>
      </c>
      <c r="I3" s="28">
        <v>110.85</v>
      </c>
      <c r="J3" s="29">
        <v>15.2</v>
      </c>
      <c r="K3" s="27">
        <v>8715</v>
      </c>
      <c r="L3" s="28">
        <v>128</v>
      </c>
      <c r="M3" s="28">
        <v>52</v>
      </c>
      <c r="N3" s="27">
        <v>6678</v>
      </c>
      <c r="O3" s="27">
        <v>1710</v>
      </c>
      <c r="P3" s="27">
        <v>10764</v>
      </c>
      <c r="Q3" s="27">
        <v>2033</v>
      </c>
      <c r="R3" s="27">
        <v>930</v>
      </c>
      <c r="S3" s="27">
        <v>2036</v>
      </c>
      <c r="T3" s="27">
        <v>235</v>
      </c>
      <c r="U3" s="27">
        <v>-222</v>
      </c>
      <c r="V3" s="30">
        <f t="shared" ref="V3:V4" si="0">SUM(S3:U3)</f>
        <v>2049</v>
      </c>
      <c r="W3" s="1">
        <v>620</v>
      </c>
      <c r="X3" s="1"/>
      <c r="Y3" s="1"/>
      <c r="Z3" s="1"/>
      <c r="AE3" s="31"/>
      <c r="AF3" s="31"/>
      <c r="AG3" s="31"/>
    </row>
    <row r="4" spans="1:33" ht="14.4">
      <c r="A4" s="25"/>
      <c r="B4" s="26" t="s">
        <v>94</v>
      </c>
      <c r="C4" s="26">
        <v>3867</v>
      </c>
      <c r="D4" s="27">
        <f ca="1">C4*D3/C3</f>
        <v>58659.451837685643</v>
      </c>
      <c r="E4" s="26">
        <v>6492</v>
      </c>
      <c r="F4" s="27">
        <v>1230</v>
      </c>
      <c r="G4" s="26">
        <v>1444</v>
      </c>
      <c r="H4" s="26">
        <v>1</v>
      </c>
      <c r="I4" s="29">
        <v>81.06</v>
      </c>
      <c r="J4" s="26">
        <v>15.2</v>
      </c>
      <c r="K4" s="26">
        <v>7183</v>
      </c>
      <c r="L4" s="26">
        <v>0</v>
      </c>
      <c r="M4" s="26">
        <v>46</v>
      </c>
      <c r="N4" s="27">
        <v>5662</v>
      </c>
      <c r="O4" s="27">
        <v>1182</v>
      </c>
      <c r="P4" s="26">
        <v>8480</v>
      </c>
      <c r="Q4" s="26">
        <v>1281</v>
      </c>
      <c r="R4" s="26">
        <v>772</v>
      </c>
      <c r="S4" s="26">
        <v>1501</v>
      </c>
      <c r="T4" s="26">
        <v>1005</v>
      </c>
      <c r="U4" s="26">
        <v>-483</v>
      </c>
      <c r="V4" s="1">
        <f t="shared" si="0"/>
        <v>2023</v>
      </c>
      <c r="W4" s="1">
        <v>326</v>
      </c>
      <c r="X4" s="1"/>
      <c r="Y4" s="1"/>
      <c r="Z4" s="1"/>
      <c r="AE4" s="32"/>
      <c r="AF4" s="32"/>
      <c r="AG4" s="32"/>
    </row>
    <row r="5" spans="1:33" thickBot="1">
      <c r="A5" s="25"/>
      <c r="B5" s="33" t="s">
        <v>95</v>
      </c>
      <c r="C5" s="34">
        <f t="shared" ref="C5:W5" ca="1" si="1">(C3/C4)-1</f>
        <v>-2.2549780191362778E-2</v>
      </c>
      <c r="D5" s="34">
        <f t="shared" ca="1" si="1"/>
        <v>-2.2549780191362778E-2</v>
      </c>
      <c r="E5" s="34">
        <f t="shared" si="1"/>
        <v>0.18068391866913114</v>
      </c>
      <c r="F5" s="34">
        <f t="shared" si="1"/>
        <v>0.3666666666666667</v>
      </c>
      <c r="G5" s="34">
        <f t="shared" si="1"/>
        <v>0.28047091412742375</v>
      </c>
      <c r="H5" s="34">
        <f t="shared" si="1"/>
        <v>0</v>
      </c>
      <c r="I5" s="34">
        <f t="shared" si="1"/>
        <v>0.36750555144337516</v>
      </c>
      <c r="J5" s="34">
        <f t="shared" si="1"/>
        <v>0</v>
      </c>
      <c r="K5" s="34">
        <f t="shared" si="1"/>
        <v>0.21328135876374765</v>
      </c>
      <c r="L5" s="34" t="e">
        <f t="shared" si="1"/>
        <v>#DIV/0!</v>
      </c>
      <c r="M5" s="34">
        <f t="shared" si="1"/>
        <v>0.13043478260869557</v>
      </c>
      <c r="N5" s="34">
        <f t="shared" si="1"/>
        <v>0.17944189332391391</v>
      </c>
      <c r="O5" s="34">
        <f t="shared" si="1"/>
        <v>0.4467005076142132</v>
      </c>
      <c r="P5" s="34">
        <f t="shared" si="1"/>
        <v>0.26933962264150946</v>
      </c>
      <c r="Q5" s="34">
        <f t="shared" si="1"/>
        <v>0.58704137392661981</v>
      </c>
      <c r="R5" s="34">
        <f t="shared" si="1"/>
        <v>0.20466321243523322</v>
      </c>
      <c r="S5" s="34">
        <f t="shared" si="1"/>
        <v>0.35642904730179881</v>
      </c>
      <c r="T5" s="34">
        <f t="shared" si="1"/>
        <v>-0.76616915422885579</v>
      </c>
      <c r="U5" s="34">
        <f t="shared" si="1"/>
        <v>-0.54037267080745344</v>
      </c>
      <c r="V5" s="34">
        <f t="shared" si="1"/>
        <v>1.2852199703410783E-2</v>
      </c>
      <c r="W5" s="34">
        <f t="shared" si="1"/>
        <v>0.90184049079754591</v>
      </c>
      <c r="X5" s="1"/>
      <c r="Y5" s="1"/>
      <c r="Z5" s="1"/>
      <c r="AE5" s="32"/>
      <c r="AF5" s="32"/>
      <c r="AG5" s="32"/>
    </row>
    <row r="6" spans="1:33" thickTop="1">
      <c r="A6" s="2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  <c r="O6" s="36"/>
      <c r="P6" s="12"/>
      <c r="Q6" s="12"/>
      <c r="R6" s="12"/>
      <c r="S6" s="12"/>
      <c r="T6" s="1"/>
      <c r="U6" s="1"/>
      <c r="V6" s="1"/>
      <c r="W6" s="1"/>
      <c r="X6" s="1"/>
      <c r="Y6" s="1"/>
      <c r="Z6" s="1"/>
      <c r="AE6" s="32"/>
      <c r="AF6" s="32"/>
      <c r="AG6" s="32"/>
    </row>
    <row r="7" spans="1:33" ht="14.4">
      <c r="A7" s="25"/>
      <c r="B7" s="37"/>
      <c r="C7" s="37"/>
      <c r="D7" s="37"/>
      <c r="E7" s="37"/>
      <c r="F7" s="37"/>
      <c r="G7" s="37"/>
      <c r="H7" s="37"/>
      <c r="I7" s="37"/>
      <c r="J7" s="37"/>
      <c r="K7" s="38"/>
      <c r="L7" s="37"/>
      <c r="M7" s="37"/>
      <c r="N7" s="38"/>
      <c r="O7" s="36"/>
      <c r="P7" s="12"/>
      <c r="Q7" s="12"/>
      <c r="R7" s="12"/>
      <c r="S7" s="12"/>
      <c r="T7" s="1"/>
      <c r="U7" s="1"/>
      <c r="V7" s="1"/>
      <c r="W7" s="1"/>
      <c r="X7" s="1"/>
      <c r="Y7" s="1"/>
      <c r="Z7" s="1"/>
      <c r="AE7" s="32"/>
      <c r="AF7" s="32"/>
      <c r="AG7" s="32"/>
    </row>
    <row r="8" spans="1:33" ht="14.4">
      <c r="A8" s="25"/>
      <c r="B8" s="23" t="s">
        <v>96</v>
      </c>
      <c r="C8" s="35"/>
      <c r="D8" s="23" t="s">
        <v>97</v>
      </c>
      <c r="E8" s="35"/>
      <c r="F8" s="35"/>
      <c r="G8" s="23" t="s">
        <v>98</v>
      </c>
      <c r="H8" s="35"/>
      <c r="I8" s="35"/>
      <c r="J8" s="23" t="s">
        <v>99</v>
      </c>
      <c r="K8" s="35"/>
      <c r="L8" s="35"/>
      <c r="M8" s="23" t="s">
        <v>100</v>
      </c>
      <c r="N8" s="35"/>
      <c r="O8" s="36"/>
      <c r="P8" s="35"/>
      <c r="Q8" s="35"/>
      <c r="R8" s="12"/>
      <c r="S8" s="12"/>
      <c r="T8" s="1"/>
      <c r="U8" s="1"/>
      <c r="V8" s="1"/>
      <c r="W8" s="1"/>
      <c r="X8" s="1"/>
      <c r="Y8" s="1"/>
      <c r="Z8" s="1"/>
      <c r="AE8" s="32"/>
      <c r="AF8" s="32"/>
      <c r="AG8" s="32"/>
    </row>
    <row r="9" spans="1:33" ht="14.4">
      <c r="A9" s="25"/>
      <c r="B9" s="39" t="s">
        <v>101</v>
      </c>
      <c r="C9" s="39" t="s">
        <v>102</v>
      </c>
      <c r="D9" s="40" t="s">
        <v>103</v>
      </c>
      <c r="E9" s="41" t="s">
        <v>104</v>
      </c>
      <c r="F9" s="39" t="s">
        <v>105</v>
      </c>
      <c r="G9" s="39" t="s">
        <v>106</v>
      </c>
      <c r="H9" s="42" t="s">
        <v>107</v>
      </c>
      <c r="I9" s="39" t="s">
        <v>108</v>
      </c>
      <c r="J9" s="41" t="s">
        <v>51</v>
      </c>
      <c r="K9" s="43" t="s">
        <v>109</v>
      </c>
      <c r="L9" s="42" t="s">
        <v>110</v>
      </c>
      <c r="M9" s="43" t="s">
        <v>111</v>
      </c>
      <c r="N9" s="44" t="s">
        <v>112</v>
      </c>
      <c r="O9" s="43" t="s">
        <v>113</v>
      </c>
      <c r="P9" s="44" t="s">
        <v>114</v>
      </c>
      <c r="Q9" s="44" t="s">
        <v>115</v>
      </c>
      <c r="R9" s="12"/>
      <c r="S9" s="12"/>
      <c r="T9" s="1"/>
      <c r="U9" s="1"/>
      <c r="V9" s="1"/>
      <c r="W9" s="1"/>
      <c r="X9" s="1"/>
      <c r="Y9" s="1"/>
      <c r="Z9" s="1"/>
      <c r="AE9" s="45"/>
      <c r="AF9" s="45"/>
      <c r="AG9" s="45"/>
    </row>
    <row r="10" spans="1:33" thickBot="1">
      <c r="A10" s="25"/>
      <c r="B10" s="46">
        <f t="shared" ref="B10:C10" si="2">E5</f>
        <v>0.18068391866913114</v>
      </c>
      <c r="C10" s="46">
        <f t="shared" si="2"/>
        <v>0.3666666666666667</v>
      </c>
      <c r="D10" s="46">
        <f>F19</f>
        <v>0.26500000000000001</v>
      </c>
      <c r="E10" s="47">
        <f>N3/O3</f>
        <v>3.905263157894737</v>
      </c>
      <c r="F10" s="48">
        <f>(R3/E3)*365</f>
        <v>44.285714285714285</v>
      </c>
      <c r="G10" s="46">
        <f>L3/(K3+J3)</f>
        <v>1.4661748871732605E-2</v>
      </c>
      <c r="H10" s="46">
        <f>Q3/P3</f>
        <v>0.18887030843552582</v>
      </c>
      <c r="I10" s="48">
        <f>L30</f>
        <v>35.567567567567565</v>
      </c>
      <c r="J10" s="46">
        <f>F3/(J3+K3)</f>
        <v>0.19254999885455085</v>
      </c>
      <c r="K10" s="46">
        <f>G3/(P3-O3)</f>
        <v>0.20421912966644576</v>
      </c>
      <c r="L10" s="46">
        <f>F3/P3</f>
        <v>0.15616871051653661</v>
      </c>
      <c r="M10" s="48">
        <f ca="1">C3/I3</f>
        <v>34.098331078033382</v>
      </c>
      <c r="N10" s="49">
        <f ca="1">I3/C3</f>
        <v>2.9326948515794482E-2</v>
      </c>
      <c r="O10" s="48">
        <f>(J3+K3)/(J3/H3)</f>
        <v>574.3552631578948</v>
      </c>
      <c r="P10" s="48">
        <f ca="1">C3/O10</f>
        <v>6.5809443082632697</v>
      </c>
      <c r="Q10" s="47">
        <f>R18</f>
        <v>0.94594594594594594</v>
      </c>
      <c r="R10" s="12"/>
      <c r="S10" s="12"/>
      <c r="T10" s="1"/>
      <c r="U10" s="1"/>
      <c r="V10" s="1"/>
      <c r="W10" s="1"/>
      <c r="X10" s="1"/>
      <c r="Y10" s="1"/>
      <c r="Z10" s="1"/>
      <c r="AE10" s="32"/>
      <c r="AF10" s="32"/>
      <c r="AG10" s="32"/>
    </row>
    <row r="11" spans="1:33" thickTop="1">
      <c r="A11" s="25"/>
      <c r="B11" s="50"/>
      <c r="K11" s="12"/>
      <c r="L11" s="12"/>
      <c r="M11" s="12"/>
      <c r="N11" s="7"/>
      <c r="O11" s="7"/>
      <c r="P11" s="12"/>
      <c r="Q11" s="12"/>
      <c r="R11" s="12"/>
      <c r="S11" s="1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4.4">
      <c r="A12" s="23" t="s">
        <v>116</v>
      </c>
      <c r="B12" s="23" t="s">
        <v>117</v>
      </c>
      <c r="C12" s="23" t="s">
        <v>118</v>
      </c>
      <c r="D12" s="23" t="s">
        <v>119</v>
      </c>
      <c r="E12" s="23" t="s">
        <v>79</v>
      </c>
      <c r="F12" s="23" t="s">
        <v>120</v>
      </c>
      <c r="G12" s="51"/>
      <c r="N12" s="7"/>
      <c r="O12" s="7"/>
      <c r="P12" s="12"/>
      <c r="Q12" s="12"/>
      <c r="R12" s="12"/>
      <c r="S12" s="12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4.4">
      <c r="A13" s="52"/>
      <c r="B13" s="53" t="s">
        <v>121</v>
      </c>
      <c r="C13" s="54">
        <f t="shared" ref="C13:E13" si="3">FV(15%,5,0,-C14,0)</f>
        <v>35660.580050831282</v>
      </c>
      <c r="D13" s="54">
        <f t="shared" si="3"/>
        <v>6665.1208558945582</v>
      </c>
      <c r="E13" s="54">
        <f t="shared" si="3"/>
        <v>439.6455208952479</v>
      </c>
      <c r="F13" s="55">
        <f t="shared" ref="F13:F15" si="4">E13*30</f>
        <v>13189.365626857438</v>
      </c>
      <c r="G13" s="51"/>
      <c r="N13" s="7"/>
      <c r="O13" s="7"/>
      <c r="P13" s="12"/>
      <c r="Q13" s="12"/>
      <c r="R13" s="12"/>
      <c r="S13" s="12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4.4">
      <c r="A14" s="56"/>
      <c r="B14" s="53" t="s">
        <v>122</v>
      </c>
      <c r="C14" s="54">
        <f>FV(C18,5,0,-C15,0)</f>
        <v>17729.61076851562</v>
      </c>
      <c r="D14" s="54">
        <f t="shared" ref="D14:D15" si="5">C14*F18</f>
        <v>3313.7430275022002</v>
      </c>
      <c r="E14" s="54">
        <f>(D14*E15)/D15</f>
        <v>218.58152476721543</v>
      </c>
      <c r="F14" s="55">
        <f t="shared" si="4"/>
        <v>6557.445743016463</v>
      </c>
      <c r="G14" s="12"/>
      <c r="H14" s="23" t="s">
        <v>123</v>
      </c>
      <c r="I14" s="23" t="s">
        <v>124</v>
      </c>
      <c r="J14" s="23" t="s">
        <v>125</v>
      </c>
      <c r="K14" s="23" t="s">
        <v>126</v>
      </c>
      <c r="L14" s="23" t="s">
        <v>127</v>
      </c>
      <c r="M14" s="23" t="s">
        <v>128</v>
      </c>
      <c r="N14" s="57"/>
      <c r="S14" s="12"/>
      <c r="V14" s="58"/>
      <c r="W14" s="24"/>
      <c r="X14" s="12"/>
      <c r="AA14" s="58"/>
      <c r="AB14" s="24"/>
      <c r="AC14" s="24"/>
      <c r="AF14" s="58"/>
      <c r="AG14" s="24"/>
    </row>
    <row r="15" spans="1:33" thickBot="1">
      <c r="A15" s="52"/>
      <c r="B15" s="59" t="s">
        <v>129</v>
      </c>
      <c r="C15" s="60">
        <f>FV(C19,1,0,-C29,0)</f>
        <v>8814.75</v>
      </c>
      <c r="D15" s="60">
        <f t="shared" si="5"/>
        <v>2335.9087500000001</v>
      </c>
      <c r="E15" s="60">
        <f>FV(E19,1,0,-H29,0)</f>
        <v>154.08150000000001</v>
      </c>
      <c r="F15" s="60">
        <f t="shared" si="4"/>
        <v>4622.4449999999997</v>
      </c>
      <c r="H15" s="61" t="s">
        <v>79</v>
      </c>
      <c r="I15" s="62">
        <v>25.24</v>
      </c>
      <c r="J15" s="62">
        <v>31.67</v>
      </c>
      <c r="K15" s="62">
        <v>29.59</v>
      </c>
      <c r="L15" s="62">
        <v>24.36</v>
      </c>
      <c r="M15" s="63">
        <f>SUM(I15:L15)</f>
        <v>110.86</v>
      </c>
      <c r="S15" s="12"/>
      <c r="T15" s="23" t="s">
        <v>130</v>
      </c>
      <c r="U15" s="23" t="s">
        <v>131</v>
      </c>
      <c r="V15" s="23" t="s">
        <v>132</v>
      </c>
      <c r="W15" s="23" t="s">
        <v>133</v>
      </c>
      <c r="X15" s="64"/>
      <c r="Y15" s="23" t="s">
        <v>134</v>
      </c>
      <c r="Z15" s="23" t="s">
        <v>135</v>
      </c>
      <c r="AA15" s="23" t="s">
        <v>136</v>
      </c>
      <c r="AB15" s="23" t="s">
        <v>133</v>
      </c>
      <c r="AC15" s="64"/>
      <c r="AD15" s="23" t="s">
        <v>130</v>
      </c>
      <c r="AE15" s="23" t="s">
        <v>137</v>
      </c>
      <c r="AF15" s="23" t="s">
        <v>138</v>
      </c>
      <c r="AG15" s="23" t="s">
        <v>133</v>
      </c>
    </row>
    <row r="16" spans="1:33" thickTop="1">
      <c r="A16" s="52"/>
      <c r="N16" s="12"/>
      <c r="S16" s="12"/>
      <c r="T16" s="65" t="s">
        <v>139</v>
      </c>
      <c r="U16" s="66">
        <v>7665</v>
      </c>
      <c r="V16" s="66">
        <v>6492</v>
      </c>
      <c r="W16" s="32">
        <f t="shared" ref="W16:W20" si="6">(U16/V16)^(1/1)-1</f>
        <v>0.18068391866913114</v>
      </c>
      <c r="X16" s="32"/>
      <c r="Y16" s="65" t="s">
        <v>139</v>
      </c>
      <c r="Z16" s="66">
        <v>1741</v>
      </c>
      <c r="AA16" s="66">
        <v>1565</v>
      </c>
      <c r="AB16" s="32">
        <f t="shared" ref="AB16:AB20" si="7">(Z16/AA16)^(1/1)-1</f>
        <v>0.11246006389776353</v>
      </c>
      <c r="AC16" s="32"/>
      <c r="AD16" s="65" t="s">
        <v>139</v>
      </c>
      <c r="AE16" s="66">
        <v>5924</v>
      </c>
      <c r="AF16" s="66">
        <v>4926</v>
      </c>
      <c r="AG16" s="32">
        <f t="shared" ref="AG16:AG20" si="8">(AE16/AF16)^(1/1)-1</f>
        <v>0.20259845716605773</v>
      </c>
    </row>
    <row r="17" spans="1:33" ht="15" customHeight="1">
      <c r="A17" s="23" t="s">
        <v>140</v>
      </c>
      <c r="B17" s="23" t="s">
        <v>141</v>
      </c>
      <c r="C17" s="23" t="s">
        <v>118</v>
      </c>
      <c r="D17" s="23" t="s">
        <v>142</v>
      </c>
      <c r="E17" s="23" t="s">
        <v>79</v>
      </c>
      <c r="F17" s="23" t="s">
        <v>143</v>
      </c>
      <c r="H17" s="23" t="s">
        <v>144</v>
      </c>
      <c r="I17" s="23" t="s">
        <v>124</v>
      </c>
      <c r="J17" s="23" t="s">
        <v>145</v>
      </c>
      <c r="K17" s="23" t="s">
        <v>137</v>
      </c>
      <c r="L17" s="23" t="s">
        <v>131</v>
      </c>
      <c r="M17" s="23" t="s">
        <v>146</v>
      </c>
      <c r="O17" s="67" t="s">
        <v>128</v>
      </c>
      <c r="P17" s="68" t="s">
        <v>147</v>
      </c>
      <c r="Q17" s="68" t="s">
        <v>148</v>
      </c>
      <c r="R17" s="68" t="s">
        <v>115</v>
      </c>
      <c r="S17" s="12"/>
      <c r="T17" s="69" t="s">
        <v>149</v>
      </c>
      <c r="U17" s="66">
        <v>5989</v>
      </c>
      <c r="V17" s="66">
        <v>5213</v>
      </c>
      <c r="W17" s="32">
        <f t="shared" si="6"/>
        <v>0.14885862267408401</v>
      </c>
      <c r="X17" s="32"/>
      <c r="Y17" s="69" t="s">
        <v>149</v>
      </c>
      <c r="Z17" s="66">
        <v>1390</v>
      </c>
      <c r="AA17" s="66">
        <v>1283</v>
      </c>
      <c r="AB17" s="32">
        <f t="shared" si="7"/>
        <v>8.3398285268901029E-2</v>
      </c>
      <c r="AC17" s="32"/>
      <c r="AD17" s="69" t="s">
        <v>149</v>
      </c>
      <c r="AE17" s="66">
        <v>4599</v>
      </c>
      <c r="AF17" s="66">
        <v>3929</v>
      </c>
      <c r="AG17" s="32">
        <f t="shared" si="8"/>
        <v>0.1705268516161873</v>
      </c>
    </row>
    <row r="18" spans="1:33" ht="14.4">
      <c r="A18" s="56"/>
      <c r="B18" s="70" t="s">
        <v>150</v>
      </c>
      <c r="C18" s="71">
        <v>0.15</v>
      </c>
      <c r="D18" s="71">
        <v>0.15</v>
      </c>
      <c r="E18" s="71">
        <v>0.15</v>
      </c>
      <c r="F18" s="71">
        <f>AVERAGE(I23:I26)</f>
        <v>0.18690444312442384</v>
      </c>
      <c r="G18" s="12"/>
      <c r="H18" s="72" t="s">
        <v>75</v>
      </c>
      <c r="I18" s="73">
        <v>0.24</v>
      </c>
      <c r="J18" s="73">
        <v>0.22</v>
      </c>
      <c r="K18" s="73">
        <v>0.2</v>
      </c>
      <c r="L18" s="73">
        <v>0.18</v>
      </c>
      <c r="M18" s="74">
        <v>0.15</v>
      </c>
      <c r="O18" s="75">
        <v>81.06</v>
      </c>
      <c r="P18" s="76">
        <v>110.85</v>
      </c>
      <c r="Q18" s="77">
        <v>154</v>
      </c>
      <c r="R18" s="159">
        <f>35/37</f>
        <v>0.94594594594594594</v>
      </c>
      <c r="S18" s="12"/>
      <c r="T18" s="78" t="s">
        <v>151</v>
      </c>
      <c r="U18" s="66">
        <v>30</v>
      </c>
      <c r="V18" s="66">
        <v>37</v>
      </c>
      <c r="W18" s="32">
        <f t="shared" si="6"/>
        <v>-0.18918918918918914</v>
      </c>
      <c r="X18" s="32"/>
      <c r="Y18" s="78" t="s">
        <v>151</v>
      </c>
      <c r="Z18" s="66">
        <v>11</v>
      </c>
      <c r="AA18" s="66">
        <v>3</v>
      </c>
      <c r="AB18" s="32">
        <f t="shared" si="7"/>
        <v>2.6666666666666665</v>
      </c>
      <c r="AC18" s="32"/>
      <c r="AD18" s="78" t="s">
        <v>151</v>
      </c>
      <c r="AE18" s="66">
        <v>19</v>
      </c>
      <c r="AF18" s="66">
        <v>33</v>
      </c>
      <c r="AG18" s="32">
        <f t="shared" si="8"/>
        <v>-0.4242424242424242</v>
      </c>
    </row>
    <row r="19" spans="1:33" ht="15" customHeight="1" thickBot="1">
      <c r="A19" s="56"/>
      <c r="B19" s="79" t="s">
        <v>152</v>
      </c>
      <c r="C19" s="80">
        <v>0.15</v>
      </c>
      <c r="D19" s="80">
        <f>(D15/F29)-1</f>
        <v>0.38959473527662114</v>
      </c>
      <c r="E19" s="80">
        <v>0.39</v>
      </c>
      <c r="F19" s="80">
        <v>0.26500000000000001</v>
      </c>
      <c r="H19" s="72" t="s">
        <v>76</v>
      </c>
      <c r="I19" s="73">
        <v>0.46</v>
      </c>
      <c r="J19" s="73">
        <v>0.45</v>
      </c>
      <c r="K19" s="73">
        <v>0.38</v>
      </c>
      <c r="L19" s="73">
        <v>0.37</v>
      </c>
      <c r="M19" s="74">
        <v>0.39</v>
      </c>
      <c r="O19" s="81" t="s">
        <v>111</v>
      </c>
      <c r="P19" s="82" t="s">
        <v>111</v>
      </c>
      <c r="Q19" s="82" t="s">
        <v>153</v>
      </c>
      <c r="R19" s="160"/>
      <c r="S19" s="12"/>
      <c r="T19" s="78" t="s">
        <v>142</v>
      </c>
      <c r="U19" s="83">
        <v>1681</v>
      </c>
      <c r="V19" s="83">
        <v>1229</v>
      </c>
      <c r="W19" s="32">
        <f t="shared" si="6"/>
        <v>0.36777868185516671</v>
      </c>
      <c r="X19" s="32"/>
      <c r="Y19" s="78" t="s">
        <v>142</v>
      </c>
      <c r="Z19" s="83">
        <v>369</v>
      </c>
      <c r="AA19" s="83">
        <v>280</v>
      </c>
      <c r="AB19" s="32">
        <f t="shared" si="7"/>
        <v>0.31785714285714284</v>
      </c>
      <c r="AC19" s="32"/>
      <c r="AD19" s="78" t="s">
        <v>142</v>
      </c>
      <c r="AE19" s="83">
        <v>1312</v>
      </c>
      <c r="AF19" s="83">
        <v>949</v>
      </c>
      <c r="AG19" s="32">
        <f t="shared" si="8"/>
        <v>0.38250790305584825</v>
      </c>
    </row>
    <row r="20" spans="1:33" ht="15.6" thickTop="1" thickBot="1">
      <c r="H20" s="84" t="s">
        <v>143</v>
      </c>
      <c r="I20" s="85">
        <v>0.252</v>
      </c>
      <c r="J20" s="85">
        <v>0.27200000000000002</v>
      </c>
      <c r="K20" s="85">
        <v>0.28499999999999998</v>
      </c>
      <c r="L20" s="85">
        <v>0.28100000000000003</v>
      </c>
      <c r="M20" s="85">
        <v>0.26500000000000001</v>
      </c>
      <c r="O20" s="86">
        <f>3030/O18</f>
        <v>37.379718726868987</v>
      </c>
      <c r="P20" s="87">
        <f>C4/P18</f>
        <v>34.884979702300406</v>
      </c>
      <c r="Q20" s="88">
        <f ca="1">C3/Q18</f>
        <v>24.544155844155846</v>
      </c>
      <c r="R20" s="160"/>
      <c r="S20" s="12"/>
      <c r="T20" s="78" t="s">
        <v>79</v>
      </c>
      <c r="U20" s="89">
        <v>110.85</v>
      </c>
      <c r="V20" s="89">
        <v>81.06</v>
      </c>
      <c r="W20" s="32">
        <f t="shared" si="6"/>
        <v>0.36750555144337516</v>
      </c>
      <c r="X20" s="32"/>
      <c r="Y20" s="78" t="s">
        <v>79</v>
      </c>
      <c r="Z20" s="89">
        <v>24.36</v>
      </c>
      <c r="AA20" s="89">
        <v>18.489999999999998</v>
      </c>
      <c r="AB20" s="32">
        <f t="shared" si="7"/>
        <v>0.31746890210924827</v>
      </c>
      <c r="AC20" s="32"/>
      <c r="AD20" s="78" t="s">
        <v>79</v>
      </c>
      <c r="AE20" s="89">
        <v>86.49</v>
      </c>
      <c r="AF20" s="89">
        <v>62.57</v>
      </c>
      <c r="AG20" s="32">
        <f t="shared" si="8"/>
        <v>0.38229183314687543</v>
      </c>
    </row>
    <row r="21" spans="1:33" thickTop="1">
      <c r="S21" s="12"/>
      <c r="T21" s="78" t="s">
        <v>154</v>
      </c>
      <c r="U21" s="45">
        <f t="shared" ref="U21:V21" si="9">U19/U17</f>
        <v>0.2806812489564201</v>
      </c>
      <c r="V21" s="45">
        <f t="shared" si="9"/>
        <v>0.2357567619413006</v>
      </c>
      <c r="W21" s="45">
        <f>U21-V21</f>
        <v>4.4924487015119502E-2</v>
      </c>
      <c r="X21" s="45"/>
      <c r="Y21" s="90" t="s">
        <v>154</v>
      </c>
      <c r="Z21" s="45">
        <f t="shared" ref="Z21:AA21" si="10">Z19/Z17</f>
        <v>0.26546762589928058</v>
      </c>
      <c r="AA21" s="45">
        <f t="shared" si="10"/>
        <v>0.21823850350740451</v>
      </c>
      <c r="AB21" s="45">
        <f>Z21-AA21</f>
        <v>4.7229122391876072E-2</v>
      </c>
      <c r="AC21" s="32"/>
      <c r="AD21" s="78" t="s">
        <v>154</v>
      </c>
      <c r="AE21" s="45">
        <f t="shared" ref="AE21:AF21" si="11">AE19/AE17</f>
        <v>0.28527940856707978</v>
      </c>
      <c r="AF21" s="45">
        <f t="shared" si="11"/>
        <v>0.24153728684143547</v>
      </c>
      <c r="AG21" s="45">
        <f>AE21-AF21</f>
        <v>4.3742121725644317E-2</v>
      </c>
    </row>
    <row r="22" spans="1:33" thickBot="1">
      <c r="A22" s="23" t="s">
        <v>95</v>
      </c>
      <c r="B22" s="23" t="s">
        <v>141</v>
      </c>
      <c r="C22" s="23" t="s">
        <v>118</v>
      </c>
      <c r="D22" s="23" t="s">
        <v>155</v>
      </c>
      <c r="E22" s="23" t="s">
        <v>156</v>
      </c>
      <c r="F22" s="23" t="s">
        <v>142</v>
      </c>
      <c r="G22" s="23" t="s">
        <v>157</v>
      </c>
      <c r="H22" s="23" t="s">
        <v>79</v>
      </c>
      <c r="I22" s="23" t="s">
        <v>158</v>
      </c>
      <c r="J22" s="23" t="s">
        <v>159</v>
      </c>
      <c r="K22" s="23" t="s">
        <v>160</v>
      </c>
      <c r="L22" s="23" t="s">
        <v>108</v>
      </c>
      <c r="M22" s="23" t="s">
        <v>161</v>
      </c>
      <c r="N22" s="23" t="s">
        <v>162</v>
      </c>
      <c r="O22" s="23" t="s">
        <v>163</v>
      </c>
      <c r="P22" s="23" t="s">
        <v>164</v>
      </c>
      <c r="Q22" s="23" t="s">
        <v>165</v>
      </c>
      <c r="R22" s="23" t="s">
        <v>166</v>
      </c>
      <c r="S22" s="12"/>
      <c r="T22" s="91" t="s">
        <v>108</v>
      </c>
      <c r="U22" s="92">
        <f t="shared" ref="U22:V22" si="12">(U16-U17+U18)/U18</f>
        <v>56.866666666666667</v>
      </c>
      <c r="V22" s="92">
        <f t="shared" si="12"/>
        <v>35.567567567567565</v>
      </c>
      <c r="W22" s="93">
        <f>(U22/V22)^(1/1)-1</f>
        <v>0.59883485309017237</v>
      </c>
      <c r="X22" s="32"/>
      <c r="Y22" s="91" t="s">
        <v>108</v>
      </c>
      <c r="Z22" s="92">
        <f t="shared" ref="Z22:AA22" si="13">(Z16-Z17+Z18)/Z18</f>
        <v>32.909090909090907</v>
      </c>
      <c r="AA22" s="92">
        <f t="shared" si="13"/>
        <v>95</v>
      </c>
      <c r="AB22" s="93">
        <f>(Z22/AA22)^(1/1)-1</f>
        <v>-0.6535885167464115</v>
      </c>
      <c r="AC22" s="32"/>
      <c r="AD22" s="91" t="s">
        <v>108</v>
      </c>
      <c r="AE22" s="92">
        <f t="shared" ref="AE22:AF22" si="14">(AE16-AE17+AE18)/AE18</f>
        <v>70.736842105263165</v>
      </c>
      <c r="AF22" s="92">
        <f t="shared" si="14"/>
        <v>31.212121212121211</v>
      </c>
      <c r="AG22" s="93">
        <f>(AE22/AF22)^(1/1)-1</f>
        <v>1.2663260091977517</v>
      </c>
    </row>
    <row r="23" spans="1:33" thickTop="1">
      <c r="A23" s="56"/>
      <c r="B23" s="50" t="s">
        <v>167</v>
      </c>
      <c r="C23" s="94">
        <f t="shared" ref="C23:G23" si="15">(C29/C49)^(1/20)-1</f>
        <v>0.18366231393411137</v>
      </c>
      <c r="D23" s="94">
        <f t="shared" si="15"/>
        <v>0.17426701971895597</v>
      </c>
      <c r="E23" s="94">
        <f t="shared" si="15"/>
        <v>6.8320503041766845E-2</v>
      </c>
      <c r="F23" s="94">
        <f t="shared" si="15"/>
        <v>0.32547280958438018</v>
      </c>
      <c r="G23" s="94">
        <f t="shared" si="15"/>
        <v>7.6189566178212598E-2</v>
      </c>
      <c r="H23" s="94">
        <f>(40*(H29)/H49)^(1/20)-1</f>
        <v>0.32097352677458302</v>
      </c>
      <c r="I23" s="95">
        <f>MEDIAN(I29:I49)</f>
        <v>0.11536050156739812</v>
      </c>
      <c r="J23" s="94">
        <f>(J29/J49)^(1/19)-1</f>
        <v>0.32254503759980468</v>
      </c>
      <c r="K23" s="95">
        <f t="shared" ref="K23:L23" si="16">MEDIAN(K29:K49)</f>
        <v>0.18062088428974601</v>
      </c>
      <c r="L23" s="96">
        <f t="shared" si="16"/>
        <v>22.166666666666668</v>
      </c>
      <c r="M23" s="97"/>
      <c r="N23" s="94">
        <f t="shared" ref="N23:O23" si="17">(40*(N29)/N49)^(1/20)-1</f>
        <v>0.55234931583243974</v>
      </c>
      <c r="O23" s="94">
        <f t="shared" si="17"/>
        <v>0.57044398040512445</v>
      </c>
      <c r="P23" s="96">
        <f t="shared" ref="P23:Q23" si="18">MEDIAN(P29:P49)</f>
        <v>34.367891513560807</v>
      </c>
      <c r="Q23" s="96">
        <f t="shared" si="18"/>
        <v>13.439093484419264</v>
      </c>
      <c r="R23" s="96">
        <f t="shared" ref="R23:R25" si="19">AVERAGE(P23:Q23)</f>
        <v>23.903492498990033</v>
      </c>
      <c r="S23" s="12"/>
    </row>
    <row r="24" spans="1:33" ht="14.4">
      <c r="A24" s="56"/>
      <c r="B24" s="50" t="s">
        <v>168</v>
      </c>
      <c r="C24" s="24">
        <f t="shared" ref="C24:H24" si="20">(C29/C39)^(1/10)-1</f>
        <v>0.16997113505093564</v>
      </c>
      <c r="D24" s="24">
        <f t="shared" si="20"/>
        <v>0.16142869964317619</v>
      </c>
      <c r="E24" s="24">
        <f t="shared" si="20"/>
        <v>9.5958226385217227E-2</v>
      </c>
      <c r="F24" s="24">
        <f t="shared" si="20"/>
        <v>0.24759891686964663</v>
      </c>
      <c r="G24" s="24">
        <f t="shared" si="20"/>
        <v>1.1184649191012808E-2</v>
      </c>
      <c r="H24" s="24">
        <f t="shared" si="20"/>
        <v>0.23508918302927451</v>
      </c>
      <c r="I24" s="24">
        <f>MEDIAN(I29:I39)</f>
        <v>0.15937635339974016</v>
      </c>
      <c r="J24" s="24">
        <f>(J29/J39)^(1/10)-1</f>
        <v>0.29036337555025504</v>
      </c>
      <c r="K24" s="24">
        <f t="shared" ref="K24:L24" si="21">MEDIAN(K29:K39)</f>
        <v>0.19119862835766613</v>
      </c>
      <c r="L24" s="51">
        <f t="shared" si="21"/>
        <v>39.1</v>
      </c>
      <c r="N24" s="24">
        <f t="shared" ref="N24:O24" si="22">(N29/N39)^(1/10)-1</f>
        <v>0.19795496980097504</v>
      </c>
      <c r="O24" s="24">
        <f t="shared" si="22"/>
        <v>0.38138587725034245</v>
      </c>
      <c r="P24" s="7">
        <f t="shared" ref="P24:Q24" si="23">MEDIAN(P29:P39)</f>
        <v>40.339943342776209</v>
      </c>
      <c r="Q24" s="7">
        <f t="shared" si="23"/>
        <v>26.477221470455572</v>
      </c>
      <c r="R24" s="96">
        <f t="shared" si="19"/>
        <v>33.408582406615892</v>
      </c>
      <c r="S24" s="1"/>
      <c r="T24" s="23" t="s">
        <v>169</v>
      </c>
      <c r="U24" s="23" t="s">
        <v>132</v>
      </c>
      <c r="V24" s="23" t="s">
        <v>170</v>
      </c>
      <c r="W24" s="23" t="s">
        <v>171</v>
      </c>
      <c r="X24" s="23" t="s">
        <v>96</v>
      </c>
      <c r="Y24" s="32"/>
      <c r="Z24" s="98"/>
      <c r="AA24" s="98"/>
      <c r="AB24" s="98"/>
      <c r="AC24" s="98"/>
      <c r="AD24" s="98"/>
      <c r="AE24" s="98"/>
      <c r="AF24" s="98"/>
      <c r="AG24" s="98"/>
    </row>
    <row r="25" spans="1:33" ht="14.4">
      <c r="A25" s="56"/>
      <c r="B25" s="50" t="s">
        <v>172</v>
      </c>
      <c r="C25" s="24">
        <f t="shared" ref="C25:H25" si="24">(C29/C34)^(1/5)-1</f>
        <v>0.21957407860239431</v>
      </c>
      <c r="D25" s="24">
        <f t="shared" si="24"/>
        <v>0.2044204429244918</v>
      </c>
      <c r="E25" s="24">
        <f t="shared" si="24"/>
        <v>0.43096908110525556</v>
      </c>
      <c r="F25" s="24">
        <f t="shared" si="24"/>
        <v>0.32604044756621664</v>
      </c>
      <c r="G25" s="24">
        <f t="shared" si="24"/>
        <v>1.9513310786390958E-2</v>
      </c>
      <c r="H25" s="24">
        <f t="shared" si="24"/>
        <v>0.30100494312726855</v>
      </c>
      <c r="I25" s="24">
        <f>AVERAGE(I29:I34)</f>
        <v>0.19188091753055705</v>
      </c>
      <c r="J25" s="24">
        <f>(J29/J34)^(1/5)-1</f>
        <v>0.30941765960583978</v>
      </c>
      <c r="K25" s="24">
        <f t="shared" ref="K25:L25" si="25">AVERAGE(K29:K34)</f>
        <v>0.16566350442376573</v>
      </c>
      <c r="L25" s="51">
        <f t="shared" si="25"/>
        <v>55.263175360234186</v>
      </c>
      <c r="N25" s="24">
        <f t="shared" ref="N25:O25" si="26">(N29/N34)^(1/5)-1</f>
        <v>0.30884969590246358</v>
      </c>
      <c r="O25" s="24">
        <f t="shared" si="26"/>
        <v>0.28431316461036915</v>
      </c>
      <c r="P25" s="7">
        <f t="shared" ref="P25:Q25" si="27">AVERAGE(P29:P34)</f>
        <v>49.691139550279196</v>
      </c>
      <c r="Q25" s="7">
        <f t="shared" si="27"/>
        <v>29.313579258758974</v>
      </c>
      <c r="R25" s="96">
        <f t="shared" si="19"/>
        <v>39.502359404519083</v>
      </c>
      <c r="S25" s="1"/>
      <c r="T25" s="65" t="s">
        <v>173</v>
      </c>
      <c r="U25" s="66">
        <v>3434</v>
      </c>
      <c r="V25" s="66">
        <v>2951</v>
      </c>
      <c r="W25" s="32">
        <f t="shared" ref="W25:W31" si="28">U25/$U$33</f>
        <v>0.65861143076332951</v>
      </c>
      <c r="X25" s="32">
        <f t="shared" ref="X25:X31" si="29">(U25/V25)-1</f>
        <v>0.16367333107421222</v>
      </c>
      <c r="Y25" s="32"/>
      <c r="Z25" s="64"/>
      <c r="AA25" s="64"/>
      <c r="AB25" s="64"/>
      <c r="AC25" s="64"/>
      <c r="AD25" s="64"/>
      <c r="AE25" s="64"/>
      <c r="AF25" s="64"/>
      <c r="AG25" s="64"/>
    </row>
    <row r="26" spans="1:33" thickBot="1">
      <c r="A26" s="56"/>
      <c r="B26" s="99" t="s">
        <v>152</v>
      </c>
      <c r="C26" s="100">
        <f t="shared" ref="C26:H26" si="30">(C29/C30)^(1/1)-1</f>
        <v>0.18068391866913114</v>
      </c>
      <c r="D26" s="100">
        <f t="shared" si="30"/>
        <v>0.14885862267408401</v>
      </c>
      <c r="E26" s="100">
        <f t="shared" si="30"/>
        <v>-0.18918918918918914</v>
      </c>
      <c r="F26" s="100">
        <f t="shared" si="30"/>
        <v>0.3666666666666667</v>
      </c>
      <c r="G26" s="100">
        <f t="shared" si="30"/>
        <v>0</v>
      </c>
      <c r="H26" s="100">
        <f t="shared" si="30"/>
        <v>0.36735373570662011</v>
      </c>
      <c r="I26" s="100">
        <f>I29</f>
        <v>0.28100000000000003</v>
      </c>
      <c r="J26" s="100">
        <f>(J29/J30)^(1/1)-1</f>
        <v>0.21328135876374765</v>
      </c>
      <c r="K26" s="100">
        <f t="shared" ref="K26:L26" si="31">K29</f>
        <v>0.19254999885455085</v>
      </c>
      <c r="L26" s="101">
        <f t="shared" si="31"/>
        <v>56.866666666666667</v>
      </c>
      <c r="M26" s="102"/>
      <c r="N26" s="100">
        <f t="shared" ref="N26:O26" si="32">(N29/N30)^(1/1)-1</f>
        <v>7.815035154137373E-2</v>
      </c>
      <c r="O26" s="100">
        <f t="shared" si="32"/>
        <v>0.24153976311336711</v>
      </c>
      <c r="P26" s="103">
        <f t="shared" ref="P26:Q26" si="33">P29</f>
        <v>35.967523680649528</v>
      </c>
      <c r="Q26" s="103">
        <f t="shared" si="33"/>
        <v>26.477221470455572</v>
      </c>
      <c r="R26" s="104">
        <f>AVERAGE(R23:R25)</f>
        <v>32.271478103375003</v>
      </c>
      <c r="S26" s="1"/>
      <c r="T26" s="69" t="s">
        <v>174</v>
      </c>
      <c r="U26" s="66">
        <v>188</v>
      </c>
      <c r="V26" s="66">
        <v>174</v>
      </c>
      <c r="W26" s="32">
        <f t="shared" si="28"/>
        <v>3.6056770233985423E-2</v>
      </c>
      <c r="X26" s="32">
        <f t="shared" si="29"/>
        <v>8.0459770114942541E-2</v>
      </c>
      <c r="Y26" s="32"/>
      <c r="Z26" s="32"/>
      <c r="AA26" s="32"/>
      <c r="AB26" s="32"/>
      <c r="AC26" s="32"/>
      <c r="AD26" s="32"/>
      <c r="AE26" s="32"/>
      <c r="AF26" s="32"/>
      <c r="AG26" s="32"/>
    </row>
    <row r="27" spans="1:33" thickTop="1">
      <c r="A27" s="56"/>
      <c r="C27" s="12">
        <f>C29/C49</f>
        <v>29.14448669201521</v>
      </c>
      <c r="F27" s="12">
        <f>F29/F49</f>
        <v>280.16666666666669</v>
      </c>
      <c r="H27" s="7">
        <f>(F32*H45)/F45</f>
        <v>2182.02</v>
      </c>
      <c r="N27" s="12">
        <f t="shared" ref="N27:O27" si="34">N32*42</f>
        <v>111300</v>
      </c>
      <c r="O27" s="12">
        <f t="shared" si="34"/>
        <v>48426</v>
      </c>
      <c r="S27" s="1"/>
      <c r="T27" s="78" t="s">
        <v>175</v>
      </c>
      <c r="U27" s="66">
        <v>-70</v>
      </c>
      <c r="V27" s="66">
        <v>-202</v>
      </c>
      <c r="W27" s="32">
        <f t="shared" si="28"/>
        <v>-1.3425393172228616E-2</v>
      </c>
      <c r="X27" s="32">
        <f t="shared" si="29"/>
        <v>-0.65346534653465349</v>
      </c>
      <c r="Y27" s="32"/>
      <c r="Z27" s="32"/>
      <c r="AA27" s="32"/>
      <c r="AB27" s="32"/>
      <c r="AC27" s="32"/>
      <c r="AD27" s="32"/>
      <c r="AE27" s="32"/>
      <c r="AF27" s="32"/>
      <c r="AG27" s="32"/>
    </row>
    <row r="28" spans="1:33" ht="14.4">
      <c r="A28" s="105" t="s">
        <v>176</v>
      </c>
      <c r="B28" s="23" t="s">
        <v>177</v>
      </c>
      <c r="C28" s="23" t="s">
        <v>118</v>
      </c>
      <c r="D28" s="23" t="s">
        <v>155</v>
      </c>
      <c r="E28" s="23" t="s">
        <v>156</v>
      </c>
      <c r="F28" s="23" t="s">
        <v>142</v>
      </c>
      <c r="G28" s="23" t="s">
        <v>157</v>
      </c>
      <c r="H28" s="23" t="s">
        <v>79</v>
      </c>
      <c r="I28" s="23" t="s">
        <v>158</v>
      </c>
      <c r="J28" s="23" t="s">
        <v>159</v>
      </c>
      <c r="K28" s="23" t="s">
        <v>51</v>
      </c>
      <c r="L28" s="23" t="s">
        <v>108</v>
      </c>
      <c r="M28" s="23" t="s">
        <v>161</v>
      </c>
      <c r="N28" s="23" t="s">
        <v>162</v>
      </c>
      <c r="O28" s="23" t="s">
        <v>163</v>
      </c>
      <c r="P28" s="23" t="s">
        <v>164</v>
      </c>
      <c r="Q28" s="23" t="s">
        <v>165</v>
      </c>
      <c r="R28" s="23" t="s">
        <v>166</v>
      </c>
      <c r="S28" s="1"/>
      <c r="T28" s="78" t="s">
        <v>178</v>
      </c>
      <c r="U28" s="83">
        <v>527</v>
      </c>
      <c r="V28" s="83">
        <v>480</v>
      </c>
      <c r="W28" s="32">
        <f t="shared" si="28"/>
        <v>0.10107403145377829</v>
      </c>
      <c r="X28" s="32">
        <f t="shared" si="29"/>
        <v>9.7916666666666652E-2</v>
      </c>
      <c r="Y28" s="32"/>
      <c r="Z28" s="32"/>
      <c r="AA28" s="32"/>
      <c r="AB28" s="32"/>
      <c r="AC28" s="32"/>
      <c r="AD28" s="32"/>
      <c r="AE28" s="32"/>
      <c r="AF28" s="32"/>
      <c r="AG28" s="32"/>
    </row>
    <row r="29" spans="1:33" ht="14.4">
      <c r="B29" s="12" t="s">
        <v>131</v>
      </c>
      <c r="C29" s="106">
        <v>7665</v>
      </c>
      <c r="D29" s="106">
        <v>5989</v>
      </c>
      <c r="E29" s="12">
        <v>30</v>
      </c>
      <c r="F29" s="12">
        <v>1681</v>
      </c>
      <c r="G29" s="7">
        <v>15.2</v>
      </c>
      <c r="H29" s="7">
        <v>110.85</v>
      </c>
      <c r="I29" s="24">
        <v>0.28100000000000003</v>
      </c>
      <c r="J29" s="106">
        <v>8715</v>
      </c>
      <c r="K29" s="24">
        <f t="shared" ref="K29:K51" si="35">F29/(J29+G29)</f>
        <v>0.19254999885455085</v>
      </c>
      <c r="L29" s="107">
        <f t="shared" ref="L29:L51" si="36">(C29-D29+E29)/E29</f>
        <v>56.866666666666667</v>
      </c>
      <c r="N29" s="12">
        <v>3987</v>
      </c>
      <c r="O29" s="12">
        <v>2935</v>
      </c>
      <c r="P29" s="108">
        <f t="shared" ref="P29:P51" si="37">N29/H29</f>
        <v>35.967523680649528</v>
      </c>
      <c r="Q29" s="108">
        <f t="shared" ref="Q29:Q51" si="38">O29/H29</f>
        <v>26.477221470455572</v>
      </c>
      <c r="R29" s="108">
        <f t="shared" ref="R29:R50" si="39">AVERAGE(P29:Q29)</f>
        <v>31.222372575552548</v>
      </c>
      <c r="S29" s="1"/>
      <c r="T29" s="78" t="s">
        <v>179</v>
      </c>
      <c r="U29" s="66">
        <v>37</v>
      </c>
      <c r="V29" s="66">
        <v>12</v>
      </c>
      <c r="W29" s="32">
        <f t="shared" si="28"/>
        <v>7.0962792481779821E-3</v>
      </c>
      <c r="X29" s="32">
        <f t="shared" si="29"/>
        <v>2.0833333333333335</v>
      </c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3" ht="14.4">
      <c r="A30" s="56"/>
      <c r="B30" s="12" t="s">
        <v>132</v>
      </c>
      <c r="C30" s="106">
        <v>6492</v>
      </c>
      <c r="D30" s="106">
        <v>5213</v>
      </c>
      <c r="E30" s="12">
        <v>37</v>
      </c>
      <c r="F30" s="12">
        <v>1230</v>
      </c>
      <c r="G30" s="7">
        <v>15.2</v>
      </c>
      <c r="H30" s="7">
        <v>81.069000000000003</v>
      </c>
      <c r="I30" s="24">
        <v>0.2359</v>
      </c>
      <c r="J30" s="106">
        <v>7183</v>
      </c>
      <c r="K30" s="24">
        <f t="shared" si="35"/>
        <v>0.17087605234641995</v>
      </c>
      <c r="L30" s="107">
        <f t="shared" si="36"/>
        <v>35.567567567567565</v>
      </c>
      <c r="N30" s="12">
        <v>3698</v>
      </c>
      <c r="O30" s="12">
        <v>2364</v>
      </c>
      <c r="P30" s="108">
        <f t="shared" si="37"/>
        <v>45.615463370708902</v>
      </c>
      <c r="Q30" s="108">
        <f t="shared" si="38"/>
        <v>29.160344891388817</v>
      </c>
      <c r="R30" s="108">
        <f t="shared" si="39"/>
        <v>37.387904131048856</v>
      </c>
      <c r="S30" s="1"/>
      <c r="T30" s="78" t="s">
        <v>180</v>
      </c>
      <c r="U30" s="66">
        <v>227</v>
      </c>
      <c r="V30" s="66">
        <v>202</v>
      </c>
      <c r="W30" s="32">
        <f t="shared" si="28"/>
        <v>4.353663214422708E-2</v>
      </c>
      <c r="X30" s="32">
        <f t="shared" si="29"/>
        <v>0.12376237623762387</v>
      </c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thickBot="1">
      <c r="A31" s="109"/>
      <c r="B31" s="12" t="s">
        <v>170</v>
      </c>
      <c r="C31" s="106">
        <v>5300</v>
      </c>
      <c r="D31" s="106">
        <v>4371</v>
      </c>
      <c r="E31" s="12">
        <v>12</v>
      </c>
      <c r="F31" s="12">
        <v>844</v>
      </c>
      <c r="G31" s="7">
        <v>15.2</v>
      </c>
      <c r="H31" s="7">
        <v>55.65</v>
      </c>
      <c r="I31" s="24">
        <v>0.19309999999999999</v>
      </c>
      <c r="J31" s="106">
        <v>6105</v>
      </c>
      <c r="K31" s="24">
        <f t="shared" si="35"/>
        <v>0.13790399006568413</v>
      </c>
      <c r="L31" s="107">
        <f t="shared" si="36"/>
        <v>78.416666666666671</v>
      </c>
      <c r="N31" s="12">
        <v>3535</v>
      </c>
      <c r="O31" s="12">
        <v>2201</v>
      </c>
      <c r="P31" s="108">
        <f t="shared" si="37"/>
        <v>63.522012578616355</v>
      </c>
      <c r="Q31" s="108">
        <f t="shared" si="38"/>
        <v>39.550763701707098</v>
      </c>
      <c r="R31" s="108">
        <f t="shared" si="39"/>
        <v>51.536388140161726</v>
      </c>
      <c r="S31" s="1"/>
      <c r="T31" s="91" t="s">
        <v>181</v>
      </c>
      <c r="U31" s="92">
        <v>871</v>
      </c>
      <c r="V31" s="92">
        <v>754</v>
      </c>
      <c r="W31" s="93">
        <f t="shared" si="28"/>
        <v>0.16705024932873033</v>
      </c>
      <c r="X31" s="93">
        <f t="shared" si="29"/>
        <v>0.15517241379310343</v>
      </c>
      <c r="Z31" s="32"/>
      <c r="AA31" s="32"/>
      <c r="AB31" s="32"/>
      <c r="AC31" s="32"/>
      <c r="AD31" s="32"/>
      <c r="AE31" s="32"/>
      <c r="AF31" s="32"/>
      <c r="AG31" s="32"/>
    </row>
    <row r="32" spans="1:33" thickTop="1">
      <c r="A32" s="1"/>
      <c r="B32" s="12" t="s">
        <v>182</v>
      </c>
      <c r="C32" s="110">
        <v>4577</v>
      </c>
      <c r="D32" s="110">
        <v>3768</v>
      </c>
      <c r="E32" s="111">
        <v>28</v>
      </c>
      <c r="F32" s="111">
        <v>738</v>
      </c>
      <c r="G32" s="112">
        <v>15.2</v>
      </c>
      <c r="H32" s="113">
        <v>49.92</v>
      </c>
      <c r="I32" s="114">
        <f t="shared" ref="I32:I50" si="40">F32/C32</f>
        <v>0.16124098754642779</v>
      </c>
      <c r="J32" s="115">
        <v>5327</v>
      </c>
      <c r="K32" s="24">
        <f t="shared" si="35"/>
        <v>0.13814533338325036</v>
      </c>
      <c r="L32" s="107">
        <f t="shared" si="36"/>
        <v>29.892857142857142</v>
      </c>
      <c r="M32" s="116"/>
      <c r="N32" s="117">
        <v>2650</v>
      </c>
      <c r="O32" s="118">
        <v>1153</v>
      </c>
      <c r="P32" s="108">
        <f t="shared" si="37"/>
        <v>53.084935897435898</v>
      </c>
      <c r="Q32" s="108">
        <f t="shared" si="38"/>
        <v>23.096955128205128</v>
      </c>
      <c r="R32" s="108">
        <f t="shared" si="39"/>
        <v>38.090945512820511</v>
      </c>
      <c r="S32" s="1"/>
      <c r="T32" s="1"/>
      <c r="U32" s="1"/>
      <c r="V32" s="1"/>
      <c r="W32" s="1"/>
      <c r="X32" s="1"/>
      <c r="Y32" s="1"/>
      <c r="Z32" s="32"/>
      <c r="AA32" s="32"/>
      <c r="AB32" s="32"/>
      <c r="AC32" s="32"/>
      <c r="AD32" s="32"/>
      <c r="AE32" s="32"/>
      <c r="AF32" s="32"/>
      <c r="AG32" s="32"/>
    </row>
    <row r="33" spans="1:33" ht="14.4">
      <c r="A33" s="119"/>
      <c r="B33" s="12" t="s">
        <v>183</v>
      </c>
      <c r="C33" s="110">
        <v>3367</v>
      </c>
      <c r="D33" s="110">
        <v>2802</v>
      </c>
      <c r="E33" s="111">
        <v>17</v>
      </c>
      <c r="F33" s="111">
        <v>457</v>
      </c>
      <c r="G33" s="112">
        <v>13.8</v>
      </c>
      <c r="H33" s="113">
        <v>33.08</v>
      </c>
      <c r="I33" s="114">
        <f t="shared" si="40"/>
        <v>0.13572913572913572</v>
      </c>
      <c r="J33" s="115">
        <v>2605</v>
      </c>
      <c r="K33" s="24">
        <f t="shared" si="35"/>
        <v>0.17450740797311745</v>
      </c>
      <c r="L33" s="107">
        <f t="shared" si="36"/>
        <v>34.235294117647058</v>
      </c>
      <c r="M33" s="116"/>
      <c r="N33" s="117">
        <v>2152</v>
      </c>
      <c r="O33" s="118">
        <v>971</v>
      </c>
      <c r="P33" s="108">
        <f t="shared" si="37"/>
        <v>65.054413542926241</v>
      </c>
      <c r="Q33" s="108">
        <f t="shared" si="38"/>
        <v>29.353083434099155</v>
      </c>
      <c r="R33" s="108">
        <f t="shared" si="39"/>
        <v>47.203748488512701</v>
      </c>
      <c r="S33" s="1"/>
      <c r="T33" s="120" t="s">
        <v>92</v>
      </c>
      <c r="U33" s="121">
        <f t="shared" ref="U33:V33" si="41">SUM(U25:U31)</f>
        <v>5214</v>
      </c>
      <c r="V33" s="121">
        <f t="shared" si="41"/>
        <v>4371</v>
      </c>
      <c r="W33" s="122">
        <f>U33/$U$33</f>
        <v>1</v>
      </c>
      <c r="X33" s="122">
        <f>(U33/V33)-1</f>
        <v>0.19286204529855877</v>
      </c>
      <c r="Y33" s="123"/>
    </row>
    <row r="34" spans="1:33" ht="14.4">
      <c r="A34" s="119"/>
      <c r="B34" s="12" t="s">
        <v>184</v>
      </c>
      <c r="C34" s="110">
        <v>2841</v>
      </c>
      <c r="D34" s="110">
        <v>2363</v>
      </c>
      <c r="E34" s="111">
        <v>5</v>
      </c>
      <c r="F34" s="111">
        <v>410</v>
      </c>
      <c r="G34" s="112">
        <v>13.8</v>
      </c>
      <c r="H34" s="124">
        <v>29.74</v>
      </c>
      <c r="I34" s="114">
        <f t="shared" si="40"/>
        <v>0.14431538190777896</v>
      </c>
      <c r="J34" s="115">
        <v>2264</v>
      </c>
      <c r="K34" s="24">
        <f t="shared" si="35"/>
        <v>0.1799982439195715</v>
      </c>
      <c r="L34" s="107">
        <f t="shared" si="36"/>
        <v>96.6</v>
      </c>
      <c r="M34" s="116"/>
      <c r="N34" s="117">
        <v>1038</v>
      </c>
      <c r="O34" s="118">
        <v>839.95</v>
      </c>
      <c r="P34" s="108">
        <f t="shared" si="37"/>
        <v>34.902488231338268</v>
      </c>
      <c r="Q34" s="108">
        <f t="shared" si="38"/>
        <v>28.243106926698054</v>
      </c>
      <c r="R34" s="108">
        <f t="shared" si="39"/>
        <v>31.572797579018161</v>
      </c>
      <c r="S34" s="1"/>
      <c r="T34" s="125"/>
      <c r="U34" s="126"/>
      <c r="V34" s="38"/>
      <c r="W34" s="37"/>
      <c r="X34" s="37"/>
      <c r="Y34" s="37"/>
      <c r="Z34" s="1"/>
      <c r="AA34" s="1"/>
      <c r="AB34" s="1"/>
      <c r="AC34" s="1"/>
      <c r="AD34" s="1"/>
      <c r="AE34" s="1"/>
      <c r="AF34" s="1"/>
      <c r="AG34" s="1"/>
    </row>
    <row r="35" spans="1:33" ht="14.4">
      <c r="A35" s="1"/>
      <c r="B35" s="12" t="s">
        <v>185</v>
      </c>
      <c r="C35" s="115">
        <v>2309</v>
      </c>
      <c r="D35" s="115">
        <v>1904</v>
      </c>
      <c r="E35" s="112">
        <v>5</v>
      </c>
      <c r="F35" s="127">
        <v>368</v>
      </c>
      <c r="G35" s="112">
        <v>13.7</v>
      </c>
      <c r="H35" s="128">
        <v>26.67</v>
      </c>
      <c r="I35" s="114">
        <f t="shared" si="40"/>
        <v>0.15937635339974016</v>
      </c>
      <c r="J35" s="115">
        <v>1911</v>
      </c>
      <c r="K35" s="24">
        <f t="shared" si="35"/>
        <v>0.19119862835766613</v>
      </c>
      <c r="L35" s="107">
        <f t="shared" si="36"/>
        <v>82</v>
      </c>
      <c r="M35" s="116"/>
      <c r="N35" s="117">
        <v>1035</v>
      </c>
      <c r="O35" s="113">
        <v>819</v>
      </c>
      <c r="P35" s="108">
        <f t="shared" si="37"/>
        <v>38.80764904386951</v>
      </c>
      <c r="Q35" s="108">
        <f t="shared" si="38"/>
        <v>30.708661417322833</v>
      </c>
      <c r="R35" s="108">
        <f t="shared" si="39"/>
        <v>34.758155230596174</v>
      </c>
      <c r="S35" s="1"/>
      <c r="T35" s="23" t="s">
        <v>186</v>
      </c>
      <c r="U35" s="23" t="s">
        <v>132</v>
      </c>
      <c r="V35" s="23" t="s">
        <v>187</v>
      </c>
      <c r="W35" s="129"/>
      <c r="X35" s="129"/>
      <c r="Y35" s="129"/>
      <c r="Z35" s="123"/>
      <c r="AA35" s="123"/>
      <c r="AB35" s="123"/>
      <c r="AC35" s="123"/>
      <c r="AD35" s="123"/>
      <c r="AE35" s="123"/>
      <c r="AF35" s="123"/>
      <c r="AG35" s="123"/>
    </row>
    <row r="36" spans="1:33" ht="14.4">
      <c r="A36" s="1"/>
      <c r="B36" s="12" t="s">
        <v>188</v>
      </c>
      <c r="C36" s="110">
        <v>2420</v>
      </c>
      <c r="D36" s="115">
        <v>1910</v>
      </c>
      <c r="E36" s="111">
        <v>7</v>
      </c>
      <c r="F36" s="111">
        <v>460</v>
      </c>
      <c r="G36" s="112">
        <v>13.7</v>
      </c>
      <c r="H36" s="128">
        <v>33.46</v>
      </c>
      <c r="I36" s="114">
        <f t="shared" si="40"/>
        <v>0.19008264462809918</v>
      </c>
      <c r="J36" s="130">
        <v>1613</v>
      </c>
      <c r="K36" s="24">
        <f t="shared" si="35"/>
        <v>0.28278109055142314</v>
      </c>
      <c r="L36" s="107">
        <f t="shared" si="36"/>
        <v>73.857142857142861</v>
      </c>
      <c r="M36" s="116"/>
      <c r="N36" s="117">
        <v>950.1</v>
      </c>
      <c r="O36" s="118">
        <v>553</v>
      </c>
      <c r="P36" s="108">
        <f t="shared" si="37"/>
        <v>28.395098625224147</v>
      </c>
      <c r="Q36" s="108">
        <f t="shared" si="38"/>
        <v>16.527196652719663</v>
      </c>
      <c r="R36" s="108">
        <f t="shared" si="39"/>
        <v>22.461147638971905</v>
      </c>
      <c r="S36" s="1"/>
      <c r="T36" s="72" t="s">
        <v>189</v>
      </c>
      <c r="U36" s="18">
        <v>0.46089999999999998</v>
      </c>
      <c r="V36" s="18">
        <v>0.69850000000000001</v>
      </c>
      <c r="W36" s="129"/>
      <c r="X36" s="129"/>
      <c r="Y36" s="129"/>
      <c r="Z36" s="37"/>
      <c r="AA36" s="37"/>
      <c r="AB36" s="37"/>
      <c r="AC36" s="37"/>
      <c r="AD36" s="37"/>
      <c r="AE36" s="37"/>
      <c r="AF36" s="37"/>
      <c r="AG36" s="37"/>
    </row>
    <row r="37" spans="1:33" ht="14.4">
      <c r="A37" s="1"/>
      <c r="B37" s="12" t="s">
        <v>190</v>
      </c>
      <c r="C37" s="110">
        <v>2097</v>
      </c>
      <c r="D37" s="110">
        <v>1716</v>
      </c>
      <c r="E37" s="111">
        <v>10</v>
      </c>
      <c r="F37" s="111">
        <v>315</v>
      </c>
      <c r="G37" s="112">
        <v>13.7</v>
      </c>
      <c r="H37" s="124">
        <v>22.86</v>
      </c>
      <c r="I37" s="114">
        <f t="shared" si="40"/>
        <v>0.15021459227467812</v>
      </c>
      <c r="J37" s="130">
        <v>1157</v>
      </c>
      <c r="K37" s="24">
        <f t="shared" si="35"/>
        <v>0.26906978730673953</v>
      </c>
      <c r="L37" s="107">
        <f t="shared" si="36"/>
        <v>39.1</v>
      </c>
      <c r="M37" s="116"/>
      <c r="N37" s="117">
        <v>785.65</v>
      </c>
      <c r="O37" s="118">
        <v>495.35</v>
      </c>
      <c r="P37" s="108">
        <f t="shared" si="37"/>
        <v>34.367891513560807</v>
      </c>
      <c r="Q37" s="108">
        <f t="shared" si="38"/>
        <v>21.668853893263343</v>
      </c>
      <c r="R37" s="108">
        <f t="shared" si="39"/>
        <v>28.018372703412076</v>
      </c>
      <c r="S37" s="1"/>
      <c r="T37" s="72" t="s">
        <v>191</v>
      </c>
      <c r="U37" s="18">
        <v>0.24210000000000001</v>
      </c>
      <c r="V37" s="18">
        <v>1.09E-2</v>
      </c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</row>
    <row r="38" spans="1:33" ht="14.4">
      <c r="A38" s="1"/>
      <c r="B38" s="12" t="s">
        <v>192</v>
      </c>
      <c r="C38" s="110">
        <v>1940</v>
      </c>
      <c r="D38" s="110">
        <v>1619</v>
      </c>
      <c r="E38" s="111">
        <v>10</v>
      </c>
      <c r="F38" s="111">
        <v>243</v>
      </c>
      <c r="G38" s="112">
        <v>13.6</v>
      </c>
      <c r="H38" s="124">
        <v>17.649999999999999</v>
      </c>
      <c r="I38" s="114">
        <f t="shared" si="40"/>
        <v>0.12525773195876289</v>
      </c>
      <c r="J38" s="130">
        <v>883</v>
      </c>
      <c r="K38" s="24">
        <f t="shared" si="35"/>
        <v>0.27102386794557215</v>
      </c>
      <c r="L38" s="107">
        <f t="shared" si="36"/>
        <v>33.1</v>
      </c>
      <c r="M38" s="116"/>
      <c r="N38" s="117">
        <v>712</v>
      </c>
      <c r="O38" s="118">
        <v>237.2</v>
      </c>
      <c r="P38" s="108">
        <f t="shared" si="37"/>
        <v>40.339943342776209</v>
      </c>
      <c r="Q38" s="108">
        <f t="shared" si="38"/>
        <v>13.439093484419264</v>
      </c>
      <c r="R38" s="108">
        <f t="shared" si="39"/>
        <v>26.889518413597735</v>
      </c>
      <c r="S38" s="1"/>
      <c r="T38" s="72" t="s">
        <v>193</v>
      </c>
      <c r="U38" s="18">
        <v>0.18590000000000001</v>
      </c>
      <c r="V38" s="18">
        <v>0.12909999999999999</v>
      </c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</row>
    <row r="39" spans="1:33" thickBot="1">
      <c r="A39" s="1"/>
      <c r="B39" s="12" t="s">
        <v>194</v>
      </c>
      <c r="C39" s="110">
        <v>1595</v>
      </c>
      <c r="D39" s="110">
        <v>1341</v>
      </c>
      <c r="E39" s="111">
        <v>12</v>
      </c>
      <c r="F39" s="111">
        <v>184</v>
      </c>
      <c r="G39" s="112">
        <v>13.6</v>
      </c>
      <c r="H39" s="124">
        <v>13.42</v>
      </c>
      <c r="I39" s="114">
        <f t="shared" si="40"/>
        <v>0.11536050156739812</v>
      </c>
      <c r="J39" s="115">
        <v>681</v>
      </c>
      <c r="K39" s="24">
        <f t="shared" si="35"/>
        <v>0.26490066225165559</v>
      </c>
      <c r="L39" s="107">
        <f t="shared" si="36"/>
        <v>22.166666666666668</v>
      </c>
      <c r="M39" s="131" t="s">
        <v>195</v>
      </c>
      <c r="N39" s="118">
        <v>655</v>
      </c>
      <c r="O39" s="132">
        <v>116</v>
      </c>
      <c r="P39" s="108">
        <f t="shared" si="37"/>
        <v>48.807749627421757</v>
      </c>
      <c r="Q39" s="108">
        <f t="shared" si="38"/>
        <v>8.6438152011922504</v>
      </c>
      <c r="R39" s="108">
        <f t="shared" si="39"/>
        <v>28.725782414307005</v>
      </c>
      <c r="S39" s="1"/>
      <c r="T39" s="61" t="s">
        <v>196</v>
      </c>
      <c r="U39" s="133">
        <v>0.1109</v>
      </c>
      <c r="V39" s="133">
        <v>0.16</v>
      </c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</row>
    <row r="40" spans="1:33" thickTop="1">
      <c r="A40" s="1"/>
      <c r="B40" s="12" t="s">
        <v>197</v>
      </c>
      <c r="C40" s="110">
        <v>1151</v>
      </c>
      <c r="D40" s="110">
        <v>993</v>
      </c>
      <c r="E40" s="111">
        <v>22</v>
      </c>
      <c r="F40" s="127">
        <v>96</v>
      </c>
      <c r="G40" s="112">
        <v>13.5</v>
      </c>
      <c r="H40" s="124">
        <v>7.52</v>
      </c>
      <c r="I40" s="114">
        <f t="shared" si="40"/>
        <v>8.3405734144222421E-2</v>
      </c>
      <c r="J40" s="115">
        <v>518</v>
      </c>
      <c r="K40" s="24">
        <f t="shared" si="35"/>
        <v>0.18062088428974601</v>
      </c>
      <c r="L40" s="107">
        <f t="shared" si="36"/>
        <v>8.1818181818181817</v>
      </c>
      <c r="N40" s="117">
        <v>693</v>
      </c>
      <c r="O40" s="118">
        <v>425</v>
      </c>
      <c r="P40" s="108">
        <f t="shared" si="37"/>
        <v>92.154255319148945</v>
      </c>
      <c r="Q40" s="108">
        <f t="shared" si="38"/>
        <v>56.515957446808514</v>
      </c>
      <c r="R40" s="108">
        <f t="shared" si="39"/>
        <v>74.335106382978722</v>
      </c>
      <c r="S40" s="1"/>
      <c r="V40" s="1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</row>
    <row r="41" spans="1:33" ht="14.4">
      <c r="A41" s="1"/>
      <c r="B41" s="12" t="s">
        <v>198</v>
      </c>
      <c r="C41" s="110">
        <v>877</v>
      </c>
      <c r="D41" s="110">
        <v>749</v>
      </c>
      <c r="E41" s="111">
        <v>25</v>
      </c>
      <c r="F41" s="111">
        <v>101</v>
      </c>
      <c r="G41" s="112">
        <v>12.5</v>
      </c>
      <c r="H41" s="124">
        <v>39.979999999999997</v>
      </c>
      <c r="I41" s="114">
        <f t="shared" si="40"/>
        <v>0.11516533637400228</v>
      </c>
      <c r="J41" s="115">
        <v>313</v>
      </c>
      <c r="K41" s="24">
        <f t="shared" si="35"/>
        <v>0.31029185867895548</v>
      </c>
      <c r="L41" s="107">
        <f t="shared" si="36"/>
        <v>6.12</v>
      </c>
      <c r="M41" s="131" t="s">
        <v>199</v>
      </c>
      <c r="N41" s="117">
        <v>1209.4000000000001</v>
      </c>
      <c r="O41" s="118">
        <v>424</v>
      </c>
      <c r="P41" s="108">
        <f t="shared" si="37"/>
        <v>30.250125062531271</v>
      </c>
      <c r="Q41" s="108">
        <f t="shared" si="38"/>
        <v>10.605302651325664</v>
      </c>
      <c r="R41" s="108">
        <f t="shared" si="39"/>
        <v>20.427713856928467</v>
      </c>
      <c r="S41" s="1"/>
      <c r="T41" s="134" t="s">
        <v>92</v>
      </c>
      <c r="U41" s="135">
        <f t="shared" ref="U41:V41" si="42">SUM(U36:U39)</f>
        <v>0.99980000000000002</v>
      </c>
      <c r="V41" s="135">
        <f t="shared" si="42"/>
        <v>0.99850000000000005</v>
      </c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</row>
    <row r="42" spans="1:33" ht="14.4">
      <c r="A42" s="1"/>
      <c r="B42" s="12" t="s">
        <v>200</v>
      </c>
      <c r="C42" s="110">
        <v>719</v>
      </c>
      <c r="D42" s="110">
        <v>611</v>
      </c>
      <c r="E42" s="111">
        <v>18</v>
      </c>
      <c r="F42" s="111">
        <v>64</v>
      </c>
      <c r="G42" s="112">
        <v>11.1</v>
      </c>
      <c r="H42" s="124">
        <v>51.27</v>
      </c>
      <c r="I42" s="114">
        <f t="shared" si="40"/>
        <v>8.9012517385257298E-2</v>
      </c>
      <c r="J42" s="115">
        <v>195</v>
      </c>
      <c r="K42" s="24">
        <f t="shared" si="35"/>
        <v>0.31052886948083458</v>
      </c>
      <c r="L42" s="107">
        <f t="shared" si="36"/>
        <v>7</v>
      </c>
      <c r="M42" s="131" t="s">
        <v>201</v>
      </c>
      <c r="N42" s="117">
        <v>710</v>
      </c>
      <c r="O42" s="118">
        <v>383</v>
      </c>
      <c r="P42" s="108">
        <f t="shared" si="37"/>
        <v>13.848254339769845</v>
      </c>
      <c r="Q42" s="108">
        <f t="shared" si="38"/>
        <v>7.4702555100448604</v>
      </c>
      <c r="R42" s="108">
        <f t="shared" si="39"/>
        <v>10.659254924907353</v>
      </c>
      <c r="S42" s="1"/>
      <c r="Z42" s="129"/>
      <c r="AA42" s="129"/>
      <c r="AB42" s="129"/>
      <c r="AC42" s="129"/>
      <c r="AD42" s="129"/>
      <c r="AE42" s="129"/>
      <c r="AF42" s="129"/>
      <c r="AG42" s="129"/>
    </row>
    <row r="43" spans="1:33" ht="14.4">
      <c r="A43" s="1"/>
      <c r="B43" s="12" t="s">
        <v>202</v>
      </c>
      <c r="C43" s="110">
        <v>543</v>
      </c>
      <c r="D43" s="110">
        <v>469</v>
      </c>
      <c r="E43" s="111">
        <v>18</v>
      </c>
      <c r="F43" s="111">
        <v>41</v>
      </c>
      <c r="G43" s="112">
        <v>7</v>
      </c>
      <c r="H43" s="124">
        <v>51.98</v>
      </c>
      <c r="I43" s="114">
        <f t="shared" si="40"/>
        <v>7.550644567219153E-2</v>
      </c>
      <c r="J43" s="115">
        <v>127</v>
      </c>
      <c r="K43" s="24">
        <f t="shared" si="35"/>
        <v>0.30597014925373134</v>
      </c>
      <c r="L43" s="107">
        <f t="shared" si="36"/>
        <v>5.1111111111111107</v>
      </c>
      <c r="N43" s="136">
        <v>452</v>
      </c>
      <c r="O43" s="108">
        <v>117</v>
      </c>
      <c r="P43" s="108">
        <f t="shared" si="37"/>
        <v>8.6956521739130448</v>
      </c>
      <c r="Q43" s="108">
        <f t="shared" si="38"/>
        <v>2.2508657175836864</v>
      </c>
      <c r="R43" s="108">
        <f t="shared" si="39"/>
        <v>5.4732589457483654</v>
      </c>
      <c r="S43" s="1"/>
      <c r="Z43" s="129"/>
      <c r="AA43" s="129"/>
      <c r="AB43" s="129"/>
      <c r="AC43" s="129"/>
      <c r="AD43" s="129"/>
      <c r="AE43" s="129"/>
      <c r="AF43" s="129"/>
      <c r="AG43" s="129"/>
    </row>
    <row r="44" spans="1:33" ht="14.4">
      <c r="A44" s="1"/>
      <c r="B44" s="12" t="s">
        <v>203</v>
      </c>
      <c r="C44" s="110">
        <v>463</v>
      </c>
      <c r="D44" s="110">
        <v>410</v>
      </c>
      <c r="E44" s="111">
        <v>22</v>
      </c>
      <c r="F44" s="111">
        <v>23</v>
      </c>
      <c r="G44" s="111">
        <v>3.5</v>
      </c>
      <c r="H44" s="124">
        <v>32.57</v>
      </c>
      <c r="I44" s="114">
        <f t="shared" si="40"/>
        <v>4.9676025917926567E-2</v>
      </c>
      <c r="J44" s="115">
        <v>90</v>
      </c>
      <c r="K44" s="24">
        <f t="shared" si="35"/>
        <v>0.24598930481283424</v>
      </c>
      <c r="L44" s="107">
        <f t="shared" si="36"/>
        <v>3.4090909090909092</v>
      </c>
      <c r="M44" s="131" t="s">
        <v>204</v>
      </c>
      <c r="N44" s="117">
        <v>336</v>
      </c>
      <c r="O44" s="108">
        <v>181</v>
      </c>
      <c r="P44" s="108">
        <f t="shared" si="37"/>
        <v>10.316241940435983</v>
      </c>
      <c r="Q44" s="108">
        <f t="shared" si="38"/>
        <v>5.5572612833896224</v>
      </c>
      <c r="R44" s="108">
        <f t="shared" si="39"/>
        <v>7.9367516119128023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4.4">
      <c r="A45" s="1"/>
      <c r="B45" s="12" t="s">
        <v>205</v>
      </c>
      <c r="C45" s="137">
        <v>371</v>
      </c>
      <c r="D45" s="110">
        <v>349</v>
      </c>
      <c r="E45" s="111">
        <v>18</v>
      </c>
      <c r="F45" s="111">
        <v>6</v>
      </c>
      <c r="G45" s="111">
        <v>3.5</v>
      </c>
      <c r="H45" s="124">
        <v>17.739999999999998</v>
      </c>
      <c r="I45" s="114">
        <f t="shared" si="40"/>
        <v>1.6172506738544475E-2</v>
      </c>
      <c r="J45" s="115">
        <v>70</v>
      </c>
      <c r="K45" s="24">
        <f t="shared" si="35"/>
        <v>8.1632653061224483E-2</v>
      </c>
      <c r="L45" s="107">
        <f t="shared" si="36"/>
        <v>2.2222222222222223</v>
      </c>
      <c r="M45" s="116"/>
      <c r="N45" s="136">
        <v>211</v>
      </c>
      <c r="O45" s="108">
        <v>151</v>
      </c>
      <c r="P45" s="108">
        <f t="shared" si="37"/>
        <v>11.894024802705751</v>
      </c>
      <c r="Q45" s="108">
        <f t="shared" si="38"/>
        <v>8.5118376550169117</v>
      </c>
      <c r="R45" s="108">
        <f t="shared" si="39"/>
        <v>10.202931228861331</v>
      </c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4.4">
      <c r="A46" s="1"/>
      <c r="B46" s="12" t="s">
        <v>206</v>
      </c>
      <c r="C46" s="115">
        <v>391</v>
      </c>
      <c r="D46" s="110">
        <v>328</v>
      </c>
      <c r="E46" s="111">
        <v>14</v>
      </c>
      <c r="F46" s="138">
        <v>5</v>
      </c>
      <c r="G46" s="111">
        <v>3.5</v>
      </c>
      <c r="H46" s="118">
        <v>12.59</v>
      </c>
      <c r="I46" s="114">
        <f t="shared" si="40"/>
        <v>1.278772378516624E-2</v>
      </c>
      <c r="J46" s="115">
        <v>61</v>
      </c>
      <c r="K46" s="24">
        <f t="shared" si="35"/>
        <v>7.7519379844961239E-2</v>
      </c>
      <c r="L46" s="107">
        <f t="shared" si="36"/>
        <v>5.5</v>
      </c>
      <c r="M46" s="116"/>
      <c r="N46" s="118">
        <v>178.5</v>
      </c>
      <c r="O46" s="108">
        <v>167</v>
      </c>
      <c r="P46" s="108">
        <f t="shared" si="37"/>
        <v>14.177918983320096</v>
      </c>
      <c r="Q46" s="108">
        <f t="shared" si="38"/>
        <v>13.264495631453535</v>
      </c>
      <c r="R46" s="108">
        <f t="shared" si="39"/>
        <v>13.721207307386816</v>
      </c>
      <c r="S46" s="1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spans="1:33" ht="14.4">
      <c r="A47" s="1"/>
      <c r="B47" s="12" t="s">
        <v>207</v>
      </c>
      <c r="C47" s="137">
        <v>327</v>
      </c>
      <c r="D47" s="139">
        <v>304</v>
      </c>
      <c r="E47" s="111">
        <v>10</v>
      </c>
      <c r="F47" s="127">
        <v>4</v>
      </c>
      <c r="G47" s="111">
        <v>3.5</v>
      </c>
      <c r="H47" s="113">
        <v>11.23</v>
      </c>
      <c r="I47" s="114">
        <f t="shared" si="40"/>
        <v>1.2232415902140673E-2</v>
      </c>
      <c r="J47" s="115">
        <v>54</v>
      </c>
      <c r="K47" s="24">
        <f t="shared" si="35"/>
        <v>6.9565217391304349E-2</v>
      </c>
      <c r="L47" s="107">
        <f t="shared" si="36"/>
        <v>3.3</v>
      </c>
      <c r="M47" s="116"/>
      <c r="N47" s="117">
        <v>180</v>
      </c>
      <c r="O47" s="108">
        <v>117.4</v>
      </c>
      <c r="P47" s="108">
        <f t="shared" si="37"/>
        <v>16.028495102404275</v>
      </c>
      <c r="Q47" s="108">
        <f t="shared" si="38"/>
        <v>10.454140694568121</v>
      </c>
      <c r="R47" s="108">
        <f t="shared" si="39"/>
        <v>13.241317898486198</v>
      </c>
      <c r="S47" s="1"/>
      <c r="T47" s="58"/>
      <c r="U47" s="58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spans="1:33" ht="14.4">
      <c r="A48" s="1"/>
      <c r="B48" s="12" t="s">
        <v>208</v>
      </c>
      <c r="C48" s="110">
        <v>341</v>
      </c>
      <c r="D48" s="110">
        <v>314</v>
      </c>
      <c r="E48" s="111">
        <v>8</v>
      </c>
      <c r="F48" s="111">
        <v>10</v>
      </c>
      <c r="G48" s="111">
        <v>3.5</v>
      </c>
      <c r="H48" s="118">
        <v>28.11</v>
      </c>
      <c r="I48" s="114">
        <f t="shared" si="40"/>
        <v>2.932551319648094E-2</v>
      </c>
      <c r="J48" s="115">
        <v>53</v>
      </c>
      <c r="K48" s="24">
        <f t="shared" si="35"/>
        <v>0.17699115044247787</v>
      </c>
      <c r="L48" s="107">
        <f t="shared" si="36"/>
        <v>4.375</v>
      </c>
      <c r="M48" s="116"/>
      <c r="N48" s="140">
        <v>136</v>
      </c>
      <c r="O48" s="108">
        <v>24.3</v>
      </c>
      <c r="P48" s="108">
        <f t="shared" si="37"/>
        <v>4.8381358946993958</v>
      </c>
      <c r="Q48" s="108">
        <f t="shared" si="38"/>
        <v>0.86446104589114203</v>
      </c>
      <c r="R48" s="108">
        <f t="shared" si="39"/>
        <v>2.8512984702952688</v>
      </c>
      <c r="S48" s="1"/>
      <c r="T48" s="58"/>
      <c r="U48" s="7"/>
      <c r="V48" s="7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1:33" ht="14.4">
      <c r="A49" s="1"/>
      <c r="B49" s="12" t="s">
        <v>209</v>
      </c>
      <c r="C49" s="110">
        <v>263</v>
      </c>
      <c r="D49" s="139">
        <v>241</v>
      </c>
      <c r="E49" s="111">
        <v>8</v>
      </c>
      <c r="F49" s="138">
        <v>6</v>
      </c>
      <c r="G49" s="111">
        <v>3.5</v>
      </c>
      <c r="H49" s="118">
        <v>16.940000000000001</v>
      </c>
      <c r="I49" s="114">
        <f t="shared" si="40"/>
        <v>2.2813688212927757E-2</v>
      </c>
      <c r="J49" s="115">
        <v>43</v>
      </c>
      <c r="K49" s="24">
        <f t="shared" si="35"/>
        <v>0.12903225806451613</v>
      </c>
      <c r="L49" s="107">
        <f t="shared" si="36"/>
        <v>3.75</v>
      </c>
      <c r="M49" s="116"/>
      <c r="N49" s="118">
        <v>24.15</v>
      </c>
      <c r="O49" s="108">
        <v>14.1</v>
      </c>
      <c r="P49" s="108">
        <f t="shared" si="37"/>
        <v>1.4256198347107436</v>
      </c>
      <c r="Q49" s="108">
        <f t="shared" si="38"/>
        <v>0.832349468713105</v>
      </c>
      <c r="R49" s="108">
        <f t="shared" si="39"/>
        <v>1.1289846517119244</v>
      </c>
      <c r="S49" s="1"/>
      <c r="T49" s="12"/>
      <c r="U49" s="7"/>
      <c r="V49" s="7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</row>
    <row r="50" spans="1:33" ht="14.4">
      <c r="A50" s="1"/>
      <c r="B50" s="12" t="s">
        <v>210</v>
      </c>
      <c r="C50" s="137">
        <v>206</v>
      </c>
      <c r="D50" s="141">
        <v>190</v>
      </c>
      <c r="E50" s="107">
        <v>9</v>
      </c>
      <c r="F50" s="127">
        <v>0.5</v>
      </c>
      <c r="G50" s="111">
        <v>3.5</v>
      </c>
      <c r="H50" s="142">
        <v>1.29</v>
      </c>
      <c r="I50" s="114">
        <f t="shared" si="40"/>
        <v>2.4271844660194173E-3</v>
      </c>
      <c r="J50" s="141">
        <v>36</v>
      </c>
      <c r="K50" s="24">
        <f t="shared" si="35"/>
        <v>1.2658227848101266E-2</v>
      </c>
      <c r="L50" s="107">
        <f t="shared" si="36"/>
        <v>2.7777777777777777</v>
      </c>
      <c r="M50" s="116"/>
      <c r="N50" s="118">
        <v>27.6</v>
      </c>
      <c r="O50" s="143">
        <v>12.5</v>
      </c>
      <c r="P50" s="108">
        <f t="shared" si="37"/>
        <v>21.395348837209301</v>
      </c>
      <c r="Q50" s="108">
        <f t="shared" si="38"/>
        <v>9.6899224806201545</v>
      </c>
      <c r="R50" s="108">
        <f t="shared" si="39"/>
        <v>15.542635658914728</v>
      </c>
      <c r="S50" s="1"/>
      <c r="T50" s="12"/>
      <c r="U50" s="7"/>
      <c r="V50" s="7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thickBot="1">
      <c r="A51" s="1"/>
      <c r="B51" s="102" t="s">
        <v>211</v>
      </c>
      <c r="C51" s="144">
        <v>254</v>
      </c>
      <c r="D51" s="144">
        <v>233</v>
      </c>
      <c r="E51" s="145">
        <v>11</v>
      </c>
      <c r="F51" s="145">
        <v>4</v>
      </c>
      <c r="G51" s="146">
        <v>3.5</v>
      </c>
      <c r="H51" s="147">
        <v>11.12</v>
      </c>
      <c r="I51" s="148">
        <f>100*F51/C51</f>
        <v>1.5748031496062993</v>
      </c>
      <c r="J51" s="144">
        <v>35</v>
      </c>
      <c r="K51" s="100">
        <f t="shared" si="35"/>
        <v>0.1038961038961039</v>
      </c>
      <c r="L51" s="148">
        <f t="shared" si="36"/>
        <v>2.9090909090909092</v>
      </c>
      <c r="M51" s="145"/>
      <c r="N51" s="149">
        <v>30</v>
      </c>
      <c r="O51" s="147">
        <v>13.5</v>
      </c>
      <c r="P51" s="147">
        <f t="shared" si="37"/>
        <v>2.6978417266187051</v>
      </c>
      <c r="Q51" s="147">
        <f t="shared" si="38"/>
        <v>1.2140287769784173</v>
      </c>
      <c r="R51" s="150"/>
      <c r="S51" s="1"/>
      <c r="T51" s="12"/>
      <c r="U51" s="12"/>
      <c r="V51" s="12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</row>
    <row r="52" spans="1:33" thickTop="1">
      <c r="S52" s="1"/>
      <c r="T52" s="12"/>
      <c r="U52" s="12"/>
      <c r="V52" s="12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</row>
    <row r="53" spans="1:33" ht="14.4">
      <c r="S53" s="1"/>
      <c r="T53" s="12"/>
      <c r="U53" s="57"/>
      <c r="V53" s="57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</row>
    <row r="54" spans="1:33" ht="14.4">
      <c r="S54" s="1"/>
      <c r="T54" s="12"/>
      <c r="U54" s="57"/>
      <c r="V54" s="57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</row>
    <row r="55" spans="1:33" ht="14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4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4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4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4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4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4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4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4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4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4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4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4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AA67" s="1"/>
      <c r="AB67" s="1"/>
      <c r="AC67" s="1"/>
      <c r="AD67" s="1"/>
      <c r="AE67" s="1"/>
      <c r="AF67" s="1"/>
      <c r="AG67" s="1"/>
    </row>
    <row r="68" spans="1:33" ht="14.4">
      <c r="A68" s="1"/>
      <c r="T68" s="151"/>
      <c r="U68" s="151"/>
      <c r="V68" s="151"/>
      <c r="W68" s="151"/>
      <c r="X68" s="151"/>
      <c r="Y68" s="151"/>
      <c r="Z68" s="151"/>
      <c r="AA68" s="1"/>
      <c r="AB68" s="1"/>
      <c r="AC68" s="1"/>
      <c r="AD68" s="1"/>
      <c r="AE68" s="1"/>
      <c r="AF68" s="1"/>
      <c r="AG68" s="1"/>
    </row>
    <row r="69" spans="1:33" ht="14.4">
      <c r="A69" s="1"/>
      <c r="D69" s="152"/>
      <c r="E69" s="152"/>
      <c r="F69" s="152"/>
      <c r="G69" s="152"/>
      <c r="H69" s="152"/>
      <c r="I69" s="152"/>
      <c r="J69" s="153"/>
      <c r="K69" s="153"/>
      <c r="L69" s="153"/>
      <c r="M69" s="153"/>
      <c r="N69" s="153"/>
      <c r="O69" s="153"/>
      <c r="P69" s="153"/>
      <c r="T69" s="151"/>
      <c r="U69" s="151"/>
      <c r="V69" s="151"/>
      <c r="W69" s="151"/>
      <c r="X69" s="151"/>
      <c r="Y69" s="151"/>
      <c r="Z69" s="151"/>
      <c r="AA69" s="1"/>
      <c r="AB69" s="1"/>
      <c r="AC69" s="1"/>
      <c r="AD69" s="1"/>
      <c r="AE69" s="1"/>
      <c r="AF69" s="1"/>
      <c r="AG69" s="1"/>
    </row>
    <row r="70" spans="1:33" ht="14.4">
      <c r="A70" s="1"/>
      <c r="D70" s="152"/>
      <c r="E70" s="152"/>
      <c r="F70" s="152"/>
      <c r="G70" s="152"/>
      <c r="H70" s="152"/>
      <c r="I70" s="152"/>
      <c r="J70" s="153"/>
      <c r="K70" s="153"/>
      <c r="L70" s="153"/>
      <c r="M70" s="153"/>
      <c r="N70" s="153"/>
      <c r="O70" s="153"/>
      <c r="P70" s="153"/>
      <c r="T70" s="151"/>
      <c r="U70" s="151"/>
      <c r="V70" s="151"/>
      <c r="W70" s="151"/>
      <c r="X70" s="151"/>
      <c r="Y70" s="151"/>
      <c r="Z70" s="151"/>
      <c r="AA70" s="1"/>
      <c r="AB70" s="1"/>
      <c r="AC70" s="1"/>
      <c r="AD70" s="1"/>
      <c r="AE70" s="1"/>
      <c r="AF70" s="1"/>
      <c r="AG70" s="1"/>
    </row>
    <row r="71" spans="1:33" ht="14.4">
      <c r="A71" s="1"/>
      <c r="D71" s="152"/>
      <c r="E71" s="152"/>
      <c r="F71" s="152"/>
      <c r="G71" s="152"/>
      <c r="H71" s="152"/>
      <c r="I71" s="152"/>
      <c r="J71" s="153"/>
      <c r="K71" s="153"/>
      <c r="L71" s="153"/>
      <c r="M71" s="153"/>
      <c r="N71" s="153"/>
      <c r="O71" s="153"/>
      <c r="P71" s="153"/>
      <c r="T71" s="151"/>
      <c r="U71" s="151"/>
      <c r="V71" s="151"/>
      <c r="W71" s="151"/>
      <c r="X71" s="154"/>
      <c r="Y71" s="151"/>
      <c r="Z71" s="151"/>
      <c r="AA71" s="1"/>
      <c r="AB71" s="1"/>
      <c r="AC71" s="1"/>
      <c r="AD71" s="1"/>
      <c r="AE71" s="1"/>
      <c r="AF71" s="1"/>
      <c r="AG71" s="1"/>
    </row>
    <row r="72" spans="1:33" ht="14.4">
      <c r="A72" s="1"/>
      <c r="D72" s="152"/>
      <c r="E72" s="152"/>
      <c r="F72" s="152"/>
      <c r="G72" s="152"/>
      <c r="H72" s="152"/>
      <c r="I72" s="152"/>
      <c r="J72" s="153"/>
      <c r="K72" s="153"/>
      <c r="L72" s="153"/>
      <c r="M72" s="153"/>
      <c r="N72" s="153"/>
      <c r="O72" s="153"/>
      <c r="P72" s="153"/>
      <c r="T72" s="151"/>
      <c r="U72" s="151"/>
      <c r="V72" s="151"/>
      <c r="W72" s="151"/>
      <c r="X72" s="154"/>
      <c r="Y72" s="151"/>
      <c r="Z72" s="151"/>
      <c r="AA72" s="1"/>
      <c r="AB72" s="1"/>
      <c r="AC72" s="1"/>
      <c r="AD72" s="1"/>
      <c r="AE72" s="1"/>
      <c r="AF72" s="1"/>
      <c r="AG72" s="1"/>
    </row>
    <row r="73" spans="1:33" ht="14.4">
      <c r="A73" s="1"/>
      <c r="D73" s="152"/>
      <c r="E73" s="152"/>
      <c r="F73" s="152"/>
      <c r="G73" s="152"/>
      <c r="H73" s="152"/>
      <c r="I73" s="152"/>
      <c r="J73" s="153"/>
      <c r="K73" s="153"/>
      <c r="L73" s="153"/>
      <c r="M73" s="153"/>
      <c r="N73" s="153"/>
      <c r="O73" s="153"/>
      <c r="P73" s="153"/>
      <c r="S73" s="155"/>
      <c r="T73" s="156"/>
      <c r="U73" s="156"/>
      <c r="V73" s="156"/>
      <c r="W73" s="156"/>
      <c r="X73" s="156"/>
      <c r="Y73" s="156"/>
      <c r="Z73" s="156"/>
      <c r="AA73" s="1"/>
      <c r="AB73" s="1"/>
      <c r="AC73" s="1"/>
      <c r="AD73" s="1"/>
      <c r="AE73" s="1"/>
      <c r="AF73" s="1"/>
      <c r="AG73" s="1"/>
    </row>
    <row r="74" spans="1:33" ht="14.4">
      <c r="A74" s="1"/>
      <c r="D74" s="153"/>
      <c r="E74" s="153"/>
      <c r="F74" s="157"/>
      <c r="G74" s="157"/>
      <c r="H74" s="157"/>
      <c r="I74" s="157"/>
      <c r="J74" s="153"/>
      <c r="K74" s="153"/>
      <c r="L74" s="153"/>
      <c r="M74" s="153"/>
      <c r="N74" s="157"/>
      <c r="O74" s="157"/>
      <c r="P74" s="157"/>
      <c r="S74" s="155"/>
      <c r="T74" s="156"/>
      <c r="U74" s="156"/>
      <c r="V74" s="156"/>
      <c r="W74" s="156"/>
      <c r="X74" s="156"/>
      <c r="Y74" s="156"/>
      <c r="Z74" s="156"/>
      <c r="AA74" s="1"/>
      <c r="AB74" s="1"/>
      <c r="AC74" s="1"/>
      <c r="AD74" s="1"/>
      <c r="AE74" s="1"/>
      <c r="AF74" s="1"/>
      <c r="AG74" s="1"/>
    </row>
    <row r="75" spans="1:33" ht="14.4">
      <c r="A75" s="1"/>
      <c r="D75" s="153"/>
      <c r="E75" s="153"/>
      <c r="F75" s="157"/>
      <c r="G75" s="157"/>
      <c r="H75" s="157"/>
      <c r="I75" s="157"/>
      <c r="J75" s="153"/>
      <c r="K75" s="153"/>
      <c r="L75" s="153"/>
      <c r="M75" s="153"/>
      <c r="N75" s="157"/>
      <c r="O75" s="157"/>
      <c r="P75" s="157"/>
      <c r="S75" s="155"/>
      <c r="T75" s="156"/>
      <c r="U75" s="156"/>
      <c r="V75" s="156"/>
      <c r="W75" s="156"/>
      <c r="X75" s="156"/>
      <c r="Y75" s="156"/>
      <c r="Z75" s="156"/>
      <c r="AA75" s="1"/>
      <c r="AB75" s="1"/>
      <c r="AC75" s="1"/>
      <c r="AD75" s="1"/>
      <c r="AE75" s="1"/>
      <c r="AF75" s="1"/>
      <c r="AG75" s="1"/>
    </row>
    <row r="76" spans="1:33" ht="14.4">
      <c r="A76" s="1"/>
      <c r="D76" s="153"/>
      <c r="E76" s="153"/>
      <c r="F76" s="157"/>
      <c r="G76" s="157"/>
      <c r="H76" s="157"/>
      <c r="I76" s="157"/>
      <c r="J76" s="153"/>
      <c r="K76" s="153"/>
      <c r="L76" s="153"/>
      <c r="M76" s="153"/>
      <c r="N76" s="157"/>
      <c r="O76" s="157"/>
      <c r="P76" s="157"/>
      <c r="S76" s="155"/>
      <c r="T76" s="156"/>
      <c r="U76" s="156"/>
      <c r="V76" s="156"/>
      <c r="W76" s="156"/>
      <c r="X76" s="156"/>
      <c r="Y76" s="156"/>
      <c r="Z76" s="156"/>
      <c r="AA76" s="1"/>
      <c r="AB76" s="1"/>
      <c r="AC76" s="1"/>
      <c r="AD76" s="1"/>
      <c r="AE76" s="1"/>
      <c r="AF76" s="1"/>
      <c r="AG76" s="1"/>
    </row>
    <row r="77" spans="1:33" ht="14.4">
      <c r="A77" s="1"/>
      <c r="D77" s="153"/>
      <c r="E77" s="153"/>
      <c r="F77" s="157"/>
      <c r="G77" s="157"/>
      <c r="H77" s="157"/>
      <c r="I77" s="157"/>
      <c r="J77" s="153"/>
      <c r="K77" s="153"/>
      <c r="L77" s="153"/>
      <c r="M77" s="153"/>
      <c r="N77" s="157"/>
      <c r="O77" s="157"/>
      <c r="P77" s="157"/>
      <c r="S77" s="155"/>
      <c r="T77" s="156"/>
      <c r="U77" s="156"/>
      <c r="V77" s="156"/>
      <c r="W77" s="156"/>
      <c r="X77" s="156"/>
      <c r="Y77" s="156"/>
      <c r="Z77" s="156"/>
      <c r="AA77" s="1"/>
      <c r="AB77" s="1"/>
      <c r="AC77" s="1"/>
      <c r="AD77" s="1"/>
      <c r="AE77" s="1"/>
      <c r="AF77" s="1"/>
      <c r="AG77" s="1"/>
    </row>
    <row r="78" spans="1:33" ht="14.4">
      <c r="A78" s="1"/>
      <c r="D78" s="153"/>
      <c r="E78" s="153"/>
      <c r="F78" s="157"/>
      <c r="G78" s="157"/>
      <c r="H78" s="157"/>
      <c r="I78" s="157"/>
      <c r="J78" s="153"/>
      <c r="K78" s="153"/>
      <c r="L78" s="153"/>
      <c r="M78" s="153"/>
      <c r="N78" s="157"/>
      <c r="O78" s="157"/>
      <c r="P78" s="157"/>
      <c r="S78" s="1"/>
      <c r="T78" s="12"/>
      <c r="U78" s="158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4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4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4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4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4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4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4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4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4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4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4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4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4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4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4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4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4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4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4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4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4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4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4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4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4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4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4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4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4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4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</row>
    <row r="1006" spans="1:33" ht="14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</row>
    <row r="1007" spans="1:33" ht="14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</row>
    <row r="1008" spans="1:33" ht="14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</row>
    <row r="1009" spans="1:33" ht="14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</row>
  </sheetData>
  <mergeCells count="1">
    <mergeCell ref="R18:R20"/>
  </mergeCells>
  <conditionalFormatting sqref="C29:C54">
    <cfRule type="colorScale" priority="1">
      <colorScale>
        <cfvo type="min"/>
        <cfvo type="max"/>
        <color rgb="FFFFFFFF"/>
        <color rgb="FF57BB8A"/>
      </colorScale>
    </cfRule>
  </conditionalFormatting>
  <conditionalFormatting sqref="C18:E20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3:H27 J24 C29:H30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9:D54">
    <cfRule type="colorScale" priority="2">
      <colorScale>
        <cfvo type="min"/>
        <cfvo type="max"/>
        <color rgb="FFFFFFFF"/>
        <color rgb="FFE67C73"/>
      </colorScale>
    </cfRule>
  </conditionalFormatting>
  <conditionalFormatting sqref="E29:E54">
    <cfRule type="colorScale" priority="3">
      <colorScale>
        <cfvo type="min"/>
        <cfvo type="max"/>
        <color rgb="FFFFFFFF"/>
        <color rgb="FFE67C73"/>
      </colorScale>
    </cfRule>
  </conditionalFormatting>
  <conditionalFormatting sqref="F18:F20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29:F54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29:G54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9:H54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3:I27 I29:I30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9:I54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5:L15">
    <cfRule type="colorScale" priority="2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8:L19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0:L20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9:J54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3:K27 N23:O27 J29:K30 N29:O30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29:K54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L29:L54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N29:O54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P23:R27 P29:R30">
    <cfRule type="colorScale" priority="1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P29:R54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AB16:AC22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AE4:AG10 W16:W22 AG16:AG22 AB21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86D1B-C0A1-4B78-AFB3-38B62F094CB7}">
  <dimension ref="A1:Z1000"/>
  <sheetViews>
    <sheetView topLeftCell="A31" workbookViewId="0">
      <selection activeCell="E37" sqref="E37"/>
    </sheetView>
  </sheetViews>
  <sheetFormatPr defaultColWidth="14.44140625" defaultRowHeight="15" customHeight="1"/>
  <cols>
    <col min="1" max="1" width="2.33203125" customWidth="1"/>
    <col min="2" max="2" width="13.33203125" customWidth="1"/>
    <col min="3" max="3" width="14.33203125" customWidth="1"/>
    <col min="4" max="4" width="19.6640625" customWidth="1"/>
    <col min="5" max="5" width="12.6640625" customWidth="1"/>
    <col min="6" max="6" width="13.33203125" customWidth="1"/>
    <col min="7" max="26" width="8.6640625" customWidth="1"/>
  </cols>
  <sheetData>
    <row r="1" spans="1:26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600000000000001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600000000000001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600000000000001">
      <c r="A4" s="1"/>
      <c r="B4" s="2" t="s">
        <v>1</v>
      </c>
      <c r="C4" s="1" t="s">
        <v>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600000000000001">
      <c r="A5" s="1"/>
      <c r="B5" s="2"/>
      <c r="C5" s="1">
        <v>2030</v>
      </c>
      <c r="D5" s="3" t="s">
        <v>3</v>
      </c>
      <c r="E5" s="1" t="s">
        <v>4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600000000000001">
      <c r="A6" s="1"/>
      <c r="B6" s="2"/>
      <c r="C6" s="1">
        <v>2050</v>
      </c>
      <c r="D6" s="3" t="s">
        <v>5</v>
      </c>
      <c r="E6" s="1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600000000000001">
      <c r="A7" s="1"/>
      <c r="B7" s="2"/>
      <c r="C7" s="1" t="s">
        <v>6</v>
      </c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600000000000001">
      <c r="A8" s="1"/>
      <c r="B8" s="2"/>
      <c r="C8" s="1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600000000000001">
      <c r="A9" s="1"/>
      <c r="B9" s="2"/>
      <c r="C9" s="1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600000000000001">
      <c r="A10" s="1"/>
      <c r="B10" s="2"/>
      <c r="C10" s="1" t="s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600000000000001">
      <c r="A11" s="1"/>
      <c r="B11" s="2"/>
      <c r="C11" s="1" t="s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600000000000001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600000000000001">
      <c r="A13" s="1"/>
      <c r="B13" s="2" t="s">
        <v>11</v>
      </c>
      <c r="C13" s="1" t="s">
        <v>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600000000000001">
      <c r="A14" s="1"/>
      <c r="B14" s="2"/>
      <c r="C14" s="1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600000000000001">
      <c r="A15" s="1"/>
      <c r="B15" s="2"/>
      <c r="C15" s="1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600000000000001">
      <c r="A16" s="1"/>
      <c r="B16" s="2"/>
      <c r="C16" s="1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600000000000001">
      <c r="A17" s="1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600000000000001">
      <c r="A19" s="1"/>
      <c r="B19" s="2" t="s">
        <v>16</v>
      </c>
      <c r="C19" s="1" t="s">
        <v>17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600000000000001">
      <c r="A20" s="1"/>
      <c r="B20" s="2"/>
      <c r="C20" s="1" t="s">
        <v>18</v>
      </c>
      <c r="D20" s="1"/>
      <c r="E20" s="1" t="s">
        <v>19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2"/>
      <c r="C21" s="1" t="s">
        <v>20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 t="s">
        <v>21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 t="s">
        <v>22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 t="s">
        <v>23</v>
      </c>
      <c r="D24" s="1"/>
      <c r="E24" s="1"/>
      <c r="F24" s="1" t="s">
        <v>24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 t="s">
        <v>25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 t="s">
        <v>26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 t="s">
        <v>27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 t="s">
        <v>28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 t="s">
        <v>29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 t="s">
        <v>30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 t="s">
        <v>31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4" t="s">
        <v>32</v>
      </c>
      <c r="C34" s="5" t="s">
        <v>33</v>
      </c>
      <c r="D34" s="4" t="s">
        <v>34</v>
      </c>
      <c r="E34" s="4" t="s">
        <v>35</v>
      </c>
      <c r="F34" s="5" t="s">
        <v>36</v>
      </c>
      <c r="G34" s="5" t="s">
        <v>37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6" t="s">
        <v>38</v>
      </c>
      <c r="C35" s="7">
        <f ca="1">IFERROR(__xludf.DUMMYFUNCTION("GOOGLEFINANCE(""nse:""&amp;B35,""marketcap"")/10000000"),42713.582733)</f>
        <v>42713.582733000003</v>
      </c>
      <c r="D35" s="8">
        <v>43098</v>
      </c>
      <c r="E35" s="8">
        <v>-1100</v>
      </c>
      <c r="F35" s="8">
        <v>27643</v>
      </c>
      <c r="G35" s="9">
        <v>29754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6" t="s">
        <v>39</v>
      </c>
      <c r="C36" s="7">
        <f ca="1">IFERROR(__xludf.DUMMYFUNCTION("GOOGLEFINANCE(""nse:""&amp;B36,""marketcap"")/10000000"),28130.730342)</f>
        <v>28130.730341999999</v>
      </c>
      <c r="D36" s="8">
        <v>5103</v>
      </c>
      <c r="E36" s="8">
        <v>741</v>
      </c>
      <c r="F36" s="8">
        <v>2804</v>
      </c>
      <c r="G36" s="9">
        <v>47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6" t="s">
        <v>40</v>
      </c>
      <c r="C37" s="7">
        <f ca="1">IFERROR(__xludf.DUMMYFUNCTION("GOOGLEFINANCE(""nse:""&amp;B37,""marketcap"")/10000000"),57336.6940926)</f>
        <v>57336.694092600002</v>
      </c>
      <c r="D37" s="8">
        <v>7666</v>
      </c>
      <c r="E37" s="8">
        <v>1682</v>
      </c>
      <c r="F37" s="8">
        <v>53272</v>
      </c>
      <c r="G37" s="9">
        <v>191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6" t="s">
        <v>41</v>
      </c>
      <c r="C38" s="7">
        <f ca="1">IFERROR(__xludf.DUMMYFUNCTION("GOOGLEFINANCE(""nse:""&amp;B38,""marketcap"")/10000000"),4071.19916)</f>
        <v>4071.1991600000001</v>
      </c>
      <c r="D38" s="8">
        <v>3163</v>
      </c>
      <c r="E38" s="8">
        <v>32</v>
      </c>
      <c r="F38" s="8">
        <v>14406</v>
      </c>
      <c r="G38" s="9">
        <v>18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0" t="s">
        <v>42</v>
      </c>
      <c r="C39" s="7">
        <f ca="1">IFERROR(__xludf.DUMMYFUNCTION("GOOGLEFINANCE(""nse:""&amp;B39,""marketcap"")/10000000"),6606.1947707)</f>
        <v>6606.1947706999999</v>
      </c>
      <c r="D39" s="8">
        <v>2648</v>
      </c>
      <c r="E39" s="8">
        <v>148</v>
      </c>
      <c r="F39" s="8">
        <v>195</v>
      </c>
      <c r="G39" s="9">
        <v>134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0" t="s">
        <v>43</v>
      </c>
      <c r="C40" s="7">
        <f ca="1">IFERROR(__xludf.DUMMYFUNCTION("GOOGLEFINANCE(""nse:""&amp;B40,""marketcap"")/10000000"),2129.627975)</f>
        <v>2129.6279749999999</v>
      </c>
      <c r="D40" s="8">
        <v>1966</v>
      </c>
      <c r="E40" s="8">
        <v>103</v>
      </c>
      <c r="F40" s="8">
        <v>982</v>
      </c>
      <c r="G40" s="9">
        <v>87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0" t="s">
        <v>44</v>
      </c>
      <c r="C41" s="7">
        <f ca="1">IFERROR(__xludf.DUMMYFUNCTION("GOOGLEFINANCE(""nse:""&amp;B41,""marketcap"")/10000000"),24824.3648257)</f>
        <v>24824.364825699999</v>
      </c>
      <c r="D41" s="8">
        <v>2833</v>
      </c>
      <c r="E41" s="8">
        <v>370</v>
      </c>
      <c r="F41" s="8">
        <v>14296</v>
      </c>
      <c r="G41" s="9">
        <v>25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0" t="s">
        <v>45</v>
      </c>
      <c r="C42" s="7">
        <f ca="1">IFERROR(__xludf.DUMMYFUNCTION("GOOGLEFINANCE(""nse:""&amp;B42,""marketcap"")/10000000"),7705.2329957)</f>
        <v>7705.2329957000002</v>
      </c>
      <c r="D42" s="8">
        <v>1758</v>
      </c>
      <c r="E42" s="8">
        <v>239</v>
      </c>
      <c r="F42" s="8">
        <v>8275</v>
      </c>
      <c r="G42" s="9">
        <v>27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1" t="s">
        <v>46</v>
      </c>
      <c r="C43" s="7">
        <f ca="1">IFERROR(__xludf.DUMMYFUNCTION("GOOGLEFINANCE(""nse:""&amp;B43,""marketcap"")/10000000"),5221.70146)</f>
        <v>5221.7014600000002</v>
      </c>
      <c r="D43" s="8">
        <v>1045</v>
      </c>
      <c r="E43" s="8">
        <v>82</v>
      </c>
      <c r="F43" s="8">
        <v>42.5</v>
      </c>
      <c r="G43" s="9">
        <v>81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1" t="s">
        <v>47</v>
      </c>
      <c r="C44" s="7">
        <f ca="1">IFERROR(__xludf.DUMMYFUNCTION("GOOGLEFINANCE(""nse:""&amp;B44,""marketcap"")/10000000"),1553.2021694)</f>
        <v>1553.2021694</v>
      </c>
      <c r="D44" s="8">
        <v>1779</v>
      </c>
      <c r="E44" s="8">
        <v>-59</v>
      </c>
      <c r="F44" s="8">
        <v>491</v>
      </c>
      <c r="G44" s="9">
        <v>789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1" t="s">
        <v>48</v>
      </c>
      <c r="C45" s="7">
        <f ca="1">IFERROR(__xludf.DUMMYFUNCTION("GOOGLEFINANCE(""nse:""&amp;B45,""marketcap"")/10000000"),1662.1998697)</f>
        <v>1662.1998696999999</v>
      </c>
      <c r="D45" s="8">
        <v>934</v>
      </c>
      <c r="E45" s="8">
        <v>54</v>
      </c>
      <c r="F45" s="8">
        <v>318</v>
      </c>
      <c r="G45" s="9">
        <v>123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2"/>
      <c r="C46" s="7"/>
      <c r="D46" s="7"/>
      <c r="E46" s="7"/>
      <c r="F46" s="7"/>
      <c r="G46" s="1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3" t="s">
        <v>49</v>
      </c>
      <c r="C47" s="14">
        <f t="shared" ref="C47:G47" ca="1" si="0">SUM(C35:C46)</f>
        <v>181954.73039380004</v>
      </c>
      <c r="D47" s="14">
        <f t="shared" si="0"/>
        <v>71993</v>
      </c>
      <c r="E47" s="14">
        <f t="shared" si="0"/>
        <v>2292</v>
      </c>
      <c r="F47" s="14">
        <f t="shared" si="0"/>
        <v>122724.5</v>
      </c>
      <c r="G47" s="14">
        <f t="shared" si="0"/>
        <v>31276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9"/>
      <c r="C49" s="8"/>
      <c r="D49" s="8"/>
      <c r="E49" s="8"/>
      <c r="F49" s="8"/>
      <c r="G49" s="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4" t="s">
        <v>32</v>
      </c>
      <c r="C55" s="4" t="s">
        <v>50</v>
      </c>
      <c r="D55" s="5" t="s">
        <v>51</v>
      </c>
      <c r="E55" s="4" t="s">
        <v>52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0" t="s">
        <v>46</v>
      </c>
      <c r="C56" s="15">
        <v>16.666666666666668</v>
      </c>
      <c r="D56" s="8">
        <v>1.8259423503325942</v>
      </c>
      <c r="E56" s="8">
        <v>30.913978494623652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6" t="s">
        <v>40</v>
      </c>
      <c r="C57" s="15">
        <v>16.372080440075752</v>
      </c>
      <c r="D57" s="8">
        <v>10.56792873051225</v>
      </c>
      <c r="E57" s="8">
        <v>23.61046511627907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0" t="s">
        <v>44</v>
      </c>
      <c r="C58" s="8">
        <v>15.290322580645162</v>
      </c>
      <c r="D58" s="8">
        <v>37.082352941176474</v>
      </c>
      <c r="E58" s="8">
        <v>106.96666666666667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0" t="s">
        <v>45</v>
      </c>
      <c r="C59" s="15">
        <v>14.950980392156863</v>
      </c>
      <c r="D59" s="8">
        <v>14.884210526315789</v>
      </c>
      <c r="E59" s="8">
        <v>290.89285714285717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6" t="s">
        <v>39</v>
      </c>
      <c r="C60" s="15">
        <v>13.146229290186735</v>
      </c>
      <c r="D60" s="8">
        <v>14.215686274509803</v>
      </c>
      <c r="E60" s="8">
        <v>46.905797101449274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0" t="s">
        <v>42</v>
      </c>
      <c r="C61" s="15">
        <v>9.5336787564766841</v>
      </c>
      <c r="D61" s="8">
        <v>7.9333333333333336</v>
      </c>
      <c r="E61" s="8">
        <v>48.04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0" t="s">
        <v>43</v>
      </c>
      <c r="C62" s="15">
        <v>8.3333333333333339</v>
      </c>
      <c r="D62" s="8">
        <v>7.9333333333333336</v>
      </c>
      <c r="E62" s="8">
        <v>8.4899484859907037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0" t="s">
        <v>38</v>
      </c>
      <c r="C63" s="15">
        <v>7.0951585976627713</v>
      </c>
      <c r="D63" s="8">
        <v>30.039473684210527</v>
      </c>
      <c r="E63" s="8">
        <v>9.9060402684563762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0" t="s">
        <v>41</v>
      </c>
      <c r="C64" s="15">
        <v>5.7760845520462087</v>
      </c>
      <c r="D64" s="8">
        <v>1.8259423503325942</v>
      </c>
      <c r="E64" s="8">
        <v>28.4375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1" t="s">
        <v>53</v>
      </c>
      <c r="C65" s="15">
        <v>2.9975601254792612</v>
      </c>
      <c r="D65" s="8">
        <v>-0.39831932773109241</v>
      </c>
      <c r="E65" s="8">
        <v>-0.17719568567026192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1" t="s">
        <v>47</v>
      </c>
      <c r="C66" s="15">
        <v>1.476510067114094</v>
      </c>
      <c r="D66" s="8">
        <v>5.7584541062801931</v>
      </c>
      <c r="E66" s="8">
        <v>0.73148148148148151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1" t="s">
        <v>48</v>
      </c>
      <c r="C67" s="15">
        <v>1.1210762331838564</v>
      </c>
      <c r="D67" s="8">
        <v>-0.41317365269461076</v>
      </c>
      <c r="E67" s="8">
        <v>0.90839694656488545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1" t="s">
        <v>54</v>
      </c>
      <c r="E68" s="7">
        <f>(6554-4754)/34</f>
        <v>52.941176470588232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6"/>
      <c r="C70" s="15"/>
      <c r="D70" s="15"/>
      <c r="E70" s="1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9"/>
      <c r="C71" s="15"/>
      <c r="D71" s="15"/>
      <c r="E71" s="1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3" t="s">
        <v>49</v>
      </c>
      <c r="C72" s="17">
        <v>13</v>
      </c>
      <c r="D72" s="17">
        <v>11</v>
      </c>
      <c r="E72" s="17">
        <v>47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4" t="s">
        <v>32</v>
      </c>
      <c r="C76" s="4" t="s">
        <v>55</v>
      </c>
      <c r="D76" s="4" t="s">
        <v>56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6" t="s">
        <v>46</v>
      </c>
      <c r="C77" s="18">
        <v>0.28868193321380575</v>
      </c>
      <c r="D77" s="18">
        <v>0.38487979770442471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6" t="s">
        <v>41</v>
      </c>
      <c r="C78" s="18">
        <v>0.28825861925655261</v>
      </c>
      <c r="D78" s="18">
        <v>0.33263490922602346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6" t="s">
        <v>38</v>
      </c>
      <c r="C79" s="18">
        <v>0.27074710335348295</v>
      </c>
      <c r="D79" s="18">
        <v>0.2651824098400144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6" t="s">
        <v>40</v>
      </c>
      <c r="C80" s="18">
        <v>0.20189492303155521</v>
      </c>
      <c r="D80" s="18">
        <v>0.29181231397999952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6" t="s">
        <v>57</v>
      </c>
      <c r="C81" s="18">
        <v>0.14563768009867006</v>
      </c>
      <c r="D81" s="18">
        <v>0.25365798270565998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0" t="s">
        <v>43</v>
      </c>
      <c r="C82" s="18">
        <v>0.12981425213645359</v>
      </c>
      <c r="D82" s="18">
        <v>0.1736253749174006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0" t="s">
        <v>45</v>
      </c>
      <c r="C83" s="18">
        <v>0.10816584090024017</v>
      </c>
      <c r="D83" s="18">
        <v>0.13368656708118509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1" t="s">
        <v>42</v>
      </c>
      <c r="C84" s="18">
        <v>9.3183227892099874E-2</v>
      </c>
      <c r="D84" s="18">
        <v>4.8468095480662443E-2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1" t="s">
        <v>48</v>
      </c>
      <c r="C85" s="18">
        <v>8.0067129854201946E-2</v>
      </c>
      <c r="D85" s="18">
        <v>-6.1227868214537184E-2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1" t="s">
        <v>58</v>
      </c>
      <c r="C86" s="18">
        <v>7.9704181807853214E-2</v>
      </c>
      <c r="D86" s="18">
        <v>0.10181762610539469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1" t="s">
        <v>39</v>
      </c>
      <c r="C87" s="18">
        <v>7.188873651087202E-2</v>
      </c>
      <c r="D87" s="18">
        <v>0.1086635945790122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1" t="s">
        <v>59</v>
      </c>
      <c r="C88" s="18">
        <v>6.304448394124873E-2</v>
      </c>
      <c r="D88" s="18">
        <v>0.14990639003964934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1" t="s">
        <v>47</v>
      </c>
      <c r="C89" s="18">
        <v>3.4110609376438283E-2</v>
      </c>
      <c r="D89" s="18" t="s">
        <v>60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1" t="s">
        <v>53</v>
      </c>
      <c r="C90" s="18">
        <v>-1.808294428699353E-2</v>
      </c>
      <c r="D90" s="18">
        <v>-0.3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6"/>
      <c r="C91" s="18"/>
      <c r="D91" s="1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9"/>
      <c r="D92" s="19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3" t="s">
        <v>49</v>
      </c>
      <c r="C93" s="20">
        <v>0.18</v>
      </c>
      <c r="D93" s="20">
        <v>0.22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4" t="s">
        <v>32</v>
      </c>
      <c r="C97" s="4" t="s">
        <v>61</v>
      </c>
      <c r="D97" s="4" t="s">
        <v>62</v>
      </c>
      <c r="E97" s="4" t="s">
        <v>63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6" t="s">
        <v>40</v>
      </c>
      <c r="C98" s="18">
        <v>0.54896903557378218</v>
      </c>
      <c r="D98" s="18">
        <v>0.5630708686657746</v>
      </c>
      <c r="E98" s="8">
        <v>16.812373907195695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0" t="s">
        <v>38</v>
      </c>
      <c r="C99" s="18">
        <v>0.4883528504736121</v>
      </c>
      <c r="D99" s="18">
        <v>0.15983220572362788</v>
      </c>
      <c r="E99" s="8">
        <v>28.149190710767062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6" t="s">
        <v>46</v>
      </c>
      <c r="C100" s="18">
        <v>0.44926812322949394</v>
      </c>
      <c r="D100" s="18">
        <v>0.66943370340192265</v>
      </c>
      <c r="E100" s="8">
        <v>0.5714285714285714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6" t="s">
        <v>45</v>
      </c>
      <c r="C101" s="18">
        <v>0.38875397991351091</v>
      </c>
      <c r="D101" s="18">
        <v>0.30060688002492686</v>
      </c>
      <c r="E101" s="8">
        <v>2.6064291920069507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6" t="s">
        <v>57</v>
      </c>
      <c r="C102" s="18">
        <v>0.38757392111806621</v>
      </c>
      <c r="D102" s="18">
        <v>0.70715301670946551</v>
      </c>
      <c r="E102" s="8">
        <v>10.204081632653061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0" t="s">
        <v>42</v>
      </c>
      <c r="C103" s="18">
        <v>0.30113486693601166</v>
      </c>
      <c r="D103" s="18">
        <v>0.124695876745613</v>
      </c>
      <c r="E103" s="8">
        <v>31.289111389236545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0" t="s">
        <v>47</v>
      </c>
      <c r="C104" s="18">
        <v>0.26165720782528057</v>
      </c>
      <c r="D104" s="18">
        <v>2.5272278796327763E-2</v>
      </c>
      <c r="E104" s="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0" t="s">
        <v>48</v>
      </c>
      <c r="C105" s="18">
        <v>0.24309282106597729</v>
      </c>
      <c r="D105" s="18">
        <v>0.13034983075343498</v>
      </c>
      <c r="E105" s="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0" t="s">
        <v>39</v>
      </c>
      <c r="C106" s="18">
        <v>0.24073291672947539</v>
      </c>
      <c r="D106" s="18">
        <v>0.23854055407397445</v>
      </c>
      <c r="E106" s="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0" t="s">
        <v>43</v>
      </c>
      <c r="C107" s="18">
        <v>0.1829396261271552</v>
      </c>
      <c r="D107" s="18">
        <v>0.25993539260525722</v>
      </c>
      <c r="E107" s="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6" t="s">
        <v>64</v>
      </c>
      <c r="C108" s="18"/>
      <c r="D108" s="18"/>
      <c r="E108" s="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1" t="s">
        <v>53</v>
      </c>
      <c r="C109" s="18"/>
      <c r="D109" s="18">
        <v>-6.7127252612600108E-2</v>
      </c>
      <c r="E109" s="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6" t="s">
        <v>59</v>
      </c>
      <c r="C110" s="18"/>
      <c r="D110" s="18"/>
      <c r="E110" s="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1" t="s">
        <v>41</v>
      </c>
      <c r="C111" s="18"/>
      <c r="D111" s="18">
        <v>-2.6995632784709511E-2</v>
      </c>
      <c r="E111" s="8">
        <v>20.460358056265985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9"/>
      <c r="C112" s="18"/>
      <c r="D112" s="18"/>
      <c r="E112" s="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3" t="s">
        <v>49</v>
      </c>
      <c r="C113" s="20">
        <v>0.39</v>
      </c>
      <c r="D113" s="20">
        <v>0.28999999999999998</v>
      </c>
      <c r="E113" s="14">
        <v>15.727567637079124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4" t="s">
        <v>32</v>
      </c>
      <c r="C117" s="4" t="s">
        <v>65</v>
      </c>
      <c r="D117" s="4" t="s">
        <v>66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1" t="s">
        <v>38</v>
      </c>
      <c r="C118" s="18">
        <v>-0.1956</v>
      </c>
      <c r="D118" s="18">
        <v>-1.4255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1" t="s">
        <v>39</v>
      </c>
      <c r="C119" s="18">
        <v>-7.1999999999999998E-3</v>
      </c>
      <c r="D119" s="18">
        <v>-2.24E-2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1" t="s">
        <v>40</v>
      </c>
      <c r="C120" s="18">
        <v>0.18079999999999999</v>
      </c>
      <c r="D120" s="18">
        <v>0.36749999999999999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1" t="s">
        <v>41</v>
      </c>
      <c r="C121" s="18">
        <f>(3163/4045)-1</f>
        <v>-0.21804697156983932</v>
      </c>
      <c r="D121" s="18">
        <f>(32/342)-1</f>
        <v>-0.9064327485380117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1" t="s">
        <v>42</v>
      </c>
      <c r="C122" s="18">
        <f>(2648/2967)-1</f>
        <v>-0.1075160094371419</v>
      </c>
      <c r="D122" s="18">
        <f>(148/92)-1</f>
        <v>0.60869565217391308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1" t="s">
        <v>43</v>
      </c>
      <c r="C123" s="18">
        <f>(1956/1801)-1</f>
        <v>8.6063298167684543E-2</v>
      </c>
      <c r="D123" s="18">
        <f>(103/63)-1</f>
        <v>0.63492063492063489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1" t="s">
        <v>44</v>
      </c>
      <c r="C124" s="18">
        <v>-0.19</v>
      </c>
      <c r="D124" s="18">
        <v>-0.26290000000000002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1" t="s">
        <v>45</v>
      </c>
      <c r="C125" s="18">
        <f>(1759/1700)-1</f>
        <v>3.4705882352941142E-2</v>
      </c>
      <c r="D125" s="18">
        <f>(239/234)-1</f>
        <v>2.1367521367521292E-2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1" t="s">
        <v>46</v>
      </c>
      <c r="C126" s="18">
        <f>(1045/1234)-1</f>
        <v>-0.15316045380875198</v>
      </c>
      <c r="D126" s="18">
        <f>(82/131)-1</f>
        <v>-0.37404580152671751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1" t="s">
        <v>47</v>
      </c>
      <c r="C127" s="18">
        <f>(1779/2116)-1</f>
        <v>-0.15926275992438566</v>
      </c>
      <c r="D127" s="18">
        <f>(-59/95)-1</f>
        <v>-1.6210526315789475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1" t="s">
        <v>48</v>
      </c>
      <c r="C128" s="18">
        <f>(934/1006)-1</f>
        <v>-7.1570576540755493E-2</v>
      </c>
      <c r="D128" s="18">
        <f>(54/61)-1</f>
        <v>-0.11475409836065575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3" t="s">
        <v>67</v>
      </c>
      <c r="C130" s="20">
        <f t="shared" ref="C130:D130" si="1">MEDIAN(C118:C128)</f>
        <v>-0.1075160094371419</v>
      </c>
      <c r="D130" s="20">
        <f t="shared" si="1"/>
        <v>-0.11475409836065575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9"/>
      <c r="C133" s="18"/>
      <c r="D133" s="18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B117:D130" xr:uid="{00000000-0009-0000-0000-000001000000}">
    <sortState xmlns:xlrd2="http://schemas.microsoft.com/office/spreadsheetml/2017/richdata2" ref="B117:D130">
      <sortCondition descending="1" ref="C117:C130"/>
    </sortState>
  </autoFilter>
  <conditionalFormatting sqref="C35:C45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56:C67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18:C128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35:D45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56:D67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18:D128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35:E45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56:E67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35:F45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35:G45">
    <cfRule type="colorScale" priority="4">
      <colorScale>
        <cfvo type="min"/>
        <cfvo type="percentile" val="50"/>
        <cfvo type="max"/>
        <color rgb="FF57BB8A"/>
        <color rgb="FFFFFFFF"/>
        <color rgb="FFE67C73"/>
      </colorScale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Piind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2024-06-20T10:53:14Z</dcterms:created>
  <dcterms:modified xsi:type="dcterms:W3CDTF">2024-06-20T10:59:18Z</dcterms:modified>
</cp:coreProperties>
</file>