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3\"/>
    </mc:Choice>
  </mc:AlternateContent>
  <xr:revisionPtr revIDLastSave="0" documentId="8_{A40A12CD-029A-48EF-9800-C4F2C1890AED}" xr6:coauthVersionLast="47" xr6:coauthVersionMax="47" xr10:uidLastSave="{00000000-0000-0000-0000-000000000000}"/>
  <bookViews>
    <workbookView xWindow="-108" yWindow="-108" windowWidth="23256" windowHeight="12456" xr2:uid="{97B6A63C-52CD-4436-9C7A-1A827CF76C1D}"/>
  </bookViews>
  <sheets>
    <sheet name="UB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R61" i="1" s="1"/>
  <c r="R59" i="1"/>
  <c r="R58" i="1"/>
  <c r="R57" i="1"/>
  <c r="R56" i="1"/>
  <c r="R55" i="1"/>
  <c r="R54" i="1"/>
  <c r="H52" i="1"/>
  <c r="Q51" i="1"/>
  <c r="P51" i="1"/>
  <c r="R49" i="1" s="1"/>
  <c r="S49" i="1"/>
  <c r="S48" i="1"/>
  <c r="R48" i="1"/>
  <c r="S47" i="1"/>
  <c r="R47" i="1"/>
  <c r="M47" i="1"/>
  <c r="S46" i="1"/>
  <c r="E46" i="1"/>
  <c r="F46" i="1" s="1"/>
  <c r="D46" i="1"/>
  <c r="C46" i="1"/>
  <c r="S45" i="1"/>
  <c r="S44" i="1"/>
  <c r="S43" i="1"/>
  <c r="R43" i="1"/>
  <c r="D43" i="1"/>
  <c r="S42" i="1"/>
  <c r="L40" i="1"/>
  <c r="T39" i="1"/>
  <c r="S39" i="1"/>
  <c r="U39" i="1" s="1"/>
  <c r="P39" i="1"/>
  <c r="O39" i="1"/>
  <c r="N39" i="1"/>
  <c r="H39" i="1"/>
  <c r="G39" i="1"/>
  <c r="E39" i="1"/>
  <c r="D39" i="1"/>
  <c r="C39" i="1"/>
  <c r="T38" i="1"/>
  <c r="S38" i="1"/>
  <c r="U38" i="1" s="1"/>
  <c r="O38" i="1"/>
  <c r="P38" i="1" s="1"/>
  <c r="N38" i="1"/>
  <c r="H38" i="1"/>
  <c r="G38" i="1"/>
  <c r="E38" i="1"/>
  <c r="D38" i="1"/>
  <c r="C38" i="1"/>
  <c r="U37" i="1"/>
  <c r="P37" i="1"/>
  <c r="H37" i="1"/>
  <c r="G37" i="1"/>
  <c r="E37" i="1"/>
  <c r="D37" i="1"/>
  <c r="C37" i="1"/>
  <c r="U36" i="1"/>
  <c r="P36" i="1"/>
  <c r="H36" i="1"/>
  <c r="G36" i="1"/>
  <c r="E36" i="1"/>
  <c r="D36" i="1"/>
  <c r="C36" i="1"/>
  <c r="C42" i="1" s="1"/>
  <c r="U35" i="1"/>
  <c r="P35" i="1"/>
  <c r="U34" i="1"/>
  <c r="P34" i="1"/>
  <c r="U33" i="1"/>
  <c r="P33" i="1"/>
  <c r="J32" i="1"/>
  <c r="J39" i="1" s="1"/>
  <c r="I32" i="1"/>
  <c r="I39" i="1" s="1"/>
  <c r="J31" i="1"/>
  <c r="I31" i="1"/>
  <c r="J30" i="1"/>
  <c r="I30" i="1"/>
  <c r="J29" i="1"/>
  <c r="I29" i="1"/>
  <c r="F29" i="1"/>
  <c r="F38" i="1" s="1"/>
  <c r="J28" i="1"/>
  <c r="I28" i="1"/>
  <c r="F28" i="1"/>
  <c r="J27" i="1"/>
  <c r="J38" i="1" s="1"/>
  <c r="I27" i="1"/>
  <c r="I38" i="1" s="1"/>
  <c r="K38" i="1" s="1"/>
  <c r="F27" i="1"/>
  <c r="J26" i="1"/>
  <c r="I26" i="1"/>
  <c r="F26" i="1"/>
  <c r="J25" i="1"/>
  <c r="I25" i="1"/>
  <c r="F25" i="1"/>
  <c r="J24" i="1"/>
  <c r="I24" i="1"/>
  <c r="F24" i="1"/>
  <c r="J23" i="1"/>
  <c r="J37" i="1" s="1"/>
  <c r="I23" i="1"/>
  <c r="I37" i="1" s="1"/>
  <c r="K37" i="1" s="1"/>
  <c r="F23" i="1"/>
  <c r="J22" i="1"/>
  <c r="I22" i="1"/>
  <c r="F22" i="1"/>
  <c r="F37" i="1" s="1"/>
  <c r="J21" i="1"/>
  <c r="I21" i="1"/>
  <c r="F21" i="1"/>
  <c r="J20" i="1"/>
  <c r="I20" i="1"/>
  <c r="F20" i="1"/>
  <c r="J19" i="1"/>
  <c r="I19" i="1"/>
  <c r="F19" i="1"/>
  <c r="J18" i="1"/>
  <c r="I18" i="1"/>
  <c r="F18" i="1"/>
  <c r="J17" i="1"/>
  <c r="J36" i="1" s="1"/>
  <c r="I17" i="1"/>
  <c r="I36" i="1" s="1"/>
  <c r="K36" i="1" s="1"/>
  <c r="F17" i="1"/>
  <c r="F36" i="1" s="1"/>
  <c r="J16" i="1"/>
  <c r="I16" i="1"/>
  <c r="F16" i="1"/>
  <c r="F15" i="1"/>
  <c r="J14" i="1"/>
  <c r="I14" i="1"/>
  <c r="F14" i="1"/>
  <c r="J13" i="1"/>
  <c r="I13" i="1"/>
  <c r="F13" i="1"/>
  <c r="F12" i="1"/>
  <c r="Q9" i="1"/>
  <c r="P9" i="1"/>
  <c r="O9" i="1"/>
  <c r="L9" i="1"/>
  <c r="K9" i="1"/>
  <c r="J9" i="1"/>
  <c r="I9" i="1"/>
  <c r="H9" i="1"/>
  <c r="G9" i="1"/>
  <c r="F9" i="1"/>
  <c r="E9" i="1"/>
  <c r="D9" i="1"/>
  <c r="V5" i="1"/>
  <c r="U5" i="1"/>
  <c r="S5" i="1"/>
  <c r="R5" i="1"/>
  <c r="Q5" i="1"/>
  <c r="P5" i="1"/>
  <c r="O5" i="1"/>
  <c r="N5" i="1"/>
  <c r="M5" i="1"/>
  <c r="K5" i="1"/>
  <c r="J5" i="1"/>
  <c r="I5" i="1"/>
  <c r="H5" i="1"/>
  <c r="G5" i="1"/>
  <c r="F5" i="1"/>
  <c r="C9" i="1" s="1"/>
  <c r="E5" i="1"/>
  <c r="B9" i="1" s="1"/>
  <c r="C5" i="1"/>
  <c r="V4" i="1"/>
  <c r="V3" i="1"/>
  <c r="D3" i="1"/>
  <c r="D4" i="1" s="1"/>
  <c r="D5" i="1" s="1"/>
  <c r="C3" i="1"/>
  <c r="J52" i="1" s="1"/>
  <c r="F42" i="1" l="1"/>
  <c r="K39" i="1"/>
  <c r="C47" i="1"/>
  <c r="D47" i="1" s="1"/>
  <c r="R44" i="1"/>
  <c r="R46" i="1"/>
  <c r="R51" i="1"/>
  <c r="S51" i="1"/>
  <c r="M9" i="1"/>
  <c r="R45" i="1"/>
  <c r="N9" i="1"/>
  <c r="R42" i="1"/>
  <c r="I52" i="1"/>
  <c r="K50" i="1" s="1"/>
  <c r="C48" i="1" l="1"/>
  <c r="C49" i="1" s="1"/>
  <c r="E47" i="1"/>
  <c r="D48" i="1"/>
  <c r="D49" i="1" s="1"/>
  <c r="E48" i="1" l="1"/>
  <c r="F47" i="1"/>
  <c r="F48" i="1" l="1"/>
  <c r="E49" i="1"/>
  <c r="F49" i="1" s="1"/>
</calcChain>
</file>

<file path=xl/sharedStrings.xml><?xml version="1.0" encoding="utf-8"?>
<sst xmlns="http://schemas.openxmlformats.org/spreadsheetml/2006/main" count="186" uniqueCount="143">
  <si>
    <t>MARKET</t>
  </si>
  <si>
    <t>FINANCIAL</t>
  </si>
  <si>
    <t>BALANCESHEET</t>
  </si>
  <si>
    <t>CASHFLOW</t>
  </si>
  <si>
    <t>COMPANY</t>
  </si>
  <si>
    <t>PRICE</t>
  </si>
  <si>
    <t>MCAP</t>
  </si>
  <si>
    <t>SALES</t>
  </si>
  <si>
    <t>PROFIT</t>
  </si>
  <si>
    <t>EBITDA</t>
  </si>
  <si>
    <t>FV</t>
  </si>
  <si>
    <t>EPS</t>
  </si>
  <si>
    <t>EQUITY</t>
  </si>
  <si>
    <t>RESERVE</t>
  </si>
  <si>
    <t>BORROWING</t>
  </si>
  <si>
    <t>LEASE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</si>
  <si>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</si>
  <si>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</si>
  <si>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</si>
  <si>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</si>
  <si>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</si>
  <si>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</si>
  <si>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</si>
  <si>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</si>
  <si>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TOTAL_CF</t>
  </si>
  <si>
    <t>UBL</t>
  </si>
  <si>
    <t>LastYearFY_22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</si>
  <si>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</si>
  <si>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</si>
  <si>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</si>
  <si>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</si>
  <si>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</si>
  <si>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</si>
  <si>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</si>
  <si>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</si>
  <si>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</si>
  <si>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</si>
  <si>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</si>
  <si>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</si>
  <si>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</si>
  <si>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</si>
  <si>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</si>
  <si>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ROCE</t>
  </si>
  <si>
    <t>ROA</t>
  </si>
  <si>
    <t>PE</t>
  </si>
  <si>
    <t>YIELD</t>
  </si>
  <si>
    <t>BOOKVALUE</t>
  </si>
  <si>
    <t>PBV</t>
  </si>
  <si>
    <t>PEG</t>
  </si>
  <si>
    <t>Year</t>
  </si>
  <si>
    <t>Sales</t>
  </si>
  <si>
    <t>Profit</t>
  </si>
  <si>
    <t>NPM</t>
  </si>
  <si>
    <t>High Price</t>
  </si>
  <si>
    <t>Low Price</t>
  </si>
  <si>
    <t>HighPe</t>
  </si>
  <si>
    <t>LowPE</t>
  </si>
  <si>
    <t>FY_2003</t>
  </si>
  <si>
    <t>FY_2004</t>
  </si>
  <si>
    <t>FY_2005</t>
  </si>
  <si>
    <t>FY_2006</t>
  </si>
  <si>
    <t>SLPIT*10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</si>
  <si>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</si>
  <si>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</si>
  <si>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</si>
  <si>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</si>
  <si>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</si>
  <si>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</si>
  <si>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</si>
  <si>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</si>
  <si>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</si>
  <si>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</si>
  <si>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</si>
  <si>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</si>
  <si>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</si>
  <si>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</si>
  <si>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</si>
  <si>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</si>
  <si>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VOLMUE</t>
  </si>
  <si>
    <t>FY_2023</t>
  </si>
  <si>
    <t>FY_23</t>
  </si>
  <si>
    <t>FY_22</t>
  </si>
  <si>
    <t>Q4_FY_23</t>
  </si>
  <si>
    <t>Q4_FY_22</t>
  </si>
  <si>
    <t>Exp</t>
  </si>
  <si>
    <t>Margin</t>
  </si>
  <si>
    <t>Price_High</t>
  </si>
  <si>
    <t>Price_Low</t>
  </si>
  <si>
    <t>HPE</t>
  </si>
  <si>
    <t>LPE</t>
  </si>
  <si>
    <t>FAIRPE</t>
  </si>
  <si>
    <t>Finance</t>
  </si>
  <si>
    <t>15YEAR CAGR</t>
  </si>
  <si>
    <t>DIV%</t>
  </si>
  <si>
    <t>10 YEAR CAGR</t>
  </si>
  <si>
    <t>5 YEAR CAGR</t>
  </si>
  <si>
    <t>Last Year</t>
  </si>
  <si>
    <t>Exp Growth</t>
  </si>
  <si>
    <t>Eps</t>
  </si>
  <si>
    <t>MARGIN</t>
  </si>
  <si>
    <t>TREND</t>
  </si>
  <si>
    <t>Q1_FY23</t>
  </si>
  <si>
    <t>H1_FY23</t>
  </si>
  <si>
    <t>9M_FY23</t>
  </si>
  <si>
    <t>FY_24</t>
  </si>
  <si>
    <t>Cost</t>
  </si>
  <si>
    <t>SHARE</t>
  </si>
  <si>
    <t>LTGrowth</t>
  </si>
  <si>
    <t>ExcieseDuty</t>
  </si>
  <si>
    <t>Cy Growth</t>
  </si>
  <si>
    <t>RawMaterial</t>
  </si>
  <si>
    <t>OtherExpense</t>
  </si>
  <si>
    <t>ESTIMATION</t>
  </si>
  <si>
    <t>FAIRVALUE</t>
  </si>
  <si>
    <t>EmployeeBenefit</t>
  </si>
  <si>
    <t>FY_2024</t>
  </si>
  <si>
    <t>TRAIL</t>
  </si>
  <si>
    <t>Q1</t>
  </si>
  <si>
    <t>Q2</t>
  </si>
  <si>
    <t>Q3</t>
  </si>
  <si>
    <t>Q4</t>
  </si>
  <si>
    <t>EPS_2023</t>
  </si>
  <si>
    <t>D&amp;A</t>
  </si>
  <si>
    <t>FY_2025</t>
  </si>
  <si>
    <t>TradedGoods</t>
  </si>
  <si>
    <t>FY_2030</t>
  </si>
  <si>
    <t>FinanceCost</t>
  </si>
  <si>
    <t>FY_2035</t>
  </si>
  <si>
    <t>EPS_22</t>
  </si>
  <si>
    <t>EPS_23</t>
  </si>
  <si>
    <t>F_EPS_24</t>
  </si>
  <si>
    <t>Change in Inventory</t>
  </si>
  <si>
    <t>TRAILPE</t>
  </si>
  <si>
    <t>F_PE</t>
  </si>
  <si>
    <t>Net</t>
  </si>
  <si>
    <t>SHP</t>
  </si>
  <si>
    <t>FY_16</t>
  </si>
  <si>
    <t>Promoters</t>
  </si>
  <si>
    <t>MF &amp; Insurance</t>
  </si>
  <si>
    <t>FPI</t>
  </si>
  <si>
    <t>Central Govermanet</t>
  </si>
  <si>
    <t>Individual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</si>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</sst>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₹&quot;\ #,##0;[Red]&quot;₹&quot;\ \-#,##0"/>
    <numFmt numFmtId="8" formatCode="&quot;₹&quot;\ #,##0.00;[Red]&quot;₹&quot;\ \-#,##0.00"/>
    <numFmt numFmtId="164" formatCode="0.0"/>
    <numFmt numFmtId="165" formatCode="0.0%"/>
    <numFmt numFmtId="166" formatCode="#,##0.0"/>
  </numFmts>
  <fonts count="1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sz val="9"/>
      <color theme="1"/>
      <name val="Arial"/>
    </font>
    <font>
      <b/>
      <i/>
      <u/>
      <sz val="11"/>
      <color theme="1"/>
      <name val="Arial"/>
    </font>
    <font>
      <i/>
      <sz val="11"/>
      <color theme="1"/>
      <name val="Arial"/>
    </font>
    <font>
      <b/>
      <sz val="11"/>
      <color rgb="FFFFFFFF"/>
      <name val="Calibri"/>
    </font>
    <font>
      <sz val="11"/>
      <color rgb="FF9C0006"/>
      <name val="Calibri"/>
    </font>
    <font>
      <sz val="11"/>
      <color rgb="FF9C6500"/>
      <name val="Calibri"/>
    </font>
    <font>
      <b/>
      <sz val="14"/>
      <color rgb="FFFFFFFF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b/>
      <sz val="34"/>
      <color theme="1"/>
      <name val="Calibri"/>
    </font>
    <font>
      <b/>
      <i/>
      <sz val="11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B7B7B7"/>
        <bgColor rgb="FFB7B7B7"/>
      </patternFill>
    </fill>
    <fill>
      <patternFill patternType="solid">
        <fgColor rgb="FF20124D"/>
        <bgColor rgb="FF20124D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D3EEE1"/>
        <bgColor rgb="FFD3EEE1"/>
      </patternFill>
    </fill>
    <fill>
      <patternFill patternType="solid">
        <fgColor rgb="FFE3F4EC"/>
        <bgColor rgb="FFE3F4EC"/>
      </patternFill>
    </fill>
    <fill>
      <patternFill patternType="solid">
        <fgColor rgb="FFF0F9F5"/>
        <bgColor rgb="FFF0F9F5"/>
      </patternFill>
    </fill>
    <fill>
      <patternFill patternType="solid">
        <fgColor rgb="FF57BB8A"/>
        <bgColor rgb="FF57BB8A"/>
      </patternFill>
    </fill>
    <fill>
      <patternFill patternType="solid">
        <fgColor rgb="FF92D3B3"/>
        <bgColor rgb="FF92D3B3"/>
      </patternFill>
    </fill>
    <fill>
      <patternFill patternType="solid">
        <fgColor rgb="FF999999"/>
        <bgColor rgb="FF999999"/>
      </patternFill>
    </fill>
    <fill>
      <patternFill patternType="solid">
        <fgColor rgb="FFF3BFBB"/>
        <bgColor rgb="FFF3BFBB"/>
      </patternFill>
    </fill>
    <fill>
      <patternFill patternType="solid">
        <fgColor rgb="FFFEFFFE"/>
        <bgColor rgb="FFFEFFFE"/>
      </patternFill>
    </fill>
    <fill>
      <patternFill patternType="solid">
        <fgColor rgb="FFF2FAF6"/>
        <bgColor rgb="FFF2FAF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5" fillId="0" borderId="4" xfId="0" applyFont="1" applyBorder="1"/>
    <xf numFmtId="0" fontId="4" fillId="0" borderId="3" xfId="0" applyFont="1" applyBorder="1" applyAlignment="1">
      <alignment horizontal="center"/>
    </xf>
    <xf numFmtId="0" fontId="6" fillId="3" borderId="4" xfId="0" applyFont="1" applyFill="1" applyBorder="1"/>
    <xf numFmtId="9" fontId="6" fillId="3" borderId="3" xfId="0" applyNumberFormat="1" applyFont="1" applyFill="1" applyBorder="1" applyAlignment="1">
      <alignment horizontal="center"/>
    </xf>
    <xf numFmtId="9" fontId="6" fillId="3" borderId="1" xfId="0" applyNumberFormat="1" applyFont="1" applyFill="1" applyBorder="1" applyAlignment="1">
      <alignment horizontal="center"/>
    </xf>
    <xf numFmtId="0" fontId="2" fillId="4" borderId="5" xfId="0" applyFont="1" applyFill="1" applyBorder="1"/>
    <xf numFmtId="0" fontId="3" fillId="0" borderId="5" xfId="0" applyFont="1" applyBorder="1"/>
    <xf numFmtId="9" fontId="4" fillId="3" borderId="4" xfId="0" applyNumberFormat="1" applyFont="1" applyFill="1" applyBorder="1"/>
    <xf numFmtId="9" fontId="4" fillId="3" borderId="3" xfId="0" applyNumberFormat="1" applyFont="1" applyFill="1" applyBorder="1"/>
    <xf numFmtId="1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3" xfId="0" applyNumberFormat="1" applyFont="1" applyFill="1" applyBorder="1"/>
    <xf numFmtId="1" fontId="4" fillId="3" borderId="3" xfId="0" applyNumberFormat="1" applyFont="1" applyFill="1" applyBorder="1"/>
    <xf numFmtId="0" fontId="4" fillId="3" borderId="3" xfId="0" applyFont="1" applyFill="1" applyBorder="1"/>
    <xf numFmtId="9" fontId="7" fillId="3" borderId="4" xfId="0" applyNumberFormat="1" applyFont="1" applyFill="1" applyBorder="1" applyAlignment="1">
      <alignment horizontal="right"/>
    </xf>
    <xf numFmtId="9" fontId="7" fillId="3" borderId="3" xfId="0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6" fontId="7" fillId="3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0" fontId="3" fillId="0" borderId="4" xfId="0" applyFont="1" applyBorder="1"/>
    <xf numFmtId="0" fontId="8" fillId="2" borderId="1" xfId="0" applyFont="1" applyFill="1" applyBorder="1"/>
    <xf numFmtId="0" fontId="8" fillId="2" borderId="6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11" fillId="7" borderId="4" xfId="0" applyFont="1" applyFill="1" applyBorder="1" applyAlignment="1">
      <alignment horizontal="center"/>
    </xf>
    <xf numFmtId="165" fontId="1" fillId="0" borderId="1" xfId="0" applyNumberFormat="1" applyFont="1" applyBorder="1"/>
    <xf numFmtId="165" fontId="1" fillId="0" borderId="0" xfId="0" applyNumberFormat="1" applyFont="1"/>
    <xf numFmtId="165" fontId="11" fillId="7" borderId="4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right"/>
    </xf>
    <xf numFmtId="0" fontId="11" fillId="7" borderId="5" xfId="0" applyFont="1" applyFill="1" applyBorder="1"/>
    <xf numFmtId="0" fontId="11" fillId="7" borderId="4" xfId="0" applyFont="1" applyFill="1" applyBorder="1"/>
    <xf numFmtId="0" fontId="8" fillId="7" borderId="3" xfId="0" applyFont="1" applyFill="1" applyBorder="1"/>
    <xf numFmtId="9" fontId="8" fillId="7" borderId="3" xfId="0" applyNumberFormat="1" applyFont="1" applyFill="1" applyBorder="1"/>
    <xf numFmtId="10" fontId="8" fillId="7" borderId="3" xfId="0" applyNumberFormat="1" applyFont="1" applyFill="1" applyBorder="1"/>
    <xf numFmtId="164" fontId="8" fillId="7" borderId="5" xfId="0" applyNumberFormat="1" applyFont="1" applyFill="1" applyBorder="1"/>
    <xf numFmtId="0" fontId="12" fillId="8" borderId="4" xfId="0" applyFont="1" applyFill="1" applyBorder="1"/>
    <xf numFmtId="9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164" fontId="8" fillId="0" borderId="0" xfId="0" applyNumberFormat="1" applyFont="1"/>
    <xf numFmtId="3" fontId="3" fillId="0" borderId="3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right"/>
    </xf>
    <xf numFmtId="166" fontId="3" fillId="0" borderId="1" xfId="0" applyNumberFormat="1" applyFont="1" applyBorder="1"/>
    <xf numFmtId="0" fontId="11" fillId="7" borderId="3" xfId="0" applyFont="1" applyFill="1" applyBorder="1"/>
    <xf numFmtId="0" fontId="8" fillId="7" borderId="0" xfId="0" applyFont="1" applyFill="1"/>
    <xf numFmtId="9" fontId="13" fillId="0" borderId="3" xfId="0" applyNumberFormat="1" applyFont="1" applyBorder="1" applyAlignment="1">
      <alignment horizontal="right"/>
    </xf>
    <xf numFmtId="0" fontId="4" fillId="0" borderId="4" xfId="0" applyFont="1" applyBorder="1"/>
    <xf numFmtId="9" fontId="4" fillId="0" borderId="3" xfId="0" applyNumberFormat="1" applyFont="1" applyBorder="1" applyAlignment="1">
      <alignment horizontal="right"/>
    </xf>
    <xf numFmtId="3" fontId="3" fillId="0" borderId="1" xfId="0" applyNumberFormat="1" applyFont="1" applyBorder="1"/>
    <xf numFmtId="9" fontId="3" fillId="0" borderId="1" xfId="0" applyNumberFormat="1" applyFont="1" applyBorder="1"/>
    <xf numFmtId="9" fontId="1" fillId="0" borderId="1" xfId="0" applyNumberFormat="1" applyFont="1" applyBorder="1"/>
    <xf numFmtId="10" fontId="3" fillId="0" borderId="3" xfId="0" applyNumberFormat="1" applyFont="1" applyBorder="1" applyAlignment="1">
      <alignment horizontal="right"/>
    </xf>
    <xf numFmtId="0" fontId="11" fillId="7" borderId="0" xfId="0" applyFont="1" applyFill="1"/>
    <xf numFmtId="0" fontId="8" fillId="7" borderId="5" xfId="0" applyFont="1" applyFill="1" applyBorder="1"/>
    <xf numFmtId="6" fontId="1" fillId="0" borderId="0" xfId="0" applyNumberFormat="1" applyFont="1"/>
    <xf numFmtId="3" fontId="13" fillId="3" borderId="3" xfId="0" applyNumberFormat="1" applyFont="1" applyFill="1" applyBorder="1" applyAlignment="1">
      <alignment horizontal="right"/>
    </xf>
    <xf numFmtId="166" fontId="13" fillId="3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right"/>
    </xf>
    <xf numFmtId="0" fontId="11" fillId="7" borderId="1" xfId="0" applyFont="1" applyFill="1" applyBorder="1"/>
    <xf numFmtId="0" fontId="11" fillId="7" borderId="2" xfId="0" applyFont="1" applyFill="1" applyBorder="1"/>
    <xf numFmtId="0" fontId="4" fillId="9" borderId="3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right"/>
    </xf>
    <xf numFmtId="0" fontId="4" fillId="11" borderId="3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right"/>
    </xf>
    <xf numFmtId="0" fontId="11" fillId="7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164" fontId="14" fillId="3" borderId="0" xfId="0" applyNumberFormat="1" applyFont="1" applyFill="1" applyAlignment="1">
      <alignment horizontal="center" vertical="center"/>
    </xf>
    <xf numFmtId="0" fontId="0" fillId="0" borderId="0" xfId="0"/>
    <xf numFmtId="0" fontId="13" fillId="14" borderId="1" xfId="0" applyFont="1" applyFill="1" applyBorder="1"/>
    <xf numFmtId="3" fontId="13" fillId="14" borderId="1" xfId="0" applyNumberFormat="1" applyFont="1" applyFill="1" applyBorder="1"/>
    <xf numFmtId="9" fontId="13" fillId="14" borderId="1" xfId="0" applyNumberFormat="1" applyFont="1" applyFill="1" applyBorder="1"/>
    <xf numFmtId="9" fontId="15" fillId="14" borderId="1" xfId="0" applyNumberFormat="1" applyFont="1" applyFill="1" applyBorder="1"/>
    <xf numFmtId="8" fontId="3" fillId="0" borderId="0" xfId="0" applyNumberFormat="1" applyFont="1"/>
    <xf numFmtId="1" fontId="4" fillId="15" borderId="4" xfId="0" applyNumberFormat="1" applyFont="1" applyFill="1" applyBorder="1" applyAlignment="1">
      <alignment horizontal="center"/>
    </xf>
    <xf numFmtId="1" fontId="4" fillId="16" borderId="3" xfId="0" applyNumberFormat="1" applyFont="1" applyFill="1" applyBorder="1" applyAlignment="1">
      <alignment horizontal="center"/>
    </xf>
    <xf numFmtId="1" fontId="4" fillId="17" borderId="3" xfId="0" applyNumberFormat="1" applyFont="1" applyFill="1" applyBorder="1" applyAlignment="1">
      <alignment horizontal="center"/>
    </xf>
    <xf numFmtId="6" fontId="3" fillId="0" borderId="0" xfId="0" applyNumberFormat="1" applyFont="1"/>
    <xf numFmtId="0" fontId="8" fillId="7" borderId="1" xfId="0" applyFont="1" applyFill="1" applyBorder="1"/>
    <xf numFmtId="0" fontId="3" fillId="0" borderId="0" xfId="0" applyFont="1" applyAlignment="1">
      <alignment horizontal="right"/>
    </xf>
    <xf numFmtId="10" fontId="3" fillId="0" borderId="1" xfId="0" applyNumberFormat="1" applyFont="1" applyBorder="1"/>
    <xf numFmtId="6" fontId="3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49</xdr:row>
      <xdr:rowOff>95250</xdr:rowOff>
    </xdr:from>
    <xdr:ext cx="6067425" cy="60674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CA9273BD-BD9C-4885-80E6-51249A558A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429750"/>
          <a:ext cx="6067425" cy="6067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B2A9-2AA1-48E0-BE25-2041C30004F0}">
  <sheetPr>
    <outlinePr summaryBelow="0" summaryRight="0"/>
  </sheetPr>
  <dimension ref="A1:V81"/>
  <sheetViews>
    <sheetView showGridLines="0" tabSelected="1" workbookViewId="0"/>
  </sheetViews>
  <sheetFormatPr defaultColWidth="14.44140625" defaultRowHeight="15" customHeight="1" x14ac:dyDescent="0.3"/>
  <cols>
    <col min="1" max="1" width="8.88671875" customWidth="1"/>
    <col min="12" max="12" width="14.5546875" customWidth="1"/>
  </cols>
  <sheetData>
    <row r="1" spans="1:22" ht="14.4" x14ac:dyDescent="0.3">
      <c r="B1" s="1" t="s">
        <v>0</v>
      </c>
      <c r="E1" s="1" t="s">
        <v>1</v>
      </c>
      <c r="J1" s="1" t="s">
        <v>2</v>
      </c>
      <c r="S1" s="1" t="s">
        <v>3</v>
      </c>
    </row>
    <row r="2" spans="1:22" ht="14.4" x14ac:dyDescent="0.3"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3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 ht="14.4" x14ac:dyDescent="0.3">
      <c r="A3" s="4"/>
      <c r="B3" s="5" t="s">
        <v>25</v>
      </c>
      <c r="C3" s="6">
        <f ca="1">IFERROR(__xludf.DUMMYFUNCTION("GOOGLEFINANCE(""nse:""&amp;B3,""price"")"),1490.05)</f>
        <v>1490.05</v>
      </c>
      <c r="D3" s="6">
        <f ca="1">IFERROR(__xludf.DUMMYFUNCTION("GOOGLEFINANCE(""nse:""&amp;B3,""marketcap"")/10000000"),39443.9627018)</f>
        <v>39443.962701800003</v>
      </c>
      <c r="E3" s="7">
        <v>16651</v>
      </c>
      <c r="F3" s="7">
        <v>304</v>
      </c>
      <c r="G3" s="8">
        <v>417</v>
      </c>
      <c r="H3" s="7">
        <v>1</v>
      </c>
      <c r="I3" s="7">
        <v>11.5</v>
      </c>
      <c r="J3" s="9">
        <v>26.44</v>
      </c>
      <c r="K3" s="6">
        <v>3938</v>
      </c>
      <c r="L3" s="7">
        <v>0</v>
      </c>
      <c r="M3" s="7">
        <v>15</v>
      </c>
      <c r="N3" s="6">
        <v>3686</v>
      </c>
      <c r="O3" s="6">
        <v>2277</v>
      </c>
      <c r="P3" s="6">
        <v>6280</v>
      </c>
      <c r="Q3" s="6">
        <v>2311</v>
      </c>
      <c r="R3" s="6">
        <v>1407</v>
      </c>
      <c r="S3" s="10">
        <v>-120</v>
      </c>
      <c r="T3" s="10">
        <v>-121</v>
      </c>
      <c r="U3" s="10">
        <v>-292</v>
      </c>
      <c r="V3" s="10">
        <f t="shared" ref="V3:V4" si="0">SUM(S3:U3)</f>
        <v>-533</v>
      </c>
    </row>
    <row r="4" spans="1:22" ht="14.4" x14ac:dyDescent="0.3">
      <c r="A4" s="4"/>
      <c r="B4" s="11" t="s">
        <v>26</v>
      </c>
      <c r="C4" s="12">
        <v>1489</v>
      </c>
      <c r="D4" s="6">
        <f ca="1">C4*D3/C3</f>
        <v>39416.167553424522</v>
      </c>
      <c r="E4" s="12">
        <v>13123</v>
      </c>
      <c r="F4" s="6">
        <v>366</v>
      </c>
      <c r="G4" s="8">
        <v>494</v>
      </c>
      <c r="H4" s="12">
        <v>1</v>
      </c>
      <c r="I4" s="12">
        <v>13.82</v>
      </c>
      <c r="J4" s="12">
        <v>26.44</v>
      </c>
      <c r="K4" s="12">
        <v>3908</v>
      </c>
      <c r="L4" s="12">
        <v>0</v>
      </c>
      <c r="M4" s="12">
        <v>9.75</v>
      </c>
      <c r="N4" s="12">
        <v>3379</v>
      </c>
      <c r="O4" s="12">
        <v>1974</v>
      </c>
      <c r="P4" s="12">
        <v>5949</v>
      </c>
      <c r="Q4" s="12">
        <v>2045</v>
      </c>
      <c r="R4" s="12">
        <v>1254</v>
      </c>
      <c r="S4" s="10">
        <v>900</v>
      </c>
      <c r="T4" s="10">
        <v>-160</v>
      </c>
      <c r="U4" s="10">
        <v>-287</v>
      </c>
      <c r="V4" s="10">
        <f t="shared" si="0"/>
        <v>453</v>
      </c>
    </row>
    <row r="5" spans="1:22" ht="14.4" x14ac:dyDescent="0.3">
      <c r="A5" s="4"/>
      <c r="B5" s="13" t="s">
        <v>27</v>
      </c>
      <c r="C5" s="14">
        <f t="shared" ref="C5:K5" ca="1" si="1">(C3/C4)-1</f>
        <v>7.0517125587632457E-4</v>
      </c>
      <c r="D5" s="14">
        <f t="shared" ca="1" si="1"/>
        <v>7.0517125587632457E-4</v>
      </c>
      <c r="E5" s="14">
        <f t="shared" si="1"/>
        <v>0.26884096624247511</v>
      </c>
      <c r="F5" s="14">
        <f t="shared" si="1"/>
        <v>-0.1693989071038251</v>
      </c>
      <c r="G5" s="14">
        <f t="shared" si="1"/>
        <v>-0.15587044534412953</v>
      </c>
      <c r="H5" s="14">
        <f t="shared" si="1"/>
        <v>0</v>
      </c>
      <c r="I5" s="14">
        <f t="shared" si="1"/>
        <v>-0.16787264833574533</v>
      </c>
      <c r="J5" s="14">
        <f t="shared" si="1"/>
        <v>0</v>
      </c>
      <c r="K5" s="14">
        <f t="shared" si="1"/>
        <v>7.6765609007165558E-3</v>
      </c>
      <c r="L5" s="14"/>
      <c r="M5" s="14">
        <f t="shared" ref="M5:S5" si="2">(M3/M4)-1</f>
        <v>0.53846153846153855</v>
      </c>
      <c r="N5" s="14">
        <f t="shared" si="2"/>
        <v>9.085528262799647E-2</v>
      </c>
      <c r="O5" s="14">
        <f t="shared" si="2"/>
        <v>0.15349544072948329</v>
      </c>
      <c r="P5" s="14">
        <f t="shared" si="2"/>
        <v>5.5639603294671325E-2</v>
      </c>
      <c r="Q5" s="14">
        <f t="shared" si="2"/>
        <v>0.13007334963325179</v>
      </c>
      <c r="R5" s="14">
        <f t="shared" si="2"/>
        <v>0.12200956937799035</v>
      </c>
      <c r="S5" s="15">
        <f t="shared" si="2"/>
        <v>-1.1333333333333333</v>
      </c>
      <c r="T5" s="15">
        <v>0.24</v>
      </c>
      <c r="U5" s="15">
        <f t="shared" ref="U5:V5" si="3">(U3/U4)-1</f>
        <v>1.7421602787456525E-2</v>
      </c>
      <c r="V5" s="15">
        <f t="shared" si="3"/>
        <v>-2.1766004415011038</v>
      </c>
    </row>
    <row r="6" spans="1:22" ht="14.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2" ht="14.4" x14ac:dyDescent="0.3">
      <c r="A7" s="4"/>
      <c r="B7" s="16" t="s">
        <v>28</v>
      </c>
      <c r="C7" s="17"/>
      <c r="D7" s="16" t="s">
        <v>29</v>
      </c>
      <c r="E7" s="17"/>
      <c r="F7" s="17"/>
      <c r="G7" s="16" t="s">
        <v>30</v>
      </c>
      <c r="H7" s="17"/>
      <c r="I7" s="17"/>
      <c r="J7" s="16" t="s">
        <v>31</v>
      </c>
      <c r="K7" s="17"/>
      <c r="L7" s="17"/>
      <c r="M7" s="16" t="s">
        <v>32</v>
      </c>
      <c r="N7" s="17"/>
      <c r="O7" s="17"/>
      <c r="P7" s="17"/>
      <c r="Q7" s="17"/>
    </row>
    <row r="8" spans="1:22" ht="14.4" x14ac:dyDescent="0.3">
      <c r="A8" s="4"/>
      <c r="B8" s="18" t="s">
        <v>33</v>
      </c>
      <c r="C8" s="19" t="s">
        <v>34</v>
      </c>
      <c r="D8" s="20" t="s">
        <v>35</v>
      </c>
      <c r="E8" s="21" t="s">
        <v>36</v>
      </c>
      <c r="F8" s="19" t="s">
        <v>37</v>
      </c>
      <c r="G8" s="19" t="s">
        <v>38</v>
      </c>
      <c r="H8" s="22" t="s">
        <v>39</v>
      </c>
      <c r="I8" s="19" t="s">
        <v>40</v>
      </c>
      <c r="J8" s="21" t="s">
        <v>41</v>
      </c>
      <c r="K8" s="23" t="s">
        <v>42</v>
      </c>
      <c r="L8" s="22" t="s">
        <v>43</v>
      </c>
      <c r="M8" s="23" t="s">
        <v>44</v>
      </c>
      <c r="N8" s="24" t="s">
        <v>45</v>
      </c>
      <c r="O8" s="24" t="s">
        <v>46</v>
      </c>
      <c r="P8" s="24" t="s">
        <v>47</v>
      </c>
      <c r="Q8" s="24" t="s">
        <v>48</v>
      </c>
    </row>
    <row r="9" spans="1:22" ht="14.4" x14ac:dyDescent="0.3">
      <c r="A9" s="4"/>
      <c r="B9" s="25">
        <f t="shared" ref="B9:C9" si="4">E5</f>
        <v>0.26884096624247511</v>
      </c>
      <c r="C9" s="26">
        <f t="shared" si="4"/>
        <v>-0.1693989071038251</v>
      </c>
      <c r="D9" s="27">
        <f>F32</f>
        <v>1.7999999999999999E-2</v>
      </c>
      <c r="E9" s="28">
        <f>N3/O3</f>
        <v>1.6187966622749232</v>
      </c>
      <c r="F9" s="29">
        <f>(R3/E3)*365</f>
        <v>30.842291754248993</v>
      </c>
      <c r="G9" s="26">
        <f>L3/(K3+J3)</f>
        <v>0</v>
      </c>
      <c r="H9" s="26">
        <f>Q3/P3</f>
        <v>0.36799363057324841</v>
      </c>
      <c r="I9" s="29">
        <f>N39</f>
        <v>80.2</v>
      </c>
      <c r="J9" s="26">
        <f>F3/(J3+K3)</f>
        <v>7.6681700315807524E-2</v>
      </c>
      <c r="K9" s="26">
        <f>G3/(P3-O3)</f>
        <v>0.1041718710966775</v>
      </c>
      <c r="L9" s="26">
        <f>F3/P3</f>
        <v>4.8407643312101914E-2</v>
      </c>
      <c r="M9" s="29">
        <f ca="1">C3/I3</f>
        <v>129.5695652173913</v>
      </c>
      <c r="N9" s="27">
        <f ca="1">I3/C3</f>
        <v>7.7178618167175602E-3</v>
      </c>
      <c r="O9" s="29">
        <f>(J3+K3)/(J3/H3)</f>
        <v>149.94099848714069</v>
      </c>
      <c r="P9" s="29">
        <f ca="1">C3/O9</f>
        <v>9.9375755466093576</v>
      </c>
      <c r="Q9" s="28">
        <f>K53</f>
        <v>0</v>
      </c>
    </row>
    <row r="10" spans="1:22" ht="14.4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2" ht="14.4" x14ac:dyDescent="0.3">
      <c r="A11" s="30"/>
      <c r="B11" s="31" t="s">
        <v>49</v>
      </c>
      <c r="C11" s="31" t="s">
        <v>50</v>
      </c>
      <c r="D11" s="31" t="s">
        <v>51</v>
      </c>
      <c r="E11" s="31" t="s">
        <v>11</v>
      </c>
      <c r="F11" s="31" t="s">
        <v>52</v>
      </c>
      <c r="G11" s="31" t="s">
        <v>53</v>
      </c>
      <c r="H11" s="31" t="s">
        <v>54</v>
      </c>
      <c r="I11" s="31" t="s">
        <v>55</v>
      </c>
      <c r="J11" s="32" t="s">
        <v>56</v>
      </c>
    </row>
    <row r="12" spans="1:22" ht="14.4" x14ac:dyDescent="0.3">
      <c r="A12" s="33"/>
      <c r="B12" s="34" t="s">
        <v>57</v>
      </c>
      <c r="C12" s="35">
        <v>352</v>
      </c>
      <c r="D12" s="35">
        <v>1.5</v>
      </c>
      <c r="E12" s="35">
        <v>0.81</v>
      </c>
      <c r="F12" s="36">
        <f t="shared" ref="F12:F29" si="5">D12/C12</f>
        <v>4.261363636363636E-3</v>
      </c>
      <c r="G12" s="35">
        <v>150</v>
      </c>
      <c r="H12" s="35">
        <v>66</v>
      </c>
      <c r="I12" s="37"/>
      <c r="J12" s="37"/>
    </row>
    <row r="13" spans="1:22" ht="14.4" x14ac:dyDescent="0.3">
      <c r="A13" s="33"/>
      <c r="B13" s="34" t="s">
        <v>58</v>
      </c>
      <c r="C13" s="35">
        <v>571</v>
      </c>
      <c r="D13" s="35">
        <v>2.8</v>
      </c>
      <c r="E13" s="35">
        <v>1.56</v>
      </c>
      <c r="F13" s="36">
        <f t="shared" si="5"/>
        <v>4.9036777583187389E-3</v>
      </c>
      <c r="G13" s="35">
        <v>155</v>
      </c>
      <c r="H13" s="35">
        <v>70</v>
      </c>
      <c r="I13" s="38">
        <f t="shared" ref="I13:I14" si="6">G13/E13</f>
        <v>99.358974358974351</v>
      </c>
      <c r="J13" s="38">
        <f t="shared" ref="J13:J14" si="7">H13/E13</f>
        <v>44.871794871794869</v>
      </c>
    </row>
    <row r="14" spans="1:22" ht="14.4" x14ac:dyDescent="0.3">
      <c r="A14" s="33"/>
      <c r="B14" s="34" t="s">
        <v>59</v>
      </c>
      <c r="C14" s="39">
        <v>454</v>
      </c>
      <c r="D14" s="35">
        <v>14</v>
      </c>
      <c r="E14" s="35">
        <v>5.4</v>
      </c>
      <c r="F14" s="36">
        <f t="shared" si="5"/>
        <v>3.0837004405286344E-2</v>
      </c>
      <c r="G14" s="35">
        <v>527</v>
      </c>
      <c r="H14" s="35">
        <v>80</v>
      </c>
      <c r="I14" s="38">
        <f t="shared" si="6"/>
        <v>97.592592592592581</v>
      </c>
      <c r="J14" s="38">
        <f t="shared" si="7"/>
        <v>14.814814814814813</v>
      </c>
      <c r="R14" s="17"/>
    </row>
    <row r="15" spans="1:22" ht="14.4" x14ac:dyDescent="0.3">
      <c r="A15" s="33"/>
      <c r="B15" s="34" t="s">
        <v>60</v>
      </c>
      <c r="C15" s="35">
        <v>596</v>
      </c>
      <c r="D15" s="35">
        <v>48</v>
      </c>
      <c r="E15" s="35">
        <v>16.38</v>
      </c>
      <c r="F15" s="36">
        <f t="shared" si="5"/>
        <v>8.0536912751677847E-2</v>
      </c>
      <c r="G15" s="35"/>
      <c r="H15" s="35"/>
      <c r="I15" s="38"/>
      <c r="J15" s="38"/>
    </row>
    <row r="16" spans="1:22" ht="14.4" x14ac:dyDescent="0.3">
      <c r="A16" s="33" t="s">
        <v>61</v>
      </c>
      <c r="B16" s="34" t="s">
        <v>62</v>
      </c>
      <c r="C16" s="35">
        <v>982</v>
      </c>
      <c r="D16" s="35">
        <v>65</v>
      </c>
      <c r="E16" s="40">
        <v>2.62</v>
      </c>
      <c r="F16" s="36">
        <f t="shared" si="5"/>
        <v>6.6191446028513234E-2</v>
      </c>
      <c r="G16" s="35">
        <v>289</v>
      </c>
      <c r="H16" s="35">
        <v>80</v>
      </c>
      <c r="I16" s="38">
        <f t="shared" ref="I16:I32" si="8">G16/E16</f>
        <v>110.30534351145037</v>
      </c>
      <c r="J16" s="38">
        <f t="shared" ref="J16:J32" si="9">H16/E16</f>
        <v>30.534351145038165</v>
      </c>
    </row>
    <row r="17" spans="1:21" ht="14.4" x14ac:dyDescent="0.3">
      <c r="A17" s="33"/>
      <c r="B17" s="34" t="s">
        <v>63</v>
      </c>
      <c r="C17" s="35">
        <v>1366</v>
      </c>
      <c r="D17" s="39">
        <v>63</v>
      </c>
      <c r="E17" s="35">
        <v>2.4900000000000002</v>
      </c>
      <c r="F17" s="36">
        <f t="shared" si="5"/>
        <v>4.6120058565153735E-2</v>
      </c>
      <c r="G17" s="35">
        <v>415</v>
      </c>
      <c r="H17" s="35">
        <v>150</v>
      </c>
      <c r="I17" s="38">
        <f t="shared" si="8"/>
        <v>166.66666666666666</v>
      </c>
      <c r="J17" s="38">
        <f t="shared" si="9"/>
        <v>60.240963855421683</v>
      </c>
    </row>
    <row r="18" spans="1:21" ht="14.4" x14ac:dyDescent="0.3">
      <c r="A18" s="33"/>
      <c r="B18" s="34" t="s">
        <v>64</v>
      </c>
      <c r="C18" s="35">
        <v>1722</v>
      </c>
      <c r="D18" s="39">
        <v>63</v>
      </c>
      <c r="E18" s="35">
        <v>2.2400000000000002</v>
      </c>
      <c r="F18" s="36">
        <f t="shared" si="5"/>
        <v>3.6585365853658534E-2</v>
      </c>
      <c r="G18" s="35">
        <v>255</v>
      </c>
      <c r="H18" s="35">
        <v>67</v>
      </c>
      <c r="I18" s="38">
        <f t="shared" si="8"/>
        <v>113.83928571428571</v>
      </c>
      <c r="J18" s="38">
        <f t="shared" si="9"/>
        <v>29.910714285714281</v>
      </c>
    </row>
    <row r="19" spans="1:21" ht="14.4" x14ac:dyDescent="0.3">
      <c r="A19" s="33"/>
      <c r="B19" s="34" t="s">
        <v>65</v>
      </c>
      <c r="C19" s="35">
        <v>2075</v>
      </c>
      <c r="D19" s="35">
        <v>97</v>
      </c>
      <c r="E19" s="35">
        <v>3.68</v>
      </c>
      <c r="F19" s="36">
        <f t="shared" si="5"/>
        <v>4.6746987951807227E-2</v>
      </c>
      <c r="G19" s="35">
        <v>199</v>
      </c>
      <c r="H19" s="35">
        <v>88</v>
      </c>
      <c r="I19" s="38">
        <f t="shared" si="8"/>
        <v>54.076086956521735</v>
      </c>
      <c r="J19" s="38">
        <f t="shared" si="9"/>
        <v>23.913043478260867</v>
      </c>
      <c r="P19" s="17"/>
      <c r="Q19" s="4"/>
      <c r="R19" s="4"/>
    </row>
    <row r="20" spans="1:21" ht="14.4" x14ac:dyDescent="0.3">
      <c r="A20" s="33"/>
      <c r="B20" s="34" t="s">
        <v>66</v>
      </c>
      <c r="C20" s="35">
        <v>3013</v>
      </c>
      <c r="D20" s="35">
        <v>147</v>
      </c>
      <c r="E20" s="35">
        <v>5.26</v>
      </c>
      <c r="F20" s="36">
        <f t="shared" si="5"/>
        <v>4.8788582807832728E-2</v>
      </c>
      <c r="G20" s="35">
        <v>520</v>
      </c>
      <c r="H20" s="35">
        <v>185</v>
      </c>
      <c r="I20" s="38">
        <f t="shared" si="8"/>
        <v>98.859315589353614</v>
      </c>
      <c r="J20" s="38">
        <f t="shared" si="9"/>
        <v>35.171102661596962</v>
      </c>
      <c r="Q20" s="4"/>
      <c r="R20" s="4"/>
    </row>
    <row r="21" spans="1:21" ht="14.4" x14ac:dyDescent="0.3">
      <c r="A21" s="33"/>
      <c r="B21" s="34" t="s">
        <v>67</v>
      </c>
      <c r="C21" s="35">
        <v>3628</v>
      </c>
      <c r="D21" s="35">
        <v>127</v>
      </c>
      <c r="E21" s="35">
        <v>4.68</v>
      </c>
      <c r="F21" s="36">
        <f t="shared" si="5"/>
        <v>3.5005512679162069E-2</v>
      </c>
      <c r="G21" s="35">
        <v>644</v>
      </c>
      <c r="H21" s="35">
        <v>340</v>
      </c>
      <c r="I21" s="38">
        <f t="shared" si="8"/>
        <v>137.60683760683762</v>
      </c>
      <c r="J21" s="38">
        <f t="shared" si="9"/>
        <v>72.649572649572647</v>
      </c>
      <c r="Q21" s="4"/>
      <c r="R21" s="4"/>
    </row>
    <row r="22" spans="1:21" ht="14.4" x14ac:dyDescent="0.3">
      <c r="A22" s="33"/>
      <c r="B22" s="34" t="s">
        <v>68</v>
      </c>
      <c r="C22" s="35">
        <v>3903</v>
      </c>
      <c r="D22" s="35">
        <v>172</v>
      </c>
      <c r="E22" s="35">
        <v>6.41</v>
      </c>
      <c r="F22" s="36">
        <f t="shared" si="5"/>
        <v>4.4068665129387653E-2</v>
      </c>
      <c r="G22" s="35">
        <v>1024</v>
      </c>
      <c r="H22" s="35">
        <v>458</v>
      </c>
      <c r="I22" s="38">
        <f t="shared" si="8"/>
        <v>159.75039001560063</v>
      </c>
      <c r="J22" s="38">
        <f t="shared" si="9"/>
        <v>71.450858034321371</v>
      </c>
      <c r="Q22" s="4"/>
      <c r="R22" s="4"/>
    </row>
    <row r="23" spans="1:21" ht="14.4" x14ac:dyDescent="0.3">
      <c r="A23" s="33"/>
      <c r="B23" s="34" t="s">
        <v>69</v>
      </c>
      <c r="C23" s="35">
        <v>4235</v>
      </c>
      <c r="D23" s="35">
        <v>226</v>
      </c>
      <c r="E23" s="35">
        <v>8.43</v>
      </c>
      <c r="F23" s="36">
        <f t="shared" si="5"/>
        <v>5.3364817001180641E-2</v>
      </c>
      <c r="G23" s="35">
        <v>1005</v>
      </c>
      <c r="H23" s="35">
        <v>594</v>
      </c>
      <c r="I23" s="38">
        <f t="shared" si="8"/>
        <v>119.21708185053382</v>
      </c>
      <c r="J23" s="38">
        <f t="shared" si="9"/>
        <v>70.462633451957302</v>
      </c>
      <c r="Q23" s="4"/>
      <c r="R23" s="4"/>
    </row>
    <row r="24" spans="1:21" ht="14.4" x14ac:dyDescent="0.3">
      <c r="A24" s="33"/>
      <c r="B24" s="34" t="s">
        <v>70</v>
      </c>
      <c r="C24" s="35">
        <v>4729</v>
      </c>
      <c r="D24" s="35">
        <v>260</v>
      </c>
      <c r="E24" s="35">
        <v>9.7100000000000009</v>
      </c>
      <c r="F24" s="36">
        <f t="shared" si="5"/>
        <v>5.4979911186297317E-2</v>
      </c>
      <c r="G24" s="35">
        <v>1056</v>
      </c>
      <c r="H24" s="35">
        <v>601</v>
      </c>
      <c r="I24" s="38">
        <f t="shared" si="8"/>
        <v>108.75386199794026</v>
      </c>
      <c r="J24" s="38">
        <f t="shared" si="9"/>
        <v>61.894953656024711</v>
      </c>
    </row>
    <row r="25" spans="1:21" ht="14.4" x14ac:dyDescent="0.3">
      <c r="A25" s="33"/>
      <c r="B25" s="34" t="s">
        <v>71</v>
      </c>
      <c r="C25" s="35">
        <v>5126</v>
      </c>
      <c r="D25" s="35">
        <v>295</v>
      </c>
      <c r="E25" s="35">
        <v>11.14</v>
      </c>
      <c r="F25" s="36">
        <f t="shared" si="5"/>
        <v>5.7549746390948106E-2</v>
      </c>
      <c r="G25" s="35">
        <v>1225</v>
      </c>
      <c r="H25" s="35">
        <v>756</v>
      </c>
      <c r="I25" s="38">
        <f t="shared" si="8"/>
        <v>109.9640933572711</v>
      </c>
      <c r="J25" s="38">
        <f t="shared" si="9"/>
        <v>67.863554757630155</v>
      </c>
    </row>
    <row r="26" spans="1:21" ht="14.4" x14ac:dyDescent="0.3">
      <c r="A26" s="33"/>
      <c r="B26" s="34" t="s">
        <v>72</v>
      </c>
      <c r="C26" s="35">
        <v>4734</v>
      </c>
      <c r="D26" s="39">
        <v>229</v>
      </c>
      <c r="E26" s="35">
        <v>8.67</v>
      </c>
      <c r="F26" s="36">
        <f t="shared" si="5"/>
        <v>4.8373468525559779E-2</v>
      </c>
      <c r="G26" s="35">
        <v>975</v>
      </c>
      <c r="H26" s="35">
        <v>690</v>
      </c>
      <c r="I26" s="38">
        <f t="shared" si="8"/>
        <v>112.45674740484429</v>
      </c>
      <c r="J26" s="38">
        <f t="shared" si="9"/>
        <v>79.584775086505189</v>
      </c>
    </row>
    <row r="27" spans="1:21" ht="14.4" x14ac:dyDescent="0.3">
      <c r="A27" s="33"/>
      <c r="B27" s="34" t="s">
        <v>73</v>
      </c>
      <c r="C27" s="35">
        <v>5617</v>
      </c>
      <c r="D27" s="35">
        <v>394</v>
      </c>
      <c r="E27" s="35">
        <v>14.9</v>
      </c>
      <c r="F27" s="36">
        <f t="shared" si="5"/>
        <v>7.0144205091685952E-2</v>
      </c>
      <c r="G27" s="35">
        <v>1243</v>
      </c>
      <c r="H27" s="35">
        <v>716</v>
      </c>
      <c r="I27" s="38">
        <f t="shared" si="8"/>
        <v>83.422818791946312</v>
      </c>
      <c r="J27" s="38">
        <f t="shared" si="9"/>
        <v>48.053691275167786</v>
      </c>
    </row>
    <row r="28" spans="1:21" ht="14.4" x14ac:dyDescent="0.3">
      <c r="A28" s="33"/>
      <c r="B28" s="34" t="s">
        <v>74</v>
      </c>
      <c r="C28" s="35">
        <v>6472</v>
      </c>
      <c r="D28" s="35">
        <v>563</v>
      </c>
      <c r="E28" s="35">
        <v>21.29</v>
      </c>
      <c r="F28" s="36">
        <f t="shared" si="5"/>
        <v>8.6990111248454877E-2</v>
      </c>
      <c r="G28" s="35">
        <v>1493</v>
      </c>
      <c r="H28" s="35">
        <v>945</v>
      </c>
      <c r="I28" s="38">
        <f t="shared" si="8"/>
        <v>70.126820103334907</v>
      </c>
      <c r="J28" s="38">
        <f t="shared" si="9"/>
        <v>44.38703616721466</v>
      </c>
    </row>
    <row r="29" spans="1:21" ht="14.4" x14ac:dyDescent="0.3">
      <c r="A29" s="4"/>
      <c r="B29" s="34" t="s">
        <v>75</v>
      </c>
      <c r="C29" s="33">
        <v>6509</v>
      </c>
      <c r="D29" s="33">
        <v>429</v>
      </c>
      <c r="E29" s="33">
        <v>16.18</v>
      </c>
      <c r="F29" s="36">
        <f t="shared" si="5"/>
        <v>6.5908741742203097E-2</v>
      </c>
      <c r="G29" s="33">
        <v>1484</v>
      </c>
      <c r="H29" s="33">
        <v>761</v>
      </c>
      <c r="I29" s="38">
        <f t="shared" si="8"/>
        <v>91.718170580964156</v>
      </c>
      <c r="J29" s="38">
        <f t="shared" si="9"/>
        <v>47.03337453646477</v>
      </c>
    </row>
    <row r="30" spans="1:21" ht="14.4" x14ac:dyDescent="0.3">
      <c r="A30" s="4"/>
      <c r="B30" s="34" t="s">
        <v>76</v>
      </c>
      <c r="C30" s="33">
        <v>10186</v>
      </c>
      <c r="D30" s="33">
        <v>113</v>
      </c>
      <c r="E30" s="33">
        <v>4.28</v>
      </c>
      <c r="F30" s="41">
        <v>1.12E-2</v>
      </c>
      <c r="G30" s="33">
        <v>1329</v>
      </c>
      <c r="H30" s="33">
        <v>860</v>
      </c>
      <c r="I30" s="38">
        <f t="shared" si="8"/>
        <v>310.51401869158877</v>
      </c>
      <c r="J30" s="38">
        <f t="shared" si="9"/>
        <v>200.93457943925233</v>
      </c>
    </row>
    <row r="31" spans="1:21" ht="15" customHeight="1" x14ac:dyDescent="0.35">
      <c r="A31" s="4"/>
      <c r="B31" s="34" t="s">
        <v>77</v>
      </c>
      <c r="C31" s="33">
        <v>13123</v>
      </c>
      <c r="D31" s="33">
        <v>366</v>
      </c>
      <c r="E31" s="33">
        <v>13.82</v>
      </c>
      <c r="F31" s="41">
        <v>2.8000000000000001E-2</v>
      </c>
      <c r="G31" s="33">
        <v>1785</v>
      </c>
      <c r="H31" s="33">
        <v>1051</v>
      </c>
      <c r="I31" s="38">
        <f t="shared" si="8"/>
        <v>129.16063675832126</v>
      </c>
      <c r="J31" s="38">
        <f t="shared" si="9"/>
        <v>76.049204052098403</v>
      </c>
      <c r="O31" s="42" t="s">
        <v>78</v>
      </c>
      <c r="P31" s="43">
        <v>0.31</v>
      </c>
      <c r="Q31" s="44"/>
      <c r="R31" s="44"/>
      <c r="S31" s="44"/>
      <c r="T31" s="45" t="s">
        <v>78</v>
      </c>
      <c r="U31" s="43">
        <v>3.1E-2</v>
      </c>
    </row>
    <row r="32" spans="1:21" ht="15" customHeight="1" x14ac:dyDescent="0.35">
      <c r="B32" s="34" t="s">
        <v>79</v>
      </c>
      <c r="C32" s="10">
        <v>16651</v>
      </c>
      <c r="D32" s="10">
        <v>304</v>
      </c>
      <c r="E32" s="10">
        <v>11.5</v>
      </c>
      <c r="F32" s="43">
        <v>1.7999999999999999E-2</v>
      </c>
      <c r="G32" s="10">
        <v>1806</v>
      </c>
      <c r="H32" s="10">
        <v>1398</v>
      </c>
      <c r="I32" s="38">
        <f t="shared" si="8"/>
        <v>157.04347826086956</v>
      </c>
      <c r="J32" s="38">
        <f t="shared" si="9"/>
        <v>121.56521739130434</v>
      </c>
      <c r="M32" s="42" t="s">
        <v>80</v>
      </c>
      <c r="N32" s="42" t="s">
        <v>80</v>
      </c>
      <c r="O32" s="42" t="s">
        <v>81</v>
      </c>
      <c r="P32" s="42" t="s">
        <v>27</v>
      </c>
      <c r="Q32" s="4"/>
      <c r="R32" s="42" t="s">
        <v>82</v>
      </c>
      <c r="S32" s="42" t="s">
        <v>82</v>
      </c>
      <c r="T32" s="42" t="s">
        <v>83</v>
      </c>
      <c r="U32" s="42" t="s">
        <v>27</v>
      </c>
    </row>
    <row r="33" spans="1:21" ht="14.4" x14ac:dyDescent="0.3">
      <c r="M33" s="33" t="s">
        <v>50</v>
      </c>
      <c r="N33" s="35">
        <v>16651</v>
      </c>
      <c r="O33" s="35">
        <v>13123</v>
      </c>
      <c r="P33" s="46">
        <f t="shared" ref="P33:P39" si="10">(N33/O33)^(1/1)-1</f>
        <v>0.26884096624247511</v>
      </c>
      <c r="Q33" s="4"/>
      <c r="R33" s="33" t="s">
        <v>50</v>
      </c>
      <c r="S33" s="35">
        <v>4081</v>
      </c>
      <c r="T33" s="35">
        <v>3664</v>
      </c>
      <c r="U33" s="46">
        <f t="shared" ref="U33:U39" si="11">(S33/T33)^(1/1)-1</f>
        <v>0.1138100436681222</v>
      </c>
    </row>
    <row r="34" spans="1:21" ht="14.4" x14ac:dyDescent="0.3">
      <c r="M34" s="33" t="s">
        <v>84</v>
      </c>
      <c r="N34" s="35">
        <v>16250</v>
      </c>
      <c r="O34" s="35">
        <v>12659</v>
      </c>
      <c r="P34" s="46">
        <f t="shared" si="10"/>
        <v>0.28367169602654241</v>
      </c>
      <c r="Q34" s="4"/>
      <c r="R34" s="33" t="s">
        <v>84</v>
      </c>
      <c r="S34" s="35">
        <v>4079</v>
      </c>
      <c r="T34" s="35">
        <v>3458</v>
      </c>
      <c r="U34" s="46">
        <f t="shared" si="11"/>
        <v>0.17958357432041638</v>
      </c>
    </row>
    <row r="35" spans="1:21" ht="15" customHeight="1" x14ac:dyDescent="0.35">
      <c r="A35" s="47" t="s">
        <v>27</v>
      </c>
      <c r="B35" s="48" t="s">
        <v>49</v>
      </c>
      <c r="C35" s="49" t="s">
        <v>50</v>
      </c>
      <c r="D35" s="50" t="s">
        <v>51</v>
      </c>
      <c r="E35" s="50" t="s">
        <v>11</v>
      </c>
      <c r="F35" s="50" t="s">
        <v>85</v>
      </c>
      <c r="G35" s="49" t="s">
        <v>86</v>
      </c>
      <c r="H35" s="49" t="s">
        <v>87</v>
      </c>
      <c r="I35" s="51" t="s">
        <v>88</v>
      </c>
      <c r="J35" s="51" t="s">
        <v>89</v>
      </c>
      <c r="K35" s="52" t="s">
        <v>90</v>
      </c>
      <c r="L35" s="4"/>
      <c r="M35" s="33" t="s">
        <v>91</v>
      </c>
      <c r="N35" s="33">
        <v>5</v>
      </c>
      <c r="O35" s="33">
        <v>15</v>
      </c>
      <c r="P35" s="46">
        <f t="shared" si="10"/>
        <v>-0.66666666666666674</v>
      </c>
      <c r="R35" s="33" t="s">
        <v>91</v>
      </c>
      <c r="S35" s="33">
        <v>1</v>
      </c>
      <c r="T35" s="33">
        <v>2.5</v>
      </c>
      <c r="U35" s="46">
        <f t="shared" si="11"/>
        <v>-0.6</v>
      </c>
    </row>
    <row r="36" spans="1:21" ht="14.4" x14ac:dyDescent="0.3">
      <c r="B36" s="53" t="s">
        <v>92</v>
      </c>
      <c r="C36" s="54">
        <f t="shared" ref="C36:E36" si="12">(C32/C17)^(1/15)-1</f>
        <v>0.18140636974551483</v>
      </c>
      <c r="D36" s="54">
        <f t="shared" si="12"/>
        <v>0.11062864108733583</v>
      </c>
      <c r="E36" s="54">
        <f t="shared" si="12"/>
        <v>0.10738822055964037</v>
      </c>
      <c r="F36" s="55">
        <f>MEDIAN((F17:F32))</f>
        <v>4.75602282386835E-2</v>
      </c>
      <c r="G36" s="54">
        <f t="shared" ref="G36:H36" si="13">(G32/G17)^(1/15)-1</f>
        <v>0.10300625841591193</v>
      </c>
      <c r="H36" s="54">
        <f t="shared" si="13"/>
        <v>0.16045345929059196</v>
      </c>
      <c r="I36" s="56">
        <f t="shared" ref="I36:J36" si="14">MEDIAN(I17:I32)</f>
        <v>113.14801655956501</v>
      </c>
      <c r="J36" s="56">
        <f t="shared" si="14"/>
        <v>64.879254206827426</v>
      </c>
      <c r="K36" s="57">
        <f t="shared" ref="K36:K38" si="15">AVERAGE(I36:J36)</f>
        <v>89.013635383196217</v>
      </c>
      <c r="L36" s="58" t="s">
        <v>93</v>
      </c>
      <c r="M36" s="33" t="s">
        <v>51</v>
      </c>
      <c r="N36" s="33">
        <v>304</v>
      </c>
      <c r="O36" s="33">
        <v>366</v>
      </c>
      <c r="P36" s="46">
        <f t="shared" si="10"/>
        <v>-0.1693989071038251</v>
      </c>
      <c r="R36" s="33" t="s">
        <v>51</v>
      </c>
      <c r="S36" s="33">
        <v>10</v>
      </c>
      <c r="T36" s="33">
        <v>164</v>
      </c>
      <c r="U36" s="46">
        <f t="shared" si="11"/>
        <v>-0.93902439024390238</v>
      </c>
    </row>
    <row r="37" spans="1:21" ht="14.4" x14ac:dyDescent="0.3">
      <c r="B37" s="53" t="s">
        <v>94</v>
      </c>
      <c r="C37" s="54">
        <f t="shared" ref="C37:E37" si="16">(C32/C22)^(1/10)-1</f>
        <v>0.15612336149013006</v>
      </c>
      <c r="D37" s="54">
        <f t="shared" si="16"/>
        <v>5.8606396099076363E-2</v>
      </c>
      <c r="E37" s="54">
        <f t="shared" si="16"/>
        <v>6.0190677566780648E-2</v>
      </c>
      <c r="F37" s="55">
        <f>MEDIAN((F22:F32))</f>
        <v>5.3364817001180641E-2</v>
      </c>
      <c r="G37" s="54">
        <f t="shared" ref="G37:H37" si="17">(G32/G22)^(1/10)-1</f>
        <v>5.838037640777749E-2</v>
      </c>
      <c r="H37" s="54">
        <f t="shared" si="17"/>
        <v>0.118057577515569</v>
      </c>
      <c r="I37" s="59">
        <f t="shared" ref="I37:J37" si="18">MEDIAN(I22:I32)</f>
        <v>112.45674740484429</v>
      </c>
      <c r="J37" s="59">
        <f t="shared" si="18"/>
        <v>70.462633451957302</v>
      </c>
      <c r="K37" s="57">
        <f t="shared" si="15"/>
        <v>91.459690428400791</v>
      </c>
      <c r="L37" s="60"/>
      <c r="M37" s="33" t="s">
        <v>11</v>
      </c>
      <c r="N37" s="33">
        <v>11.5</v>
      </c>
      <c r="O37" s="33">
        <v>13.82</v>
      </c>
      <c r="P37" s="46">
        <f t="shared" si="10"/>
        <v>-0.16787264833574533</v>
      </c>
      <c r="R37" s="33" t="s">
        <v>11</v>
      </c>
      <c r="S37" s="33">
        <v>0.37</v>
      </c>
      <c r="T37" s="33">
        <v>6.18</v>
      </c>
      <c r="U37" s="46">
        <f t="shared" si="11"/>
        <v>-0.94012944983818769</v>
      </c>
    </row>
    <row r="38" spans="1:21" ht="14.4" x14ac:dyDescent="0.3">
      <c r="B38" s="53" t="s">
        <v>95</v>
      </c>
      <c r="C38" s="54">
        <f t="shared" ref="C38:E38" si="19">(C32/C27)^(1/5)-1</f>
        <v>0.24275975094542313</v>
      </c>
      <c r="D38" s="54">
        <f t="shared" si="19"/>
        <v>-5.0542624802912828E-2</v>
      </c>
      <c r="E38" s="54">
        <f t="shared" si="19"/>
        <v>-5.0483940768113467E-2</v>
      </c>
      <c r="F38" s="55">
        <f>MEDIAN(F27:F32)</f>
        <v>4.6954370871101547E-2</v>
      </c>
      <c r="G38" s="54">
        <f t="shared" ref="G38:H38" si="20">(G32/G27)^(1/5)-1</f>
        <v>7.7579506806721321E-2</v>
      </c>
      <c r="H38" s="54">
        <f t="shared" si="20"/>
        <v>0.14319108711378603</v>
      </c>
      <c r="I38" s="56">
        <f t="shared" ref="I38:J38" si="21">MEDIAN(I27:I32)</f>
        <v>110.4394036696427</v>
      </c>
      <c r="J38" s="56">
        <f t="shared" si="21"/>
        <v>62.051447663633098</v>
      </c>
      <c r="K38" s="57">
        <f t="shared" si="15"/>
        <v>86.2454256666379</v>
      </c>
      <c r="L38" s="60"/>
      <c r="M38" s="33" t="s">
        <v>85</v>
      </c>
      <c r="N38" s="61">
        <f t="shared" ref="N38:O38" si="22">(100*N36)/N33</f>
        <v>1.8257161732028107</v>
      </c>
      <c r="O38" s="61">
        <f t="shared" si="22"/>
        <v>2.788996418501867</v>
      </c>
      <c r="P38" s="46">
        <f t="shared" si="10"/>
        <v>-0.34538597429124362</v>
      </c>
      <c r="R38" s="33" t="s">
        <v>85</v>
      </c>
      <c r="S38" s="61">
        <f t="shared" ref="S38:T38" si="23">(100*S36)/S33</f>
        <v>0.24503798088703749</v>
      </c>
      <c r="T38" s="61">
        <f t="shared" si="23"/>
        <v>4.4759825327510914</v>
      </c>
      <c r="U38" s="46">
        <f t="shared" si="11"/>
        <v>-0.94525492914816434</v>
      </c>
    </row>
    <row r="39" spans="1:21" ht="14.4" x14ac:dyDescent="0.3">
      <c r="B39" s="53" t="s">
        <v>96</v>
      </c>
      <c r="C39" s="54">
        <f t="shared" ref="C39:E39" si="24">(C32/C31)-1</f>
        <v>0.26884096624247511</v>
      </c>
      <c r="D39" s="54">
        <f t="shared" si="24"/>
        <v>-0.1693989071038251</v>
      </c>
      <c r="E39" s="54">
        <f t="shared" si="24"/>
        <v>-0.16787264833574533</v>
      </c>
      <c r="F39" s="55">
        <v>1.7999999999999999E-2</v>
      </c>
      <c r="G39" s="54">
        <f t="shared" ref="G39:H39" si="25">(G32/G31)-1</f>
        <v>1.1764705882352899E-2</v>
      </c>
      <c r="H39" s="54">
        <f t="shared" si="25"/>
        <v>0.33016175071360609</v>
      </c>
      <c r="I39" s="56">
        <f t="shared" ref="I39:J39" si="26">I32</f>
        <v>157.04347826086956</v>
      </c>
      <c r="J39" s="56">
        <f t="shared" si="26"/>
        <v>121.56521739130434</v>
      </c>
      <c r="K39" s="57">
        <f>AVERAGE(K36:K38)</f>
        <v>88.906250492744974</v>
      </c>
      <c r="L39" s="60"/>
      <c r="M39" s="33" t="s">
        <v>40</v>
      </c>
      <c r="N39" s="37">
        <f t="shared" ref="N39:O39" si="27">(N33-N34)/N35</f>
        <v>80.2</v>
      </c>
      <c r="O39" s="37">
        <f t="shared" si="27"/>
        <v>30.933333333333334</v>
      </c>
      <c r="P39" s="46">
        <f t="shared" si="10"/>
        <v>1.5926724137931036</v>
      </c>
      <c r="R39" s="33" t="s">
        <v>40</v>
      </c>
      <c r="S39" s="37">
        <f t="shared" ref="S39:T39" si="28">(S33-S34)/S35</f>
        <v>2</v>
      </c>
      <c r="T39" s="37">
        <f t="shared" si="28"/>
        <v>82.4</v>
      </c>
      <c r="U39" s="46">
        <f t="shared" si="11"/>
        <v>-0.97572815533980584</v>
      </c>
    </row>
    <row r="40" spans="1:21" ht="14.4" x14ac:dyDescent="0.3">
      <c r="L40" s="60">
        <f>L33</f>
        <v>0</v>
      </c>
    </row>
    <row r="41" spans="1:21" ht="15" customHeight="1" x14ac:dyDescent="0.35">
      <c r="A41" s="47" t="s">
        <v>97</v>
      </c>
      <c r="B41" s="48" t="s">
        <v>49</v>
      </c>
      <c r="C41" s="49" t="s">
        <v>50</v>
      </c>
      <c r="D41" s="49" t="s">
        <v>51</v>
      </c>
      <c r="E41" s="49" t="s">
        <v>98</v>
      </c>
      <c r="F41" s="49" t="s">
        <v>99</v>
      </c>
      <c r="H41" s="48" t="s">
        <v>100</v>
      </c>
      <c r="I41" s="62" t="s">
        <v>101</v>
      </c>
      <c r="J41" s="62" t="s">
        <v>102</v>
      </c>
      <c r="K41" s="62" t="s">
        <v>103</v>
      </c>
      <c r="L41" s="62" t="s">
        <v>80</v>
      </c>
      <c r="M41" s="62" t="s">
        <v>104</v>
      </c>
      <c r="O41" s="63" t="s">
        <v>105</v>
      </c>
      <c r="P41" s="63" t="s">
        <v>80</v>
      </c>
      <c r="Q41" s="63" t="s">
        <v>81</v>
      </c>
      <c r="R41" s="63" t="s">
        <v>106</v>
      </c>
      <c r="S41" s="63" t="s">
        <v>28</v>
      </c>
    </row>
    <row r="42" spans="1:21" ht="14.4" x14ac:dyDescent="0.3">
      <c r="B42" s="53" t="s">
        <v>107</v>
      </c>
      <c r="C42" s="64">
        <f>AVERAGE(C36:C38)</f>
        <v>0.19342982739368933</v>
      </c>
      <c r="D42" s="64">
        <v>0.19</v>
      </c>
      <c r="E42" s="64">
        <v>0.19</v>
      </c>
      <c r="F42" s="55">
        <f>AVERAGE(F36:F38)</f>
        <v>4.9293138703655232E-2</v>
      </c>
      <c r="H42" s="65" t="s">
        <v>7</v>
      </c>
      <c r="I42" s="66">
        <v>0.95</v>
      </c>
      <c r="J42" s="66">
        <v>0.49</v>
      </c>
      <c r="K42" s="66">
        <v>0.32879999999999998</v>
      </c>
      <c r="L42" s="54">
        <v>0.27</v>
      </c>
      <c r="M42" s="54">
        <v>0.15</v>
      </c>
      <c r="O42" s="33" t="s">
        <v>108</v>
      </c>
      <c r="P42" s="33">
        <v>9151</v>
      </c>
      <c r="Q42" s="67">
        <v>7285</v>
      </c>
      <c r="R42" s="68">
        <f t="shared" ref="R42:R49" si="29">P42/$P$51</f>
        <v>0.5632424447590324</v>
      </c>
      <c r="S42" s="69">
        <f t="shared" ref="S42:S49" si="30">(P42/Q42)-1</f>
        <v>0.25614275909402884</v>
      </c>
    </row>
    <row r="43" spans="1:21" ht="14.4" x14ac:dyDescent="0.3">
      <c r="B43" s="53" t="s">
        <v>109</v>
      </c>
      <c r="C43" s="64">
        <v>0.15</v>
      </c>
      <c r="D43" s="64">
        <f>(D46/D32)-1</f>
        <v>-0.87402203947368418</v>
      </c>
      <c r="E43" s="64">
        <v>-0.87</v>
      </c>
      <c r="F43" s="55">
        <v>2E-3</v>
      </c>
      <c r="H43" s="65" t="s">
        <v>8</v>
      </c>
      <c r="I43" s="66">
        <v>4.25</v>
      </c>
      <c r="J43" s="66">
        <v>1.66</v>
      </c>
      <c r="K43" s="66">
        <v>0.4572</v>
      </c>
      <c r="L43" s="54">
        <v>-0.17</v>
      </c>
      <c r="M43" s="54">
        <v>-0.87</v>
      </c>
      <c r="O43" s="33" t="s">
        <v>110</v>
      </c>
      <c r="P43" s="33">
        <v>4224</v>
      </c>
      <c r="Q43" s="33">
        <v>2707</v>
      </c>
      <c r="R43" s="68">
        <f t="shared" si="29"/>
        <v>0.25998645903859174</v>
      </c>
      <c r="S43" s="69">
        <f t="shared" si="30"/>
        <v>0.5603989656446251</v>
      </c>
    </row>
    <row r="44" spans="1:21" ht="14.4" x14ac:dyDescent="0.3">
      <c r="A44" s="4"/>
      <c r="C44" s="4"/>
      <c r="D44" s="4"/>
      <c r="E44" s="4"/>
      <c r="F44" s="4"/>
      <c r="H44" s="30" t="s">
        <v>99</v>
      </c>
      <c r="I44" s="55">
        <v>3.1199999999999999E-2</v>
      </c>
      <c r="J44" s="70">
        <v>3.3399999999999999E-2</v>
      </c>
      <c r="K44" s="55">
        <v>2.35E-2</v>
      </c>
      <c r="L44" s="55">
        <v>1.7999999999999999E-2</v>
      </c>
      <c r="M44" s="55">
        <v>2E-3</v>
      </c>
      <c r="O44" s="33" t="s">
        <v>111</v>
      </c>
      <c r="P44" s="33">
        <v>2022</v>
      </c>
      <c r="Q44" s="67">
        <v>1692</v>
      </c>
      <c r="R44" s="68">
        <f t="shared" si="29"/>
        <v>0.12445374530682587</v>
      </c>
      <c r="S44" s="69">
        <f t="shared" si="30"/>
        <v>0.19503546099290769</v>
      </c>
    </row>
    <row r="45" spans="1:21" ht="15" customHeight="1" x14ac:dyDescent="0.35">
      <c r="A45" s="71" t="s">
        <v>112</v>
      </c>
      <c r="B45" s="47" t="s">
        <v>49</v>
      </c>
      <c r="C45" s="72" t="s">
        <v>50</v>
      </c>
      <c r="D45" s="72" t="s">
        <v>51</v>
      </c>
      <c r="E45" s="72" t="s">
        <v>98</v>
      </c>
      <c r="F45" s="72" t="s">
        <v>113</v>
      </c>
      <c r="H45" s="73"/>
      <c r="I45" s="73"/>
      <c r="J45" s="73"/>
      <c r="L45" s="4"/>
      <c r="O45" s="33" t="s">
        <v>114</v>
      </c>
      <c r="P45" s="33">
        <v>595</v>
      </c>
      <c r="Q45" s="67">
        <v>523</v>
      </c>
      <c r="R45" s="68">
        <f t="shared" si="29"/>
        <v>3.6622145626884962E-2</v>
      </c>
      <c r="S45" s="69">
        <f t="shared" si="30"/>
        <v>0.13766730401529648</v>
      </c>
    </row>
    <row r="46" spans="1:21" ht="15" customHeight="1" x14ac:dyDescent="0.35">
      <c r="B46" s="53" t="s">
        <v>115</v>
      </c>
      <c r="C46" s="74">
        <f>FV(C43,1,0,-C32,0)</f>
        <v>19148.649999999998</v>
      </c>
      <c r="D46" s="74">
        <f>C46*F43</f>
        <v>38.2973</v>
      </c>
      <c r="E46" s="75">
        <f>FV(E43,1,0,-E32,0)</f>
        <v>1.4950000000000001</v>
      </c>
      <c r="F46" s="76">
        <f t="shared" ref="F46:F47" si="31">E46*75</f>
        <v>112.12500000000001</v>
      </c>
      <c r="H46" s="77" t="s">
        <v>116</v>
      </c>
      <c r="I46" s="78" t="s">
        <v>117</v>
      </c>
      <c r="J46" s="78" t="s">
        <v>118</v>
      </c>
      <c r="K46" s="78" t="s">
        <v>119</v>
      </c>
      <c r="L46" s="78" t="s">
        <v>120</v>
      </c>
      <c r="M46" s="78" t="s">
        <v>121</v>
      </c>
      <c r="O46" s="33" t="s">
        <v>122</v>
      </c>
      <c r="P46" s="33">
        <v>210</v>
      </c>
      <c r="Q46" s="67">
        <v>217</v>
      </c>
      <c r="R46" s="68">
        <f t="shared" si="29"/>
        <v>1.2925463162429988E-2</v>
      </c>
      <c r="S46" s="69">
        <f t="shared" si="30"/>
        <v>-3.2258064516129004E-2</v>
      </c>
    </row>
    <row r="47" spans="1:21" ht="14.4" x14ac:dyDescent="0.3">
      <c r="B47" s="53" t="s">
        <v>123</v>
      </c>
      <c r="C47" s="74">
        <f>FV(C42,1,0,-C46,0)</f>
        <v>22852.570064322168</v>
      </c>
      <c r="D47" s="74">
        <f>C47*F42</f>
        <v>1126.474905915632</v>
      </c>
      <c r="E47" s="75">
        <f>(D47*E46)/D46</f>
        <v>43.97385675606035</v>
      </c>
      <c r="F47" s="76">
        <f t="shared" si="31"/>
        <v>3298.0392567045265</v>
      </c>
      <c r="H47" s="65" t="s">
        <v>11</v>
      </c>
      <c r="I47" s="79">
        <v>6.13</v>
      </c>
      <c r="J47" s="80">
        <v>5.07</v>
      </c>
      <c r="K47" s="81">
        <v>-7.0000000000000007E-2</v>
      </c>
      <c r="L47" s="82">
        <v>0.37</v>
      </c>
      <c r="M47" s="8">
        <f>SUM(I47:L47)</f>
        <v>11.499999999999998</v>
      </c>
      <c r="O47" s="33" t="s">
        <v>124</v>
      </c>
      <c r="P47" s="33">
        <v>92</v>
      </c>
      <c r="Q47" s="67">
        <v>195</v>
      </c>
      <c r="R47" s="68">
        <f t="shared" si="29"/>
        <v>5.662583861635994E-3</v>
      </c>
      <c r="S47" s="69">
        <f t="shared" si="30"/>
        <v>-0.52820512820512822</v>
      </c>
    </row>
    <row r="48" spans="1:21" ht="14.4" x14ac:dyDescent="0.3">
      <c r="B48" s="53" t="s">
        <v>125</v>
      </c>
      <c r="C48" s="74">
        <f t="shared" ref="C48:E48" si="32">FV(C42,5,0,-C47,0)</f>
        <v>55324.753673742183</v>
      </c>
      <c r="D48" s="74">
        <f t="shared" si="32"/>
        <v>2688.1675145172762</v>
      </c>
      <c r="E48" s="74">
        <f t="shared" si="32"/>
        <v>104.93717400974295</v>
      </c>
      <c r="F48" s="76">
        <f t="shared" ref="F48:F49" si="33">E48*70</f>
        <v>7345.6021806820063</v>
      </c>
      <c r="H48" s="73"/>
      <c r="I48" s="73"/>
      <c r="J48" s="73"/>
      <c r="L48" s="4"/>
      <c r="O48" s="33" t="s">
        <v>126</v>
      </c>
      <c r="P48" s="33">
        <v>5</v>
      </c>
      <c r="Q48" s="67">
        <v>15</v>
      </c>
      <c r="R48" s="68">
        <f t="shared" si="29"/>
        <v>3.077491229149997E-4</v>
      </c>
      <c r="S48" s="69">
        <f t="shared" si="30"/>
        <v>-0.66666666666666674</v>
      </c>
    </row>
    <row r="49" spans="1:19" ht="15" customHeight="1" x14ac:dyDescent="0.35">
      <c r="B49" s="53" t="s">
        <v>127</v>
      </c>
      <c r="C49" s="74">
        <f t="shared" ref="C49:E49" si="34">FV(15%,5,0,-C48,0)</f>
        <v>111277.84094834834</v>
      </c>
      <c r="D49" s="74">
        <f t="shared" si="34"/>
        <v>5406.8650515283325</v>
      </c>
      <c r="E49" s="74">
        <f t="shared" si="34"/>
        <v>211.06613918043462</v>
      </c>
      <c r="F49" s="76">
        <f t="shared" si="33"/>
        <v>14774.629742630423</v>
      </c>
      <c r="G49" s="4"/>
      <c r="H49" s="42" t="s">
        <v>128</v>
      </c>
      <c r="I49" s="83" t="s">
        <v>129</v>
      </c>
      <c r="J49" s="83" t="s">
        <v>130</v>
      </c>
      <c r="K49" s="83" t="s">
        <v>48</v>
      </c>
      <c r="L49" s="4"/>
      <c r="O49" s="33" t="s">
        <v>131</v>
      </c>
      <c r="P49" s="33">
        <v>-52</v>
      </c>
      <c r="Q49" s="67">
        <v>23</v>
      </c>
      <c r="R49" s="68">
        <f t="shared" si="29"/>
        <v>-3.2005908783159969E-3</v>
      </c>
      <c r="S49" s="69">
        <f t="shared" si="30"/>
        <v>-3.2608695652173911</v>
      </c>
    </row>
    <row r="50" spans="1:19" ht="14.4" x14ac:dyDescent="0.3">
      <c r="G50" s="4"/>
      <c r="H50" s="5">
        <v>13.82</v>
      </c>
      <c r="I50" s="84">
        <v>11.5</v>
      </c>
      <c r="J50" s="85">
        <v>1.5</v>
      </c>
      <c r="K50" s="86">
        <f ca="1">I52/(-17)</f>
        <v>-7.6217391304347828</v>
      </c>
      <c r="L50" s="4"/>
      <c r="O50" s="33"/>
      <c r="P50" s="33"/>
      <c r="Q50" s="67"/>
      <c r="R50" s="33"/>
      <c r="S50" s="10"/>
    </row>
    <row r="51" spans="1:19" ht="15" customHeight="1" x14ac:dyDescent="0.35">
      <c r="G51" s="4"/>
      <c r="H51" s="42" t="s">
        <v>44</v>
      </c>
      <c r="I51" s="83" t="s">
        <v>132</v>
      </c>
      <c r="J51" s="83" t="s">
        <v>133</v>
      </c>
      <c r="K51" s="87"/>
      <c r="L51" s="4"/>
      <c r="O51" s="88" t="s">
        <v>134</v>
      </c>
      <c r="P51" s="88">
        <f t="shared" ref="P51:Q51" si="35">SUM(P42:P50)</f>
        <v>16247</v>
      </c>
      <c r="Q51" s="89">
        <f t="shared" si="35"/>
        <v>12657</v>
      </c>
      <c r="R51" s="90">
        <f>P51/$P$51</f>
        <v>1</v>
      </c>
      <c r="S51" s="91">
        <f>(P51/Q51)-1</f>
        <v>0.28363751283874539</v>
      </c>
    </row>
    <row r="52" spans="1:19" ht="14.4" x14ac:dyDescent="0.3">
      <c r="G52" s="92"/>
      <c r="H52" s="93">
        <f>C4/H50</f>
        <v>107.7424023154848</v>
      </c>
      <c r="I52" s="94">
        <f ca="1">C3/I50</f>
        <v>129.5695652173913</v>
      </c>
      <c r="J52" s="95">
        <f ca="1">C3/J50</f>
        <v>993.36666666666667</v>
      </c>
      <c r="K52" s="87"/>
      <c r="L52" s="4"/>
    </row>
    <row r="53" spans="1:19" ht="14.4" x14ac:dyDescent="0.3">
      <c r="G53" s="92"/>
      <c r="H53" s="96"/>
      <c r="I53" s="96"/>
      <c r="J53" s="96"/>
      <c r="K53" s="4"/>
      <c r="L53" s="4"/>
      <c r="O53" s="97" t="s">
        <v>135</v>
      </c>
      <c r="P53" s="97" t="s">
        <v>80</v>
      </c>
      <c r="Q53" s="97" t="s">
        <v>136</v>
      </c>
      <c r="R53" s="97" t="s">
        <v>28</v>
      </c>
    </row>
    <row r="54" spans="1:19" ht="14.4" x14ac:dyDescent="0.3">
      <c r="A54" s="98"/>
      <c r="B54" s="98"/>
      <c r="C54" s="4"/>
      <c r="D54" s="4"/>
      <c r="E54" s="96"/>
      <c r="F54" s="92"/>
      <c r="G54" s="92"/>
      <c r="H54" s="96"/>
      <c r="I54" s="96"/>
      <c r="J54" s="96"/>
      <c r="K54" s="4"/>
      <c r="L54" s="4"/>
      <c r="O54" s="33" t="s">
        <v>137</v>
      </c>
      <c r="P54" s="68">
        <v>0.57720000000000005</v>
      </c>
      <c r="Q54" s="99">
        <v>0.7389</v>
      </c>
      <c r="R54" s="69">
        <f t="shared" ref="R54:R59" si="36">(P54/Q54)-1</f>
        <v>-0.21883881445391795</v>
      </c>
    </row>
    <row r="55" spans="1:19" ht="14.4" x14ac:dyDescent="0.3">
      <c r="A55" s="98"/>
      <c r="B55" s="98"/>
      <c r="C55" s="4"/>
      <c r="D55" s="4"/>
      <c r="E55" s="96"/>
      <c r="F55" s="92"/>
      <c r="G55" s="92"/>
      <c r="H55" s="96"/>
      <c r="I55" s="96"/>
      <c r="J55" s="96"/>
      <c r="K55" s="4"/>
      <c r="L55" s="4"/>
      <c r="O55" s="33" t="s">
        <v>138</v>
      </c>
      <c r="P55" s="68">
        <v>0.10100000000000001</v>
      </c>
      <c r="Q55" s="99">
        <v>2.8199999999999999E-2</v>
      </c>
      <c r="R55" s="69">
        <f t="shared" si="36"/>
        <v>2.5815602836879434</v>
      </c>
    </row>
    <row r="56" spans="1:19" ht="14.4" x14ac:dyDescent="0.3">
      <c r="A56" s="98"/>
      <c r="B56" s="98"/>
      <c r="C56" s="100"/>
      <c r="D56" s="100"/>
      <c r="E56" s="100"/>
      <c r="F56" s="101"/>
      <c r="G56" s="101"/>
      <c r="H56" s="100"/>
      <c r="I56" s="96"/>
      <c r="K56" s="4"/>
      <c r="L56" s="4"/>
      <c r="O56" s="33" t="s">
        <v>139</v>
      </c>
      <c r="P56" s="68">
        <v>0.1053</v>
      </c>
      <c r="Q56" s="99">
        <v>0.16980000000000001</v>
      </c>
      <c r="R56" s="69">
        <f t="shared" si="36"/>
        <v>-0.37985865724381629</v>
      </c>
    </row>
    <row r="57" spans="1:19" ht="14.4" x14ac:dyDescent="0.3">
      <c r="A57" s="9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O57" s="33" t="s">
        <v>140</v>
      </c>
      <c r="P57" s="68">
        <v>0.1615</v>
      </c>
      <c r="Q57" s="99">
        <v>8.9999999999999998E-4</v>
      </c>
      <c r="R57" s="69">
        <f t="shared" si="36"/>
        <v>178.44444444444446</v>
      </c>
    </row>
    <row r="58" spans="1:19" ht="14.4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O58" s="10" t="s">
        <v>141</v>
      </c>
      <c r="P58" s="69">
        <v>3.32E-2</v>
      </c>
      <c r="Q58" s="99">
        <v>5.3699999999999998E-2</v>
      </c>
      <c r="R58" s="69">
        <f t="shared" si="36"/>
        <v>-0.38175046554934822</v>
      </c>
    </row>
    <row r="59" spans="1:19" ht="14.4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O59" s="10" t="s">
        <v>142</v>
      </c>
      <c r="P59" s="69">
        <v>2.1999999999999999E-2</v>
      </c>
      <c r="Q59" s="99">
        <v>2.0500000000000001E-2</v>
      </c>
      <c r="R59" s="69">
        <f t="shared" si="36"/>
        <v>7.3170731707316916E-2</v>
      </c>
    </row>
    <row r="60" spans="1:19" ht="14.4" x14ac:dyDescent="0.3">
      <c r="A60" s="4"/>
      <c r="F60" s="4"/>
      <c r="G60" s="4"/>
      <c r="H60" s="4"/>
      <c r="I60" s="4"/>
      <c r="J60" s="4"/>
      <c r="K60" s="4"/>
      <c r="L60" s="4"/>
      <c r="M60" s="4"/>
      <c r="N60" s="4"/>
      <c r="R60" s="4"/>
    </row>
    <row r="61" spans="1:19" ht="14.4" x14ac:dyDescent="0.3">
      <c r="A61" s="4"/>
      <c r="F61" s="4"/>
      <c r="G61" s="4"/>
      <c r="H61" s="4"/>
      <c r="I61" s="4"/>
      <c r="J61" s="4"/>
      <c r="K61" s="4"/>
      <c r="L61" s="4"/>
      <c r="M61" s="4"/>
      <c r="N61" s="4"/>
      <c r="O61" s="88" t="s">
        <v>134</v>
      </c>
      <c r="P61" s="90">
        <f>SUM(P54:P59)</f>
        <v>1.0002</v>
      </c>
      <c r="Q61" s="88">
        <v>1</v>
      </c>
      <c r="R61" s="88">
        <f>(P61/Q61)-1</f>
        <v>1.9999999999997797E-4</v>
      </c>
    </row>
    <row r="62" spans="1:19" ht="14.4" x14ac:dyDescent="0.3">
      <c r="A62" s="4"/>
      <c r="F62" s="4"/>
      <c r="G62" s="4"/>
      <c r="H62" s="4"/>
      <c r="I62" s="4"/>
      <c r="J62" s="4"/>
      <c r="K62" s="4"/>
      <c r="L62" s="4"/>
      <c r="M62" s="4"/>
      <c r="N62" s="4"/>
      <c r="P62" s="4"/>
    </row>
    <row r="63" spans="1:19" ht="14.4" x14ac:dyDescent="0.3">
      <c r="A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9" ht="14.4" x14ac:dyDescent="0.3">
      <c r="A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4.4" x14ac:dyDescent="0.3">
      <c r="A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4.4" x14ac:dyDescent="0.3">
      <c r="A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4.4" x14ac:dyDescent="0.3">
      <c r="A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4.4" x14ac:dyDescent="0.3">
      <c r="A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4.4" x14ac:dyDescent="0.3">
      <c r="A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4.4" x14ac:dyDescent="0.3">
      <c r="A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4.4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4.4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4.4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4.4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4.4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14.4" x14ac:dyDescent="0.3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4.4" x14ac:dyDescent="0.3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14.4" x14ac:dyDescent="0.3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4.4" x14ac:dyDescent="0.3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14.4" x14ac:dyDescent="0.3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4.4" x14ac:dyDescent="0.3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</sheetData>
  <mergeCells count="1">
    <mergeCell ref="K50:K52"/>
  </mergeCells>
  <conditionalFormatting sqref="C12:C33">
    <cfRule type="colorScale" priority="1">
      <colorScale>
        <cfvo type="min"/>
        <cfvo type="max"/>
        <color rgb="FFFFFFFF"/>
        <color rgb="FF57BB8A"/>
      </colorScale>
    </cfRule>
  </conditionalFormatting>
  <conditionalFormatting sqref="C36:E39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3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3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6:F39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H3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6:H3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3:J33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36:K39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42:L42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3:L43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4:L44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7:L47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3:P39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42:R49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42:S49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33:U39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2023-06-23T11:43:34Z</dcterms:created>
  <dcterms:modified xsi:type="dcterms:W3CDTF">2023-06-23T11:43:43Z</dcterms:modified>
</cp:coreProperties>
</file>