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3_FY24\"/>
    </mc:Choice>
  </mc:AlternateContent>
  <xr:revisionPtr revIDLastSave="0" documentId="8_{E7372CF2-8DA5-43A8-9E6F-13C551C3B748}" xr6:coauthVersionLast="47" xr6:coauthVersionMax="47" xr10:uidLastSave="{00000000-0000-0000-0000-000000000000}"/>
  <bookViews>
    <workbookView xWindow="-108" yWindow="-108" windowWidth="23256" windowHeight="12456" xr2:uid="{82B7C634-8208-4ADA-BA8E-9B01CD7B0C22}"/>
  </bookViews>
  <sheets>
    <sheet name="kajariacer" sheetId="1" r:id="rId1"/>
    <sheet name="CERAMICS" sheetId="2" r:id="rId2"/>
  </sheets>
  <externalReferences>
    <externalReference r:id="rId3"/>
  </externalReferences>
  <definedNames>
    <definedName name="_xlnm._FilterDatabase" localSheetId="1" hidden="1">CERAMICS!$A$184:$AO$193</definedName>
    <definedName name="stockreach_financials.aspx?scripcode_500233_expandable_0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95" i="2" l="1"/>
  <c r="X195" i="2"/>
  <c r="W195" i="2"/>
  <c r="V195" i="2"/>
  <c r="U195" i="2"/>
  <c r="T195" i="2"/>
  <c r="S195" i="2"/>
  <c r="R195" i="2"/>
  <c r="AB195" i="2" s="1"/>
  <c r="Q195" i="2"/>
  <c r="AA195" i="2" s="1"/>
  <c r="P195" i="2"/>
  <c r="O195" i="2"/>
  <c r="N195" i="2"/>
  <c r="L195" i="2"/>
  <c r="K195" i="2"/>
  <c r="J195" i="2"/>
  <c r="I195" i="2"/>
  <c r="H195" i="2"/>
  <c r="G195" i="2"/>
  <c r="F195" i="2"/>
  <c r="E195" i="2"/>
  <c r="D195" i="2"/>
  <c r="AB193" i="2"/>
  <c r="AA193" i="2"/>
  <c r="AB192" i="2"/>
  <c r="AA192" i="2"/>
  <c r="AB191" i="2"/>
  <c r="AA191" i="2"/>
  <c r="AB190" i="2"/>
  <c r="AA190" i="2"/>
  <c r="AB189" i="2"/>
  <c r="AA189" i="2"/>
  <c r="AB188" i="2"/>
  <c r="AA188" i="2"/>
  <c r="AB187" i="2"/>
  <c r="AA187" i="2"/>
  <c r="AB186" i="2"/>
  <c r="AA186" i="2"/>
  <c r="AB185" i="2"/>
  <c r="AA185" i="2"/>
  <c r="H139" i="2"/>
  <c r="C139" i="2"/>
  <c r="F139" i="2" s="1"/>
  <c r="C138" i="2"/>
  <c r="G138" i="2" s="1"/>
  <c r="H137" i="2"/>
  <c r="C137" i="2"/>
  <c r="F137" i="2" s="1"/>
  <c r="H136" i="2"/>
  <c r="C136" i="2"/>
  <c r="G136" i="2" s="1"/>
  <c r="I73" i="2"/>
  <c r="I71" i="2"/>
  <c r="I70" i="2"/>
  <c r="I69" i="2"/>
  <c r="K44" i="2"/>
  <c r="G44" i="2"/>
  <c r="C44" i="2"/>
  <c r="C14" i="2"/>
  <c r="Q57" i="1"/>
  <c r="P57" i="1"/>
  <c r="S57" i="1" s="1"/>
  <c r="S55" i="1"/>
  <c r="S54" i="1"/>
  <c r="R54" i="1"/>
  <c r="M52" i="1"/>
  <c r="L52" i="1"/>
  <c r="I52" i="1"/>
  <c r="M51" i="1"/>
  <c r="L51" i="1"/>
  <c r="I51" i="1"/>
  <c r="S50" i="1"/>
  <c r="R50" i="1"/>
  <c r="Q50" i="1"/>
  <c r="P50" i="1"/>
  <c r="M50" i="1"/>
  <c r="L50" i="1"/>
  <c r="I50" i="1"/>
  <c r="M49" i="1"/>
  <c r="L49" i="1"/>
  <c r="I49" i="1"/>
  <c r="S48" i="1"/>
  <c r="R48" i="1"/>
  <c r="M48" i="1"/>
  <c r="L48" i="1"/>
  <c r="I48" i="1"/>
  <c r="S47" i="1"/>
  <c r="R47" i="1"/>
  <c r="M47" i="1"/>
  <c r="L47" i="1"/>
  <c r="I47" i="1"/>
  <c r="S46" i="1"/>
  <c r="R46" i="1"/>
  <c r="M46" i="1"/>
  <c r="L46" i="1"/>
  <c r="I46" i="1"/>
  <c r="S45" i="1"/>
  <c r="R45" i="1"/>
  <c r="M45" i="1"/>
  <c r="L45" i="1"/>
  <c r="I45" i="1"/>
  <c r="S44" i="1"/>
  <c r="R44" i="1"/>
  <c r="M44" i="1"/>
  <c r="L44" i="1"/>
  <c r="I44" i="1"/>
  <c r="S43" i="1"/>
  <c r="R43" i="1"/>
  <c r="M43" i="1"/>
  <c r="L43" i="1"/>
  <c r="I43" i="1"/>
  <c r="S42" i="1"/>
  <c r="R42" i="1"/>
  <c r="M42" i="1"/>
  <c r="L42" i="1"/>
  <c r="I42" i="1"/>
  <c r="S41" i="1"/>
  <c r="R41" i="1"/>
  <c r="M41" i="1"/>
  <c r="L41" i="1"/>
  <c r="I41" i="1"/>
  <c r="M40" i="1"/>
  <c r="L40" i="1"/>
  <c r="I40" i="1"/>
  <c r="M39" i="1"/>
  <c r="L39" i="1"/>
  <c r="I39" i="1"/>
  <c r="M38" i="1"/>
  <c r="L38" i="1"/>
  <c r="L25" i="1" s="1"/>
  <c r="I38" i="1"/>
  <c r="V37" i="1"/>
  <c r="U37" i="1"/>
  <c r="W37" i="1" s="1"/>
  <c r="Q37" i="1"/>
  <c r="P37" i="1"/>
  <c r="R37" i="1" s="1"/>
  <c r="M37" i="1"/>
  <c r="L37" i="1"/>
  <c r="I37" i="1"/>
  <c r="W36" i="1"/>
  <c r="V36" i="1"/>
  <c r="U36" i="1"/>
  <c r="Q36" i="1"/>
  <c r="P36" i="1"/>
  <c r="R36" i="1" s="1"/>
  <c r="M36" i="1"/>
  <c r="L36" i="1"/>
  <c r="I36" i="1"/>
  <c r="W35" i="1"/>
  <c r="R35" i="1"/>
  <c r="M35" i="1"/>
  <c r="L35" i="1"/>
  <c r="I35" i="1"/>
  <c r="I26" i="1" s="1"/>
  <c r="W34" i="1"/>
  <c r="R34" i="1"/>
  <c r="M34" i="1"/>
  <c r="L34" i="1"/>
  <c r="I34" i="1"/>
  <c r="W33" i="1"/>
  <c r="R33" i="1"/>
  <c r="M33" i="1"/>
  <c r="M24" i="1" s="1"/>
  <c r="L33" i="1"/>
  <c r="I33" i="1"/>
  <c r="W32" i="1"/>
  <c r="R32" i="1"/>
  <c r="M32" i="1"/>
  <c r="L32" i="1"/>
  <c r="I32" i="1"/>
  <c r="W31" i="1"/>
  <c r="R31" i="1"/>
  <c r="M31" i="1"/>
  <c r="M27" i="1" s="1"/>
  <c r="L31" i="1"/>
  <c r="L27" i="1" s="1"/>
  <c r="K27" i="1"/>
  <c r="J27" i="1"/>
  <c r="I27" i="1"/>
  <c r="H27" i="1"/>
  <c r="G27" i="1"/>
  <c r="F27" i="1"/>
  <c r="E27" i="1"/>
  <c r="D27" i="1"/>
  <c r="L26" i="1"/>
  <c r="K26" i="1"/>
  <c r="J26" i="1"/>
  <c r="H26" i="1"/>
  <c r="G26" i="1"/>
  <c r="F26" i="1"/>
  <c r="E26" i="1"/>
  <c r="D26" i="1"/>
  <c r="M25" i="1"/>
  <c r="K25" i="1"/>
  <c r="J25" i="1"/>
  <c r="H25" i="1"/>
  <c r="G25" i="1"/>
  <c r="F25" i="1"/>
  <c r="E25" i="1"/>
  <c r="D25" i="1"/>
  <c r="K24" i="1"/>
  <c r="J24" i="1"/>
  <c r="H24" i="1"/>
  <c r="G24" i="1"/>
  <c r="F24" i="1"/>
  <c r="E24" i="1"/>
  <c r="D24" i="1"/>
  <c r="S21" i="1"/>
  <c r="G20" i="1"/>
  <c r="D19" i="1"/>
  <c r="D15" i="1" s="1"/>
  <c r="O18" i="1"/>
  <c r="D16" i="1"/>
  <c r="E16" i="1" s="1"/>
  <c r="M11" i="1"/>
  <c r="H11" i="1"/>
  <c r="G11" i="1"/>
  <c r="F11" i="1"/>
  <c r="D11" i="1"/>
  <c r="B11" i="1"/>
  <c r="Q6" i="1"/>
  <c r="P6" i="1"/>
  <c r="O6" i="1"/>
  <c r="N6" i="1"/>
  <c r="M6" i="1"/>
  <c r="L6" i="1"/>
  <c r="K6" i="1"/>
  <c r="J6" i="1"/>
  <c r="I6" i="1"/>
  <c r="H6" i="1"/>
  <c r="G5" i="1"/>
  <c r="F5" i="1"/>
  <c r="E5" i="1"/>
  <c r="D4" i="1"/>
  <c r="C4" i="1"/>
  <c r="Q18" i="1" s="1"/>
  <c r="R16" i="1" s="1"/>
  <c r="O11" i="1" s="1"/>
  <c r="G137" i="2" l="1"/>
  <c r="G139" i="2"/>
  <c r="F136" i="2"/>
  <c r="F138" i="2"/>
  <c r="D5" i="1"/>
  <c r="D6" i="1" s="1"/>
  <c r="E20" i="1"/>
  <c r="F16" i="1"/>
  <c r="F4" i="1"/>
  <c r="F20" i="1"/>
  <c r="D14" i="1"/>
  <c r="C6" i="1"/>
  <c r="C11" i="1"/>
  <c r="E4" i="1"/>
  <c r="I24" i="1"/>
  <c r="M26" i="1"/>
  <c r="R55" i="1"/>
  <c r="N11" i="1"/>
  <c r="P18" i="1"/>
  <c r="I25" i="1"/>
  <c r="L24" i="1"/>
  <c r="M22" i="1" s="1"/>
  <c r="R57" i="1"/>
  <c r="G19" i="1" l="1"/>
  <c r="E15" i="1" s="1"/>
  <c r="I11" i="1"/>
  <c r="J11" i="1"/>
  <c r="F6" i="1"/>
  <c r="E11" i="1"/>
  <c r="E6" i="1"/>
  <c r="G4" i="1"/>
  <c r="G16" i="1"/>
  <c r="G6" i="1" l="1"/>
  <c r="L11" i="1"/>
  <c r="K11" i="1"/>
  <c r="E14" i="1"/>
  <c r="F15" i="1"/>
  <c r="G15" i="1" l="1"/>
  <c r="F14" i="1"/>
  <c r="G14" i="1" s="1"/>
</calcChain>
</file>

<file path=xl/sharedStrings.xml><?xml version="1.0" encoding="utf-8"?>
<sst xmlns="http://schemas.openxmlformats.org/spreadsheetml/2006/main" count="385" uniqueCount="186">
  <si>
    <t>Company</t>
  </si>
  <si>
    <t>Price</t>
  </si>
  <si>
    <t>Marketcap</t>
  </si>
  <si>
    <t>Sales</t>
  </si>
  <si>
    <t>Profit</t>
  </si>
  <si>
    <t>EPS</t>
  </si>
  <si>
    <t>FV</t>
  </si>
  <si>
    <t>Equity</t>
  </si>
  <si>
    <t>Reserve</t>
  </si>
  <si>
    <t>DEBT</t>
  </si>
  <si>
    <t>LEASE</t>
  </si>
  <si>
    <t>CUR.ASSETS</t>
  </si>
  <si>
    <t>CUR.LIABILITIES</t>
  </si>
  <si>
    <t>ASSETS</t>
  </si>
  <si>
    <t>LIABILITIES</t>
  </si>
  <si>
    <t>TRADE REC</t>
  </si>
  <si>
    <t>KAJARIACER</t>
  </si>
  <si>
    <t>Last Year_23</t>
  </si>
  <si>
    <t>GROWTH</t>
  </si>
  <si>
    <t>LIQUIDITY</t>
  </si>
  <si>
    <t>SOLVENCY</t>
  </si>
  <si>
    <t>PROFITABILITY</t>
  </si>
  <si>
    <t>VALUATIONS</t>
  </si>
  <si>
    <t>SALES GROWTH</t>
  </si>
  <si>
    <t>P-MARGIN</t>
  </si>
  <si>
    <t>CUR.RATIO</t>
  </si>
  <si>
    <t>TRADE CYC</t>
  </si>
  <si>
    <t>DEBT2EQUITY</t>
  </si>
  <si>
    <t>DEBTRATIO</t>
  </si>
  <si>
    <t>ICR</t>
  </si>
  <si>
    <t>ROE</t>
  </si>
  <si>
    <t>ROA</t>
  </si>
  <si>
    <t>F-PE</t>
  </si>
  <si>
    <t>YIELD</t>
  </si>
  <si>
    <t>BOOKVALUE</t>
  </si>
  <si>
    <t>PBV</t>
  </si>
  <si>
    <t>PEG</t>
  </si>
  <si>
    <t>KAJARIACERA</t>
  </si>
  <si>
    <t>Year</t>
  </si>
  <si>
    <t>Total Income</t>
  </si>
  <si>
    <t>Net Profit</t>
  </si>
  <si>
    <t>FAIRVALUE</t>
  </si>
  <si>
    <t>FY_2035</t>
  </si>
  <si>
    <t>FY_2030</t>
  </si>
  <si>
    <t>EPS_23</t>
  </si>
  <si>
    <t>T_EPS_24</t>
  </si>
  <si>
    <t>F_EPS_24</t>
  </si>
  <si>
    <t>FY_2024</t>
  </si>
  <si>
    <t>PE_23</t>
  </si>
  <si>
    <t>F_PE_24</t>
  </si>
  <si>
    <t>Expected Growth</t>
  </si>
  <si>
    <t>MARGIN</t>
  </si>
  <si>
    <t>LongTerm</t>
  </si>
  <si>
    <t>C_YEAR</t>
  </si>
  <si>
    <t>Q4</t>
  </si>
  <si>
    <t>Q1</t>
  </si>
  <si>
    <t>Q2</t>
  </si>
  <si>
    <t>Q3</t>
  </si>
  <si>
    <t>FY_24</t>
  </si>
  <si>
    <t>ACTUAL GROWTH</t>
  </si>
  <si>
    <t>FAIR_PE</t>
  </si>
  <si>
    <t>Current YearH1</t>
  </si>
  <si>
    <t>Expenditure</t>
  </si>
  <si>
    <t>NPM %</t>
  </si>
  <si>
    <t>High Price</t>
  </si>
  <si>
    <t>Low Price</t>
  </si>
  <si>
    <t>High PE</t>
  </si>
  <si>
    <t>LOW PE</t>
  </si>
  <si>
    <t>TREND</t>
  </si>
  <si>
    <t>FY23</t>
  </si>
  <si>
    <t>Q1_FY_24</t>
  </si>
  <si>
    <t>H1_FY24</t>
  </si>
  <si>
    <t>9M_FY_24</t>
  </si>
  <si>
    <t>EST-FY24</t>
  </si>
  <si>
    <t>20 YEARS</t>
  </si>
  <si>
    <t>SALES</t>
  </si>
  <si>
    <t>10YEARS</t>
  </si>
  <si>
    <t>PROFIT</t>
  </si>
  <si>
    <t>5 YEARS</t>
  </si>
  <si>
    <t>LAST YEAR</t>
  </si>
  <si>
    <t>RAWDATA</t>
  </si>
  <si>
    <t>Actual</t>
  </si>
  <si>
    <t>9M_FY_23</t>
  </si>
  <si>
    <t>H1_FY_24</t>
  </si>
  <si>
    <t>H1_FY_23</t>
  </si>
  <si>
    <t>FY_2023</t>
  </si>
  <si>
    <t>FY_2022</t>
  </si>
  <si>
    <t>COST</t>
  </si>
  <si>
    <t>FY_2021</t>
  </si>
  <si>
    <t>FINANCE</t>
  </si>
  <si>
    <t>FY_2020</t>
  </si>
  <si>
    <t>FY_2019</t>
  </si>
  <si>
    <t>FY_2018</t>
  </si>
  <si>
    <t>SPLIT 2:1</t>
  </si>
  <si>
    <t>FY_2017</t>
  </si>
  <si>
    <t>FY_2016</t>
  </si>
  <si>
    <t>FY_2015</t>
  </si>
  <si>
    <t>FY_2014</t>
  </si>
  <si>
    <t>MAJORCOST</t>
  </si>
  <si>
    <t>SHARE</t>
  </si>
  <si>
    <t>FY_2013</t>
  </si>
  <si>
    <t>POWERFUEL</t>
  </si>
  <si>
    <t>FY_2012</t>
  </si>
  <si>
    <t>MATERIAL</t>
  </si>
  <si>
    <t>FY_2011</t>
  </si>
  <si>
    <t>STOCKINTRADE</t>
  </si>
  <si>
    <t>FY_2010</t>
  </si>
  <si>
    <t>EMPLOYEE</t>
  </si>
  <si>
    <t>FY_2009</t>
  </si>
  <si>
    <t>OTHERCOST</t>
  </si>
  <si>
    <t>FY_2008</t>
  </si>
  <si>
    <t>D&amp;A</t>
  </si>
  <si>
    <t>FY_2007</t>
  </si>
  <si>
    <t>Split*5</t>
  </si>
  <si>
    <t>FY_2006</t>
  </si>
  <si>
    <t>INVENTORY</t>
  </si>
  <si>
    <t>FY_2005</t>
  </si>
  <si>
    <t>FY_2004</t>
  </si>
  <si>
    <t>TOTAL</t>
  </si>
  <si>
    <t>FY_2003</t>
  </si>
  <si>
    <t>FY_2002</t>
  </si>
  <si>
    <t>SEGMENT</t>
  </si>
  <si>
    <t>TILES</t>
  </si>
  <si>
    <t>OTHERS</t>
  </si>
  <si>
    <t>CERAMICS</t>
  </si>
  <si>
    <t>INDUSTRY</t>
  </si>
  <si>
    <t>FY_22_MN_SQ_MT</t>
  </si>
  <si>
    <t>35000 CR</t>
  </si>
  <si>
    <t>ENDUSERS</t>
  </si>
  <si>
    <t>TOTAL SALES</t>
  </si>
  <si>
    <t>DOMESTIC</t>
  </si>
  <si>
    <t>UNORGANISED CR</t>
  </si>
  <si>
    <t>INSTITUTIONAL</t>
  </si>
  <si>
    <t>EXPORTS</t>
  </si>
  <si>
    <t>ORGNISED CR</t>
  </si>
  <si>
    <t>RETAIL</t>
  </si>
  <si>
    <t>LISTED</t>
  </si>
  <si>
    <t>GOVERMENT</t>
  </si>
  <si>
    <t>UNLISTED</t>
  </si>
  <si>
    <t>MARKETSHARE</t>
  </si>
  <si>
    <t>COMPANY</t>
  </si>
  <si>
    <t>MARKETCAP</t>
  </si>
  <si>
    <t>SALES_23</t>
  </si>
  <si>
    <t>PROFIT_23</t>
  </si>
  <si>
    <t>SOMANYCERA</t>
  </si>
  <si>
    <t>ASIANTILES</t>
  </si>
  <si>
    <t>ORIENTBELL</t>
  </si>
  <si>
    <t>EXXARO</t>
  </si>
  <si>
    <t>NITCO</t>
  </si>
  <si>
    <t>MURUDCERA</t>
  </si>
  <si>
    <t>REGENCERAM</t>
  </si>
  <si>
    <t>RESTILE</t>
  </si>
  <si>
    <t>SALES_5Y_GR</t>
  </si>
  <si>
    <t>CY_SALES GR</t>
  </si>
  <si>
    <t>MARGIN_23</t>
  </si>
  <si>
    <t>CUR. RATIO</t>
  </si>
  <si>
    <t>TR.DAYS</t>
  </si>
  <si>
    <t>WEALTH</t>
  </si>
  <si>
    <t>CMP</t>
  </si>
  <si>
    <t>PRICE_14</t>
  </si>
  <si>
    <t>PRICE_04</t>
  </si>
  <si>
    <t>CAGR_10Y</t>
  </si>
  <si>
    <t>CAGR_20Y</t>
  </si>
  <si>
    <t>DIVIDEND_04%</t>
  </si>
  <si>
    <t>TRAIL_PE</t>
  </si>
  <si>
    <t>Security Code</t>
  </si>
  <si>
    <t>CUR ASSET</t>
  </si>
  <si>
    <t>CUR LIABILITY</t>
  </si>
  <si>
    <t>TOT. ASSET</t>
  </si>
  <si>
    <t>TOT. LIABILITY</t>
  </si>
  <si>
    <t>EQUITY</t>
  </si>
  <si>
    <t>TOT. EQUITY</t>
  </si>
  <si>
    <t>BORROWING</t>
  </si>
  <si>
    <t>TRADE REC.</t>
  </si>
  <si>
    <t>TRAIL_EPS</t>
  </si>
  <si>
    <t>Companies weightage</t>
  </si>
  <si>
    <t>SALES_18</t>
  </si>
  <si>
    <t>9M_FY24_SALES</t>
  </si>
  <si>
    <t>9M_FY23_SALES</t>
  </si>
  <si>
    <t>9M_FY24_PROFIT</t>
  </si>
  <si>
    <t>9M_FY23_PROFIT</t>
  </si>
  <si>
    <t>EXPENSE</t>
  </si>
  <si>
    <t>CY_PRPFIT_GR</t>
  </si>
  <si>
    <t>CY_MARGIN</t>
  </si>
  <si>
    <t>ROPE</t>
  </si>
  <si>
    <t>WWW.PROFITFROMIT.IN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</si>
</sst>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0.0%"/>
    <numFmt numFmtId="166" formatCode="#,##0.0"/>
  </numFmts>
  <fonts count="19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Arial"/>
    </font>
    <font>
      <sz val="24"/>
      <color rgb="FFFFFFFF"/>
      <name val="Arial"/>
    </font>
    <font>
      <sz val="11"/>
      <name val="Calibri"/>
    </font>
    <font>
      <sz val="11"/>
      <color rgb="FFFFFFFF"/>
      <name val="Arial"/>
    </font>
    <font>
      <sz val="11"/>
      <color theme="1"/>
      <name val="Calibri"/>
    </font>
    <font>
      <b/>
      <i/>
      <sz val="11"/>
      <color theme="1"/>
      <name val="Arial"/>
    </font>
    <font>
      <sz val="25"/>
      <color theme="1"/>
      <name val="Calibri"/>
      <scheme val="minor"/>
    </font>
    <font>
      <sz val="11"/>
      <color rgb="FF002060"/>
      <name val="Calibri"/>
    </font>
    <font>
      <b/>
      <sz val="11"/>
      <color theme="0"/>
      <name val="Calibri"/>
      <scheme val="minor"/>
    </font>
    <font>
      <sz val="11"/>
      <color rgb="FF980000"/>
      <name val="Arial"/>
    </font>
    <font>
      <sz val="11"/>
      <color rgb="FF660000"/>
      <name val="Arial"/>
    </font>
    <font>
      <sz val="11"/>
      <color rgb="FF9C0006"/>
      <name val="Calibri"/>
      <scheme val="minor"/>
    </font>
    <font>
      <b/>
      <i/>
      <sz val="11"/>
      <color theme="1"/>
      <name val="Calibri"/>
      <scheme val="minor"/>
    </font>
    <font>
      <b/>
      <sz val="11"/>
      <color rgb="FFFFFFFF"/>
      <name val="Arial"/>
    </font>
    <font>
      <b/>
      <sz val="47"/>
      <color rgb="FFFFFFFF"/>
      <name val="Arial"/>
    </font>
    <font>
      <b/>
      <sz val="11"/>
      <color theme="1"/>
      <name val="Arial"/>
    </font>
    <font>
      <b/>
      <u/>
      <sz val="47"/>
      <color rgb="FF0000FF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0124D"/>
        <bgColor rgb="FF20124D"/>
      </patternFill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E6B8AF"/>
        <bgColor rgb="FFE6B8AF"/>
      </patternFill>
    </fill>
    <fill>
      <patternFill patternType="solid">
        <fgColor rgb="FFD9EAD3"/>
        <bgColor rgb="FFD9EAD3"/>
      </patternFill>
    </fill>
    <fill>
      <patternFill patternType="solid">
        <fgColor rgb="FFFFC7CE"/>
        <bgColor rgb="FFFFC7CE"/>
      </patternFill>
    </fill>
    <fill>
      <patternFill patternType="solid">
        <fgColor rgb="FF4C1130"/>
        <bgColor rgb="FF4C1130"/>
      </patternFill>
    </fill>
    <fill>
      <patternFill patternType="solid">
        <fgColor rgb="FF073763"/>
        <bgColor rgb="FF073763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2" fillId="2" borderId="0" xfId="0" applyFont="1" applyFill="1" applyAlignment="1">
      <alignment horizontal="left"/>
    </xf>
    <xf numFmtId="0" fontId="5" fillId="3" borderId="4" xfId="0" applyFont="1" applyFill="1" applyBorder="1"/>
    <xf numFmtId="1" fontId="6" fillId="0" borderId="4" xfId="0" applyNumberFormat="1" applyFont="1" applyBorder="1"/>
    <xf numFmtId="3" fontId="2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7" fillId="4" borderId="4" xfId="0" applyFont="1" applyFill="1" applyBorder="1"/>
    <xf numFmtId="9" fontId="7" fillId="4" borderId="4" xfId="0" applyNumberFormat="1" applyFont="1" applyFill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5" fillId="3" borderId="0" xfId="0" applyFont="1" applyFill="1"/>
    <xf numFmtId="9" fontId="2" fillId="0" borderId="0" xfId="0" applyNumberFormat="1" applyFont="1"/>
    <xf numFmtId="9" fontId="2" fillId="5" borderId="4" xfId="0" applyNumberFormat="1" applyFont="1" applyFill="1" applyBorder="1" applyAlignment="1">
      <alignment horizontal="right"/>
    </xf>
    <xf numFmtId="165" fontId="2" fillId="5" borderId="4" xfId="0" applyNumberFormat="1" applyFont="1" applyFill="1" applyBorder="1" applyAlignment="1">
      <alignment horizontal="right"/>
    </xf>
    <xf numFmtId="164" fontId="2" fillId="5" borderId="4" xfId="0" applyNumberFormat="1" applyFont="1" applyFill="1" applyBorder="1" applyAlignment="1">
      <alignment horizontal="right"/>
    </xf>
    <xf numFmtId="3" fontId="2" fillId="5" borderId="4" xfId="0" applyNumberFormat="1" applyFont="1" applyFill="1" applyBorder="1" applyAlignment="1">
      <alignment horizontal="right"/>
    </xf>
    <xf numFmtId="1" fontId="2" fillId="5" borderId="4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wrapText="1"/>
    </xf>
    <xf numFmtId="1" fontId="6" fillId="6" borderId="4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64" fontId="8" fillId="4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left" wrapText="1"/>
    </xf>
    <xf numFmtId="1" fontId="9" fillId="2" borderId="0" xfId="0" applyNumberFormat="1" applyFont="1" applyFill="1" applyAlignment="1">
      <alignment horizontal="right" wrapText="1"/>
    </xf>
    <xf numFmtId="1" fontId="6" fillId="2" borderId="0" xfId="0" applyNumberFormat="1" applyFont="1" applyFill="1" applyAlignment="1">
      <alignment horizontal="right" wrapText="1"/>
    </xf>
    <xf numFmtId="1" fontId="1" fillId="0" borderId="0" xfId="0" applyNumberFormat="1" applyFont="1"/>
    <xf numFmtId="0" fontId="0" fillId="0" borderId="0" xfId="0"/>
    <xf numFmtId="0" fontId="2" fillId="2" borderId="4" xfId="0" applyFont="1" applyFill="1" applyBorder="1" applyAlignment="1">
      <alignment horizontal="left"/>
    </xf>
    <xf numFmtId="9" fontId="2" fillId="2" borderId="4" xfId="0" applyNumberFormat="1" applyFont="1" applyFill="1" applyBorder="1"/>
    <xf numFmtId="165" fontId="2" fillId="2" borderId="4" xfId="0" applyNumberFormat="1" applyFont="1" applyFill="1" applyBorder="1"/>
    <xf numFmtId="0" fontId="10" fillId="2" borderId="5" xfId="0" applyFont="1" applyFill="1" applyBorder="1"/>
    <xf numFmtId="0" fontId="2" fillId="2" borderId="5" xfId="0" applyFont="1" applyFill="1" applyBorder="1"/>
    <xf numFmtId="0" fontId="1" fillId="0" borderId="4" xfId="0" applyFont="1" applyBorder="1"/>
    <xf numFmtId="9" fontId="1" fillId="0" borderId="0" xfId="0" applyNumberFormat="1" applyFont="1"/>
    <xf numFmtId="3" fontId="1" fillId="0" borderId="4" xfId="0" applyNumberFormat="1" applyFont="1" applyBorder="1"/>
    <xf numFmtId="3" fontId="2" fillId="2" borderId="4" xfId="0" applyNumberFormat="1" applyFont="1" applyFill="1" applyBorder="1"/>
    <xf numFmtId="9" fontId="1" fillId="0" borderId="4" xfId="0" applyNumberFormat="1" applyFont="1" applyBorder="1"/>
    <xf numFmtId="1" fontId="2" fillId="2" borderId="4" xfId="0" applyNumberFormat="1" applyFont="1" applyFill="1" applyBorder="1"/>
    <xf numFmtId="164" fontId="1" fillId="0" borderId="0" xfId="0" applyNumberFormat="1" applyFont="1"/>
    <xf numFmtId="1" fontId="1" fillId="0" borderId="4" xfId="0" applyNumberFormat="1" applyFont="1" applyBorder="1"/>
    <xf numFmtId="164" fontId="1" fillId="0" borderId="4" xfId="0" applyNumberFormat="1" applyFont="1" applyBorder="1"/>
    <xf numFmtId="1" fontId="2" fillId="7" borderId="4" xfId="0" applyNumberFormat="1" applyFont="1" applyFill="1" applyBorder="1"/>
    <xf numFmtId="1" fontId="2" fillId="8" borderId="4" xfId="0" applyNumberFormat="1" applyFont="1" applyFill="1" applyBorder="1"/>
    <xf numFmtId="164" fontId="2" fillId="2" borderId="4" xfId="0" applyNumberFormat="1" applyFont="1" applyFill="1" applyBorder="1"/>
    <xf numFmtId="1" fontId="11" fillId="7" borderId="4" xfId="0" applyNumberFormat="1" applyFont="1" applyFill="1" applyBorder="1"/>
    <xf numFmtId="1" fontId="12" fillId="2" borderId="4" xfId="0" applyNumberFormat="1" applyFont="1" applyFill="1" applyBorder="1"/>
    <xf numFmtId="1" fontId="13" fillId="9" borderId="4" xfId="0" applyNumberFormat="1" applyFont="1" applyFill="1" applyBorder="1"/>
    <xf numFmtId="165" fontId="1" fillId="0" borderId="4" xfId="0" applyNumberFormat="1" applyFont="1" applyBorder="1"/>
    <xf numFmtId="166" fontId="1" fillId="0" borderId="4" xfId="0" applyNumberFormat="1" applyFont="1" applyBorder="1"/>
    <xf numFmtId="0" fontId="2" fillId="2" borderId="4" xfId="0" applyFont="1" applyFill="1" applyBorder="1"/>
    <xf numFmtId="0" fontId="14" fillId="0" borderId="4" xfId="0" applyFont="1" applyBorder="1"/>
    <xf numFmtId="1" fontId="7" fillId="2" borderId="4" xfId="0" applyNumberFormat="1" applyFont="1" applyFill="1" applyBorder="1"/>
    <xf numFmtId="9" fontId="14" fillId="0" borderId="4" xfId="0" applyNumberFormat="1" applyFont="1" applyBorder="1"/>
    <xf numFmtId="0" fontId="2" fillId="2" borderId="6" xfId="0" applyFont="1" applyFill="1" applyBorder="1"/>
    <xf numFmtId="1" fontId="2" fillId="2" borderId="7" xfId="0" applyNumberFormat="1" applyFont="1" applyFill="1" applyBorder="1"/>
    <xf numFmtId="164" fontId="2" fillId="2" borderId="7" xfId="0" applyNumberFormat="1" applyFont="1" applyFill="1" applyBorder="1"/>
    <xf numFmtId="0" fontId="3" fillId="2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15" fillId="10" borderId="0" xfId="0" applyFont="1" applyFill="1" applyAlignment="1">
      <alignment horizontal="center"/>
    </xf>
    <xf numFmtId="0" fontId="16" fillId="11" borderId="8" xfId="0" applyFont="1" applyFill="1" applyBorder="1" applyAlignment="1">
      <alignment horizontal="center" vertical="center"/>
    </xf>
    <xf numFmtId="0" fontId="15" fillId="11" borderId="4" xfId="0" applyFont="1" applyFill="1" applyBorder="1"/>
    <xf numFmtId="1" fontId="2" fillId="0" borderId="0" xfId="0" applyNumberFormat="1" applyFont="1" applyAlignment="1">
      <alignment horizontal="right"/>
    </xf>
    <xf numFmtId="0" fontId="1" fillId="0" borderId="14" xfId="0" applyFont="1" applyBorder="1"/>
    <xf numFmtId="0" fontId="1" fillId="0" borderId="9" xfId="0" applyFont="1" applyBorder="1"/>
    <xf numFmtId="1" fontId="17" fillId="0" borderId="0" xfId="0" applyNumberFormat="1" applyFont="1" applyAlignment="1">
      <alignment horizontal="right"/>
    </xf>
    <xf numFmtId="0" fontId="15" fillId="11" borderId="0" xfId="0" applyFont="1" applyFill="1"/>
    <xf numFmtId="0" fontId="6" fillId="0" borderId="0" xfId="0" applyFont="1"/>
    <xf numFmtId="0" fontId="2" fillId="0" borderId="0" xfId="0" applyFont="1" applyAlignment="1">
      <alignment horizontal="right"/>
    </xf>
    <xf numFmtId="0" fontId="6" fillId="0" borderId="14" xfId="0" applyFont="1" applyBorder="1"/>
    <xf numFmtId="1" fontId="2" fillId="0" borderId="14" xfId="0" applyNumberFormat="1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6" fillId="0" borderId="9" xfId="0" applyFont="1" applyBorder="1"/>
    <xf numFmtId="1" fontId="2" fillId="0" borderId="9" xfId="0" applyNumberFormat="1" applyFont="1" applyBorder="1" applyAlignment="1">
      <alignment horizontal="right"/>
    </xf>
    <xf numFmtId="10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6" fillId="0" borderId="0" xfId="0" applyNumberFormat="1" applyFont="1"/>
    <xf numFmtId="10" fontId="2" fillId="0" borderId="14" xfId="0" applyNumberFormat="1" applyFont="1" applyBorder="1" applyAlignment="1">
      <alignment horizontal="right"/>
    </xf>
    <xf numFmtId="165" fontId="6" fillId="0" borderId="14" xfId="0" applyNumberFormat="1" applyFont="1" applyBorder="1"/>
    <xf numFmtId="0" fontId="2" fillId="0" borderId="14" xfId="0" applyFont="1" applyBorder="1"/>
    <xf numFmtId="0" fontId="17" fillId="0" borderId="9" xfId="0" applyFont="1" applyBorder="1"/>
    <xf numFmtId="10" fontId="2" fillId="0" borderId="9" xfId="0" applyNumberFormat="1" applyFont="1" applyBorder="1" applyAlignment="1">
      <alignment horizontal="right"/>
    </xf>
    <xf numFmtId="165" fontId="17" fillId="0" borderId="9" xfId="0" applyNumberFormat="1" applyFont="1" applyBorder="1" applyAlignment="1">
      <alignment horizontal="right"/>
    </xf>
    <xf numFmtId="2" fontId="15" fillId="11" borderId="0" xfId="0" applyNumberFormat="1" applyFont="1" applyFill="1"/>
    <xf numFmtId="2" fontId="2" fillId="0" borderId="0" xfId="0" applyNumberFormat="1" applyFont="1" applyAlignment="1">
      <alignment horizontal="right"/>
    </xf>
    <xf numFmtId="0" fontId="6" fillId="0" borderId="16" xfId="0" applyFont="1" applyBorder="1"/>
    <xf numFmtId="1" fontId="2" fillId="0" borderId="15" xfId="0" applyNumberFormat="1" applyFont="1" applyBorder="1" applyAlignment="1">
      <alignment horizontal="right"/>
    </xf>
    <xf numFmtId="2" fontId="2" fillId="0" borderId="14" xfId="0" applyNumberFormat="1" applyFont="1" applyBorder="1" applyAlignment="1">
      <alignment horizontal="right"/>
    </xf>
    <xf numFmtId="2" fontId="2" fillId="0" borderId="9" xfId="0" applyNumberFormat="1" applyFont="1" applyBorder="1" applyAlignment="1">
      <alignment horizontal="right"/>
    </xf>
    <xf numFmtId="165" fontId="2" fillId="0" borderId="14" xfId="0" applyNumberFormat="1" applyFont="1" applyBorder="1" applyAlignment="1">
      <alignment horizontal="right"/>
    </xf>
    <xf numFmtId="165" fontId="2" fillId="0" borderId="9" xfId="0" applyNumberFormat="1" applyFont="1" applyBorder="1" applyAlignment="1">
      <alignment horizontal="right"/>
    </xf>
    <xf numFmtId="1" fontId="2" fillId="12" borderId="0" xfId="0" applyNumberFormat="1" applyFont="1" applyFill="1" applyAlignment="1">
      <alignment horizontal="right"/>
    </xf>
    <xf numFmtId="165" fontId="1" fillId="0" borderId="0" xfId="0" applyNumberFormat="1" applyFont="1"/>
    <xf numFmtId="1" fontId="2" fillId="12" borderId="14" xfId="0" applyNumberFormat="1" applyFont="1" applyFill="1" applyBorder="1" applyAlignment="1">
      <alignment horizontal="right"/>
    </xf>
    <xf numFmtId="165" fontId="1" fillId="0" borderId="14" xfId="0" applyNumberFormat="1" applyFont="1" applyBorder="1"/>
    <xf numFmtId="9" fontId="1" fillId="0" borderId="14" xfId="0" applyNumberFormat="1" applyFont="1" applyBorder="1"/>
    <xf numFmtId="9" fontId="1" fillId="0" borderId="9" xfId="0" applyNumberFormat="1" applyFont="1" applyBorder="1"/>
    <xf numFmtId="0" fontId="15" fillId="11" borderId="3" xfId="0" applyFont="1" applyFill="1" applyBorder="1"/>
    <xf numFmtId="1" fontId="15" fillId="11" borderId="3" xfId="0" applyNumberFormat="1" applyFont="1" applyFill="1" applyBorder="1"/>
    <xf numFmtId="0" fontId="15" fillId="10" borderId="3" xfId="0" applyFont="1" applyFill="1" applyBorder="1" applyAlignment="1">
      <alignment horizontal="center"/>
    </xf>
    <xf numFmtId="1" fontId="15" fillId="10" borderId="3" xfId="0" applyNumberFormat="1" applyFont="1" applyFill="1" applyBorder="1" applyAlignment="1">
      <alignment horizontal="center"/>
    </xf>
    <xf numFmtId="2" fontId="15" fillId="10" borderId="3" xfId="0" applyNumberFormat="1" applyFont="1" applyFill="1" applyBorder="1" applyAlignment="1">
      <alignment horizontal="center"/>
    </xf>
    <xf numFmtId="0" fontId="6" fillId="0" borderId="16" xfId="0" applyFont="1" applyBorder="1" applyAlignment="1">
      <alignment horizontal="right"/>
    </xf>
    <xf numFmtId="0" fontId="6" fillId="0" borderId="15" xfId="0" applyFont="1" applyBorder="1"/>
    <xf numFmtId="0" fontId="2" fillId="0" borderId="15" xfId="0" applyFont="1" applyBorder="1" applyAlignment="1">
      <alignment horizontal="right"/>
    </xf>
    <xf numFmtId="10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right"/>
    </xf>
    <xf numFmtId="0" fontId="2" fillId="0" borderId="12" xfId="0" applyFont="1" applyBorder="1"/>
    <xf numFmtId="0" fontId="2" fillId="0" borderId="16" xfId="0" applyFont="1" applyBorder="1"/>
    <xf numFmtId="0" fontId="17" fillId="0" borderId="15" xfId="0" applyFont="1" applyBorder="1"/>
    <xf numFmtId="0" fontId="2" fillId="0" borderId="15" xfId="0" applyFont="1" applyBorder="1"/>
    <xf numFmtId="1" fontId="17" fillId="0" borderId="15" xfId="0" applyNumberFormat="1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9" fontId="17" fillId="0" borderId="15" xfId="0" applyNumberFormat="1" applyFont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10" fontId="2" fillId="0" borderId="15" xfId="0" applyNumberFormat="1" applyFont="1" applyBorder="1"/>
    <xf numFmtId="2" fontId="17" fillId="0" borderId="15" xfId="0" applyNumberFormat="1" applyFont="1" applyBorder="1" applyAlignment="1">
      <alignment horizontal="right"/>
    </xf>
    <xf numFmtId="1" fontId="2" fillId="0" borderId="15" xfId="0" applyNumberFormat="1" applyFont="1" applyBorder="1"/>
    <xf numFmtId="0" fontId="18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 defaultTableStyle="TableStyleMedium2" defaultPivotStyle="PivotStyleLight16">
    <tableStyle name="kajariacer-style" pivot="0" count="3" xr9:uid="{9296A29B-7A0B-498E-9CFF-9DB4A42A2684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FY_22:Ceramic Industry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CERAMICS!$C$10</c:f>
              <c:strCache>
                <c:ptCount val="1"/>
                <c:pt idx="0">
                  <c:v>FY_22_MN_SQ_MT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50B5-445A-8A21-06CDF436517A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50B5-445A-8A21-06CDF436517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CERAMICS!$B$11:$B$12</c:f>
              <c:strCache>
                <c:ptCount val="2"/>
                <c:pt idx="0">
                  <c:v>DOMESTIC</c:v>
                </c:pt>
                <c:pt idx="1">
                  <c:v>EXPORTS</c:v>
                </c:pt>
              </c:strCache>
            </c:strRef>
          </c:cat>
          <c:val>
            <c:numRef>
              <c:f>CERAMICS!$C$11:$C$12</c:f>
              <c:numCache>
                <c:formatCode>General</c:formatCode>
                <c:ptCount val="2"/>
                <c:pt idx="0">
                  <c:v>780</c:v>
                </c:pt>
                <c:pt idx="1">
                  <c:v>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5-445A-8A21-06CDF4365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CERAMIC TILES INDUSTRY: IN CR</a:t>
            </a:r>
          </a:p>
        </c:rich>
      </c:tx>
      <c:layout>
        <c:manualLayout>
          <c:xMode val="edge"/>
          <c:yMode val="edge"/>
          <c:x val="3.3086680761099364E-2"/>
          <c:y val="0.05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CERAMICS!$G$11:$G$12</c:f>
              <c:strCache>
                <c:ptCount val="2"/>
                <c:pt idx="0">
                  <c:v>UNORGANISED CR</c:v>
                </c:pt>
                <c:pt idx="1">
                  <c:v>ORGNISED CR</c:v>
                </c:pt>
              </c:strCache>
            </c:strRef>
          </c:cat>
          <c:val>
            <c:numRef>
              <c:f>CERAMICS!$H$11:$H$12</c:f>
              <c:numCache>
                <c:formatCode>General</c:formatCode>
                <c:ptCount val="2"/>
                <c:pt idx="0">
                  <c:v>20000</c:v>
                </c:pt>
                <c:pt idx="1">
                  <c:v>15000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CC7-4F92-A419-A362FC9C0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6283129"/>
        <c:axId val="2109583217"/>
      </c:barChart>
      <c:catAx>
        <c:axId val="19262831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09583217"/>
        <c:crosses val="autoZero"/>
        <c:auto val="1"/>
        <c:lblAlgn val="ctr"/>
        <c:lblOffset val="100"/>
        <c:noMultiLvlLbl val="1"/>
      </c:catAx>
      <c:valAx>
        <c:axId val="21095832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2628312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END USER WISE SALES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CERAMICS!$L$10</c:f>
              <c:strCache>
                <c:ptCount val="1"/>
                <c:pt idx="0">
                  <c:v>TOTAL SALES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6B8F-44F0-B340-E3E4BB51C038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6B8F-44F0-B340-E3E4BB51C038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6B8F-44F0-B340-E3E4BB51C03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CERAMICS!$K$11:$K$13</c:f>
              <c:strCache>
                <c:ptCount val="3"/>
                <c:pt idx="0">
                  <c:v>INSTITUTIONAL</c:v>
                </c:pt>
                <c:pt idx="1">
                  <c:v>RETAIL</c:v>
                </c:pt>
                <c:pt idx="2">
                  <c:v>GOVERMENT</c:v>
                </c:pt>
              </c:strCache>
            </c:strRef>
          </c:cat>
          <c:val>
            <c:numRef>
              <c:f>CERAMICS!$L$11:$L$13</c:f>
              <c:numCache>
                <c:formatCode>0%</c:formatCode>
                <c:ptCount val="3"/>
                <c:pt idx="0">
                  <c:v>0.46</c:v>
                </c:pt>
                <c:pt idx="1">
                  <c:v>0.39</c:v>
                </c:pt>
                <c:pt idx="2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8F-44F0-B340-E3E4BB51C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MARKETCAP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CERAMICS!$C$33</c:f>
              <c:strCache>
                <c:ptCount val="1"/>
                <c:pt idx="0">
                  <c:v>MARKETCAP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8C45-40AC-B0BE-769DEB3A9FCD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8C45-40AC-B0BE-769DEB3A9FCD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8C45-40AC-B0BE-769DEB3A9FCD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8C45-40AC-B0BE-769DEB3A9FCD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8C45-40AC-B0BE-769DEB3A9FCD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8C45-40AC-B0BE-769DEB3A9FCD}"/>
              </c:ext>
            </c:extLst>
          </c:dPt>
          <c:dPt>
            <c:idx val="6"/>
            <c:bubble3D val="0"/>
            <c:spPr>
              <a:solidFill>
                <a:srgbClr val="84A7D1"/>
              </a:solidFill>
            </c:spPr>
            <c:extLst>
              <c:ext xmlns:c16="http://schemas.microsoft.com/office/drawing/2014/chart" uri="{C3380CC4-5D6E-409C-BE32-E72D297353CC}">
                <c16:uniqueId val="{0000000D-8C45-40AC-B0BE-769DEB3A9FCD}"/>
              </c:ext>
            </c:extLst>
          </c:dPt>
          <c:dPt>
            <c:idx val="7"/>
            <c:bubble3D val="0"/>
            <c:spPr>
              <a:solidFill>
                <a:srgbClr val="D38582"/>
              </a:solidFill>
            </c:spPr>
            <c:extLst>
              <c:ext xmlns:c16="http://schemas.microsoft.com/office/drawing/2014/chart" uri="{C3380CC4-5D6E-409C-BE32-E72D297353CC}">
                <c16:uniqueId val="{0000000F-8C45-40AC-B0BE-769DEB3A9FCD}"/>
              </c:ext>
            </c:extLst>
          </c:dPt>
          <c:dPt>
            <c:idx val="8"/>
            <c:bubble3D val="0"/>
            <c:spPr>
              <a:solidFill>
                <a:srgbClr val="B9CF8B"/>
              </a:solidFill>
            </c:spPr>
            <c:extLst>
              <c:ext xmlns:c16="http://schemas.microsoft.com/office/drawing/2014/chart" uri="{C3380CC4-5D6E-409C-BE32-E72D297353CC}">
                <c16:uniqueId val="{00000011-8C45-40AC-B0BE-769DEB3A9FC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CERAMICS!$B$34:$B$42</c:f>
              <c:strCache>
                <c:ptCount val="9"/>
                <c:pt idx="0">
                  <c:v>KAJARIACER</c:v>
                </c:pt>
                <c:pt idx="1">
                  <c:v>SOMANYCERA</c:v>
                </c:pt>
                <c:pt idx="2">
                  <c:v>ASIANTILES</c:v>
                </c:pt>
                <c:pt idx="3">
                  <c:v>ORIENTBELL</c:v>
                </c:pt>
                <c:pt idx="4">
                  <c:v>EXXARO</c:v>
                </c:pt>
                <c:pt idx="5">
                  <c:v>NITCO</c:v>
                </c:pt>
                <c:pt idx="6">
                  <c:v>MURUDCERA</c:v>
                </c:pt>
                <c:pt idx="7">
                  <c:v>REGENCERAM</c:v>
                </c:pt>
                <c:pt idx="8">
                  <c:v>RESTILE</c:v>
                </c:pt>
              </c:strCache>
            </c:strRef>
          </c:cat>
          <c:val>
            <c:numRef>
              <c:f>CERAMICS!$C$34:$C$42</c:f>
              <c:numCache>
                <c:formatCode>0</c:formatCode>
                <c:ptCount val="9"/>
                <c:pt idx="0">
                  <c:v>20457</c:v>
                </c:pt>
                <c:pt idx="1">
                  <c:v>2615</c:v>
                </c:pt>
                <c:pt idx="2">
                  <c:v>819</c:v>
                </c:pt>
                <c:pt idx="3">
                  <c:v>530</c:v>
                </c:pt>
                <c:pt idx="4">
                  <c:v>503</c:v>
                </c:pt>
                <c:pt idx="5">
                  <c:v>491</c:v>
                </c:pt>
                <c:pt idx="6">
                  <c:v>357</c:v>
                </c:pt>
                <c:pt idx="7">
                  <c:v>83</c:v>
                </c:pt>
                <c:pt idx="8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C45-40AC-B0BE-769DEB3A9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CERAMICS!$G$33</c:f>
              <c:strCache>
                <c:ptCount val="1"/>
                <c:pt idx="0">
                  <c:v>SALES_23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DF98-423F-A2DB-89847BC85C4D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DF98-423F-A2DB-89847BC85C4D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DF98-423F-A2DB-89847BC85C4D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DF98-423F-A2DB-89847BC85C4D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DF98-423F-A2DB-89847BC85C4D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DF98-423F-A2DB-89847BC85C4D}"/>
              </c:ext>
            </c:extLst>
          </c:dPt>
          <c:dPt>
            <c:idx val="6"/>
            <c:bubble3D val="0"/>
            <c:spPr>
              <a:solidFill>
                <a:srgbClr val="84A7D1"/>
              </a:solidFill>
            </c:spPr>
            <c:extLst>
              <c:ext xmlns:c16="http://schemas.microsoft.com/office/drawing/2014/chart" uri="{C3380CC4-5D6E-409C-BE32-E72D297353CC}">
                <c16:uniqueId val="{0000000D-DF98-423F-A2DB-89847BC85C4D}"/>
              </c:ext>
            </c:extLst>
          </c:dPt>
          <c:dPt>
            <c:idx val="7"/>
            <c:bubble3D val="0"/>
            <c:spPr>
              <a:solidFill>
                <a:srgbClr val="D38582"/>
              </a:solidFill>
            </c:spPr>
            <c:extLst>
              <c:ext xmlns:c16="http://schemas.microsoft.com/office/drawing/2014/chart" uri="{C3380CC4-5D6E-409C-BE32-E72D297353CC}">
                <c16:uniqueId val="{0000000F-DF98-423F-A2DB-89847BC85C4D}"/>
              </c:ext>
            </c:extLst>
          </c:dPt>
          <c:dPt>
            <c:idx val="8"/>
            <c:bubble3D val="0"/>
            <c:spPr>
              <a:solidFill>
                <a:srgbClr val="B9CF8B"/>
              </a:solidFill>
            </c:spPr>
            <c:extLst>
              <c:ext xmlns:c16="http://schemas.microsoft.com/office/drawing/2014/chart" uri="{C3380CC4-5D6E-409C-BE32-E72D297353CC}">
                <c16:uniqueId val="{00000011-DF98-423F-A2DB-89847BC85C4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CERAMICS!$F$34:$F$42</c:f>
              <c:strCache>
                <c:ptCount val="9"/>
                <c:pt idx="0">
                  <c:v>KAJARIACER</c:v>
                </c:pt>
                <c:pt idx="1">
                  <c:v>SOMANYCERA</c:v>
                </c:pt>
                <c:pt idx="2">
                  <c:v>ASIANTILES</c:v>
                </c:pt>
                <c:pt idx="3">
                  <c:v>ORIENTBELL</c:v>
                </c:pt>
                <c:pt idx="4">
                  <c:v>EXXARO</c:v>
                </c:pt>
                <c:pt idx="5">
                  <c:v>NITCO</c:v>
                </c:pt>
                <c:pt idx="6">
                  <c:v>MURUDCERA</c:v>
                </c:pt>
                <c:pt idx="7">
                  <c:v>REGENCERAM</c:v>
                </c:pt>
                <c:pt idx="8">
                  <c:v>RESTILE</c:v>
                </c:pt>
              </c:strCache>
            </c:strRef>
          </c:cat>
          <c:val>
            <c:numRef>
              <c:f>CERAMICS!$G$34:$G$42</c:f>
              <c:numCache>
                <c:formatCode>General</c:formatCode>
                <c:ptCount val="9"/>
                <c:pt idx="0">
                  <c:v>4382</c:v>
                </c:pt>
                <c:pt idx="1">
                  <c:v>2478</c:v>
                </c:pt>
                <c:pt idx="2">
                  <c:v>1563</c:v>
                </c:pt>
                <c:pt idx="3">
                  <c:v>705</c:v>
                </c:pt>
                <c:pt idx="4">
                  <c:v>316</c:v>
                </c:pt>
                <c:pt idx="5">
                  <c:v>384</c:v>
                </c:pt>
                <c:pt idx="6">
                  <c:v>170</c:v>
                </c:pt>
                <c:pt idx="7">
                  <c:v>0</c:v>
                </c:pt>
                <c:pt idx="8">
                  <c:v>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F98-423F-A2DB-89847BC85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PROFIT_23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CERAMICS!$K$33</c:f>
              <c:strCache>
                <c:ptCount val="1"/>
                <c:pt idx="0">
                  <c:v>PROFIT_23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CERAMICS!$J$34:$J$42</c:f>
              <c:strCache>
                <c:ptCount val="9"/>
                <c:pt idx="0">
                  <c:v>KAJARIACER</c:v>
                </c:pt>
                <c:pt idx="1">
                  <c:v>SOMANYCERA</c:v>
                </c:pt>
                <c:pt idx="2">
                  <c:v>ASIANTILES</c:v>
                </c:pt>
                <c:pt idx="3">
                  <c:v>ORIENTBELL</c:v>
                </c:pt>
                <c:pt idx="4">
                  <c:v>EXXARO</c:v>
                </c:pt>
                <c:pt idx="5">
                  <c:v>NITCO</c:v>
                </c:pt>
                <c:pt idx="6">
                  <c:v>MURUDCERA</c:v>
                </c:pt>
                <c:pt idx="7">
                  <c:v>REGENCERAM</c:v>
                </c:pt>
                <c:pt idx="8">
                  <c:v>RESTILE</c:v>
                </c:pt>
              </c:strCache>
            </c:strRef>
          </c:cat>
          <c:val>
            <c:numRef>
              <c:f>CERAMICS!$K$34:$K$42</c:f>
              <c:numCache>
                <c:formatCode>0</c:formatCode>
                <c:ptCount val="9"/>
                <c:pt idx="0">
                  <c:v>346</c:v>
                </c:pt>
                <c:pt idx="1">
                  <c:v>67</c:v>
                </c:pt>
                <c:pt idx="2">
                  <c:v>-87</c:v>
                </c:pt>
                <c:pt idx="3">
                  <c:v>22</c:v>
                </c:pt>
                <c:pt idx="4">
                  <c:v>2.97</c:v>
                </c:pt>
                <c:pt idx="5">
                  <c:v>-151</c:v>
                </c:pt>
                <c:pt idx="6">
                  <c:v>7</c:v>
                </c:pt>
                <c:pt idx="7">
                  <c:v>-16</c:v>
                </c:pt>
                <c:pt idx="8">
                  <c:v>-0.67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D4A-4910-8E7A-9AB847E47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9826324"/>
        <c:axId val="581305094"/>
      </c:barChart>
      <c:catAx>
        <c:axId val="17598263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81305094"/>
        <c:crosses val="autoZero"/>
        <c:auto val="1"/>
        <c:lblAlgn val="ctr"/>
        <c:lblOffset val="100"/>
        <c:noMultiLvlLbl val="1"/>
      </c:catAx>
      <c:valAx>
        <c:axId val="5813050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PROFIT_23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5982632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SALES_5Y_GR vs COMPANY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CERAMICS!$C$64</c:f>
              <c:strCache>
                <c:ptCount val="1"/>
                <c:pt idx="0">
                  <c:v>SALES_5Y_GR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CERAMICS!$B$65:$B$73</c:f>
              <c:strCache>
                <c:ptCount val="9"/>
                <c:pt idx="0">
                  <c:v>KAJARIACER</c:v>
                </c:pt>
                <c:pt idx="1">
                  <c:v>SOMANYCERA</c:v>
                </c:pt>
                <c:pt idx="2">
                  <c:v>ASIANTILES</c:v>
                </c:pt>
                <c:pt idx="3">
                  <c:v>ORIENTBELL</c:v>
                </c:pt>
                <c:pt idx="4">
                  <c:v>EXXARO</c:v>
                </c:pt>
                <c:pt idx="5">
                  <c:v>NITCO</c:v>
                </c:pt>
                <c:pt idx="6">
                  <c:v>MURUDCERA</c:v>
                </c:pt>
                <c:pt idx="7">
                  <c:v>REGENCERAM</c:v>
                </c:pt>
                <c:pt idx="8">
                  <c:v>RESTILE</c:v>
                </c:pt>
              </c:strCache>
            </c:strRef>
          </c:cat>
          <c:val>
            <c:numRef>
              <c:f>CERAMICS!$C$65:$C$73</c:f>
              <c:numCache>
                <c:formatCode>0.00%</c:formatCode>
                <c:ptCount val="9"/>
                <c:pt idx="0">
                  <c:v>0.10080038080466114</c:v>
                </c:pt>
                <c:pt idx="1">
                  <c:v>7.7265340207721689E-2</c:v>
                </c:pt>
                <c:pt idx="2">
                  <c:v>5.9449881154982398E-2</c:v>
                </c:pt>
                <c:pt idx="3">
                  <c:v>1.3586320178939459E-2</c:v>
                </c:pt>
                <c:pt idx="4">
                  <c:v>7.5109947879521854E-2</c:v>
                </c:pt>
                <c:pt idx="5">
                  <c:v>-8.8408477207311931E-2</c:v>
                </c:pt>
                <c:pt idx="6">
                  <c:v>7.3940923785779322E-2</c:v>
                </c:pt>
                <c:pt idx="8">
                  <c:v>0.24447007575593416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8C0-4898-B23E-7409DF16E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689518"/>
        <c:axId val="110242514"/>
      </c:barChart>
      <c:catAx>
        <c:axId val="118968951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242514"/>
        <c:crosses val="autoZero"/>
        <c:auto val="1"/>
        <c:lblAlgn val="ctr"/>
        <c:lblOffset val="100"/>
        <c:noMultiLvlLbl val="1"/>
      </c:catAx>
      <c:valAx>
        <c:axId val="11024251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SALES_5Y_GR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89689518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CY_SALES GR vs COMPANY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CERAMICS!$I$64</c:f>
              <c:strCache>
                <c:ptCount val="1"/>
                <c:pt idx="0">
                  <c:v>CY_SALES GR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CERAMICS!$H$65:$H$73</c:f>
              <c:strCache>
                <c:ptCount val="9"/>
                <c:pt idx="0">
                  <c:v>KAJARIACER</c:v>
                </c:pt>
                <c:pt idx="1">
                  <c:v>SOMANYCERA</c:v>
                </c:pt>
                <c:pt idx="2">
                  <c:v>ASIANTILES</c:v>
                </c:pt>
                <c:pt idx="3">
                  <c:v>ORIENTBELL</c:v>
                </c:pt>
                <c:pt idx="4">
                  <c:v>EXXARO</c:v>
                </c:pt>
                <c:pt idx="5">
                  <c:v>NITCO</c:v>
                </c:pt>
                <c:pt idx="6">
                  <c:v>MURUDCERA</c:v>
                </c:pt>
                <c:pt idx="7">
                  <c:v>REGENCERAM</c:v>
                </c:pt>
                <c:pt idx="8">
                  <c:v>RESTILE</c:v>
                </c:pt>
              </c:strCache>
            </c:strRef>
          </c:cat>
          <c:val>
            <c:numRef>
              <c:f>CERAMICS!$I$65:$I$73</c:f>
              <c:numCache>
                <c:formatCode>0.0%</c:formatCode>
                <c:ptCount val="9"/>
                <c:pt idx="0">
                  <c:v>5.04E-2</c:v>
                </c:pt>
                <c:pt idx="1">
                  <c:v>3.0200000000000001E-2</c:v>
                </c:pt>
                <c:pt idx="2">
                  <c:v>0</c:v>
                </c:pt>
                <c:pt idx="3">
                  <c:v>-7.5999999999999998E-2</c:v>
                </c:pt>
                <c:pt idx="4">
                  <c:v>-3.154574132492094E-3</c:v>
                </c:pt>
                <c:pt idx="5">
                  <c:v>-1.2345679012345734E-2</c:v>
                </c:pt>
                <c:pt idx="6">
                  <c:v>0.12941176470588234</c:v>
                </c:pt>
                <c:pt idx="8">
                  <c:v>-0.35532994923857864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78C-4BB7-887C-8482AE4D2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644107"/>
        <c:axId val="1126801375"/>
      </c:barChart>
      <c:catAx>
        <c:axId val="207864410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26801375"/>
        <c:crosses val="autoZero"/>
        <c:auto val="1"/>
        <c:lblAlgn val="ctr"/>
        <c:lblOffset val="100"/>
        <c:noMultiLvlLbl val="1"/>
      </c:catAx>
      <c:valAx>
        <c:axId val="112680137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CY_SALES 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78644107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DEBT2Equity vs COMPANY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CERAMICS!$C$78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CERAMICS!$B$79:$B$82</c:f>
              <c:strCache>
                <c:ptCount val="4"/>
                <c:pt idx="0">
                  <c:v>KAJARIACER</c:v>
                </c:pt>
                <c:pt idx="1">
                  <c:v>SOMANYCERA</c:v>
                </c:pt>
                <c:pt idx="2">
                  <c:v>ASIANTILES</c:v>
                </c:pt>
                <c:pt idx="3">
                  <c:v>ORIENTBELL</c:v>
                </c:pt>
              </c:strCache>
            </c:strRef>
          </c:cat>
          <c:val>
            <c:numRef>
              <c:f>CERAMICS!$C$79:$C$82</c:f>
              <c:numCache>
                <c:formatCode>0.00</c:formatCode>
                <c:ptCount val="4"/>
                <c:pt idx="0">
                  <c:v>0.05</c:v>
                </c:pt>
                <c:pt idx="1">
                  <c:v>0.36</c:v>
                </c:pt>
                <c:pt idx="2">
                  <c:v>7.0000000000000007E-2</c:v>
                </c:pt>
                <c:pt idx="3">
                  <c:v>0.06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553-49FB-A891-078DD24AB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0848881"/>
        <c:axId val="506733508"/>
      </c:barChart>
      <c:catAx>
        <c:axId val="203084888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06733508"/>
        <c:crosses val="autoZero"/>
        <c:auto val="1"/>
        <c:lblAlgn val="ctr"/>
        <c:lblOffset val="100"/>
        <c:noMultiLvlLbl val="1"/>
      </c:catAx>
      <c:valAx>
        <c:axId val="50673350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30848881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DEBTRATIO vs COMPANY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CERAMICS!$G$78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CERAMICS!$F$79:$F$82</c:f>
              <c:strCache>
                <c:ptCount val="4"/>
                <c:pt idx="0">
                  <c:v>KAJARIACER</c:v>
                </c:pt>
                <c:pt idx="1">
                  <c:v>SOMANYCERA</c:v>
                </c:pt>
                <c:pt idx="2">
                  <c:v>ASIANTILES</c:v>
                </c:pt>
                <c:pt idx="3">
                  <c:v>ORIENTBELL</c:v>
                </c:pt>
              </c:strCache>
            </c:strRef>
          </c:cat>
          <c:val>
            <c:numRef>
              <c:f>CERAMICS!$G$79:$G$82</c:f>
              <c:numCache>
                <c:formatCode>0.00</c:formatCode>
                <c:ptCount val="4"/>
                <c:pt idx="0">
                  <c:v>0.25</c:v>
                </c:pt>
                <c:pt idx="1">
                  <c:v>0.53</c:v>
                </c:pt>
                <c:pt idx="2">
                  <c:v>0.25</c:v>
                </c:pt>
                <c:pt idx="3">
                  <c:v>0.38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214-4111-BCB8-222B022AF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610462"/>
        <c:axId val="737869122"/>
      </c:barChart>
      <c:catAx>
        <c:axId val="76961046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37869122"/>
        <c:crosses val="autoZero"/>
        <c:auto val="1"/>
        <c:lblAlgn val="ctr"/>
        <c:lblOffset val="100"/>
        <c:noMultiLvlLbl val="1"/>
      </c:catAx>
      <c:valAx>
        <c:axId val="73786912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69610462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ICR vs COMPANY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CERAMICS!$K$78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CERAMICS!$J$79:$J$82</c:f>
              <c:strCache>
                <c:ptCount val="4"/>
                <c:pt idx="0">
                  <c:v>KAJARIACER</c:v>
                </c:pt>
                <c:pt idx="1">
                  <c:v>SOMANYCERA</c:v>
                </c:pt>
                <c:pt idx="2">
                  <c:v>ASIANTILES</c:v>
                </c:pt>
                <c:pt idx="3">
                  <c:v>ORIENTBELL</c:v>
                </c:pt>
              </c:strCache>
            </c:strRef>
          </c:cat>
          <c:val>
            <c:numRef>
              <c:f>CERAMICS!$K$79:$K$82</c:f>
              <c:numCache>
                <c:formatCode>0</c:formatCode>
                <c:ptCount val="4"/>
                <c:pt idx="0">
                  <c:v>21</c:v>
                </c:pt>
                <c:pt idx="1">
                  <c:v>3</c:v>
                </c:pt>
                <c:pt idx="2">
                  <c:v>-4</c:v>
                </c:pt>
                <c:pt idx="3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748-4E07-9F97-D50402A1D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565106"/>
        <c:axId val="1303154777"/>
      </c:barChart>
      <c:catAx>
        <c:axId val="32256510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03154777"/>
        <c:crosses val="autoZero"/>
        <c:auto val="1"/>
        <c:lblAlgn val="ctr"/>
        <c:lblOffset val="100"/>
        <c:noMultiLvlLbl val="1"/>
      </c:catAx>
      <c:valAx>
        <c:axId val="130315477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22565106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MARGIN_23 vs COMPANY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CERAMICS!$C$104</c:f>
              <c:strCache>
                <c:ptCount val="1"/>
                <c:pt idx="0">
                  <c:v>MARGIN_23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CERAMICS!$B$105:$B$113</c:f>
              <c:strCache>
                <c:ptCount val="9"/>
                <c:pt idx="0">
                  <c:v>KAJARIACER</c:v>
                </c:pt>
                <c:pt idx="1">
                  <c:v>SOMANYCERA</c:v>
                </c:pt>
                <c:pt idx="2">
                  <c:v>ASIANTILES</c:v>
                </c:pt>
                <c:pt idx="3">
                  <c:v>ORIENTBELL</c:v>
                </c:pt>
                <c:pt idx="4">
                  <c:v>EXXARO</c:v>
                </c:pt>
                <c:pt idx="5">
                  <c:v>NITCO</c:v>
                </c:pt>
                <c:pt idx="6">
                  <c:v>MURUDCERA</c:v>
                </c:pt>
                <c:pt idx="7">
                  <c:v>REGENCERAM</c:v>
                </c:pt>
                <c:pt idx="8">
                  <c:v>RESTILE</c:v>
                </c:pt>
              </c:strCache>
            </c:strRef>
          </c:cat>
          <c:val>
            <c:numRef>
              <c:f>CERAMICS!$C$105:$C$113</c:f>
              <c:numCache>
                <c:formatCode>0.0%</c:formatCode>
                <c:ptCount val="9"/>
                <c:pt idx="0">
                  <c:v>7.8959379278868091E-2</c:v>
                </c:pt>
                <c:pt idx="1">
                  <c:v>2.7037933817594836E-2</c:v>
                </c:pt>
                <c:pt idx="2">
                  <c:v>-5.5662188099808059E-2</c:v>
                </c:pt>
                <c:pt idx="3">
                  <c:v>3.1205673758865248E-2</c:v>
                </c:pt>
                <c:pt idx="4">
                  <c:v>9.398734177215191E-3</c:v>
                </c:pt>
                <c:pt idx="5">
                  <c:v>-0.39322916666666669</c:v>
                </c:pt>
                <c:pt idx="6">
                  <c:v>4.1176470588235294E-2</c:v>
                </c:pt>
                <c:pt idx="7">
                  <c:v>0</c:v>
                </c:pt>
                <c:pt idx="8">
                  <c:v>-0.34010152284263961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578-4FDC-8ACF-75F6C7572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376048"/>
        <c:axId val="1062896621"/>
      </c:barChart>
      <c:catAx>
        <c:axId val="65037604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62896621"/>
        <c:crosses val="autoZero"/>
        <c:auto val="1"/>
        <c:lblAlgn val="ctr"/>
        <c:lblOffset val="100"/>
        <c:noMultiLvlLbl val="1"/>
      </c:catAx>
      <c:valAx>
        <c:axId val="106289662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MARGIN_23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50376048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CUR. RATIO vs COMPANY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CERAMICS!$G$104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CERAMICS!$F$105:$F$108</c:f>
              <c:strCache>
                <c:ptCount val="4"/>
                <c:pt idx="0">
                  <c:v>KAJARIACER</c:v>
                </c:pt>
                <c:pt idx="1">
                  <c:v>SOMANYCERA</c:v>
                </c:pt>
                <c:pt idx="2">
                  <c:v>ASIANTILES</c:v>
                </c:pt>
                <c:pt idx="3">
                  <c:v>ORIENTBELL</c:v>
                </c:pt>
              </c:strCache>
            </c:strRef>
          </c:cat>
          <c:val>
            <c:numRef>
              <c:f>CERAMICS!$G$105:$G$108</c:f>
              <c:numCache>
                <c:formatCode>0.00</c:formatCode>
                <c:ptCount val="4"/>
                <c:pt idx="0">
                  <c:v>2.59</c:v>
                </c:pt>
                <c:pt idx="1">
                  <c:v>1.1100000000000001</c:v>
                </c:pt>
                <c:pt idx="2">
                  <c:v>2.35</c:v>
                </c:pt>
                <c:pt idx="3">
                  <c:v>1.45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614-4C2B-8C2B-D42254703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031096"/>
        <c:axId val="1699982892"/>
      </c:barChart>
      <c:catAx>
        <c:axId val="35603109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99982892"/>
        <c:crosses val="autoZero"/>
        <c:auto val="1"/>
        <c:lblAlgn val="ctr"/>
        <c:lblOffset val="100"/>
        <c:noMultiLvlLbl val="1"/>
      </c:catAx>
      <c:valAx>
        <c:axId val="169998289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56031096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TR.DAYS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CERAMICS!$K$104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CERAMICS!$J$105:$J$108</c:f>
              <c:strCache>
                <c:ptCount val="4"/>
                <c:pt idx="0">
                  <c:v>KAJARIACER</c:v>
                </c:pt>
                <c:pt idx="1">
                  <c:v>SOMANYCERA</c:v>
                </c:pt>
                <c:pt idx="2">
                  <c:v>ASIANTILES</c:v>
                </c:pt>
                <c:pt idx="3">
                  <c:v>ORIENTBELL</c:v>
                </c:pt>
              </c:strCache>
            </c:strRef>
          </c:cat>
          <c:val>
            <c:numRef>
              <c:f>CERAMICS!$K$105:$K$108</c:f>
              <c:numCache>
                <c:formatCode>0</c:formatCode>
                <c:ptCount val="4"/>
                <c:pt idx="0">
                  <c:v>46</c:v>
                </c:pt>
                <c:pt idx="1">
                  <c:v>39</c:v>
                </c:pt>
                <c:pt idx="2">
                  <c:v>91</c:v>
                </c:pt>
                <c:pt idx="3">
                  <c:v>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A6A-4748-A5B0-2D66D9B15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2543217"/>
        <c:axId val="439589355"/>
      </c:barChart>
      <c:catAx>
        <c:axId val="15025432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39589355"/>
        <c:crosses val="autoZero"/>
        <c:auto val="1"/>
        <c:lblAlgn val="ctr"/>
        <c:lblOffset val="100"/>
        <c:noMultiLvlLbl val="1"/>
      </c:catAx>
      <c:valAx>
        <c:axId val="4395893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0254321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CERAMICS!$F$135</c:f>
              <c:strCache>
                <c:ptCount val="1"/>
                <c:pt idx="0">
                  <c:v>CAGR_10Y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CERAMICS!$B$136:$B$139</c:f>
              <c:strCache>
                <c:ptCount val="4"/>
                <c:pt idx="0">
                  <c:v>KAJARIACER</c:v>
                </c:pt>
                <c:pt idx="1">
                  <c:v>SOMANYCERA</c:v>
                </c:pt>
                <c:pt idx="2">
                  <c:v>ASIANTILES</c:v>
                </c:pt>
                <c:pt idx="3">
                  <c:v>ORIENTBELL</c:v>
                </c:pt>
              </c:strCache>
            </c:strRef>
          </c:cat>
          <c:val>
            <c:numRef>
              <c:f>CERAMICS!$F$136:$F$139</c:f>
              <c:numCache>
                <c:formatCode>0.0%</c:formatCode>
                <c:ptCount val="4"/>
                <c:pt idx="0">
                  <c:v>0.23709846430101456</c:v>
                </c:pt>
                <c:pt idx="1">
                  <c:v>0.16554761077624325</c:v>
                </c:pt>
                <c:pt idx="2">
                  <c:v>0.14631223653775915</c:v>
                </c:pt>
                <c:pt idx="3">
                  <c:v>0.21524721049228823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11D-4578-8092-D772A713A88E}"/>
            </c:ext>
          </c:extLst>
        </c:ser>
        <c:ser>
          <c:idx val="1"/>
          <c:order val="1"/>
          <c:tx>
            <c:strRef>
              <c:f>CERAMICS!$G$135</c:f>
              <c:strCache>
                <c:ptCount val="1"/>
                <c:pt idx="0">
                  <c:v>CAGR_20Y</c:v>
                </c:pt>
              </c:strCache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CERAMICS!$B$136:$B$139</c:f>
              <c:strCache>
                <c:ptCount val="4"/>
                <c:pt idx="0">
                  <c:v>KAJARIACER</c:v>
                </c:pt>
                <c:pt idx="1">
                  <c:v>SOMANYCERA</c:v>
                </c:pt>
                <c:pt idx="2">
                  <c:v>ASIANTILES</c:v>
                </c:pt>
                <c:pt idx="3">
                  <c:v>ORIENTBELL</c:v>
                </c:pt>
              </c:strCache>
            </c:strRef>
          </c:cat>
          <c:val>
            <c:numRef>
              <c:f>CERAMICS!$G$136:$G$139</c:f>
              <c:numCache>
                <c:formatCode>0%</c:formatCode>
                <c:ptCount val="4"/>
                <c:pt idx="0">
                  <c:v>0.24595928569709935</c:v>
                </c:pt>
                <c:pt idx="1">
                  <c:v>0.25638817674179259</c:v>
                </c:pt>
                <c:pt idx="2">
                  <c:v>-1.504204080770799E-2</c:v>
                </c:pt>
                <c:pt idx="3">
                  <c:v>8.3105840275396581E-2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11D-4578-8092-D772A713A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5350154"/>
        <c:axId val="433648470"/>
      </c:barChart>
      <c:catAx>
        <c:axId val="14153501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33648470"/>
        <c:crosses val="autoZero"/>
        <c:auto val="1"/>
        <c:lblAlgn val="ctr"/>
        <c:lblOffset val="100"/>
        <c:noMultiLvlLbl val="1"/>
      </c:catAx>
      <c:valAx>
        <c:axId val="4336484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1535015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DIVIDEND_04%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CERAMICS!$H$135</c:f>
              <c:strCache>
                <c:ptCount val="1"/>
                <c:pt idx="0">
                  <c:v>DIVIDEND_04%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CERAMICS!$B$136:$B$139</c:f>
              <c:strCache>
                <c:ptCount val="4"/>
                <c:pt idx="0">
                  <c:v>KAJARIACER</c:v>
                </c:pt>
                <c:pt idx="1">
                  <c:v>SOMANYCERA</c:v>
                </c:pt>
                <c:pt idx="2">
                  <c:v>ASIANTILES</c:v>
                </c:pt>
                <c:pt idx="3">
                  <c:v>ORIENTBELL</c:v>
                </c:pt>
              </c:strCache>
            </c:strRef>
          </c:cat>
          <c:val>
            <c:numRef>
              <c:f>CERAMICS!$H$136:$H$139</c:f>
              <c:numCache>
                <c:formatCode>0%</c:formatCode>
                <c:ptCount val="4"/>
                <c:pt idx="0">
                  <c:v>0.56962025316455689</c:v>
                </c:pt>
                <c:pt idx="1">
                  <c:v>0.45454545454545459</c:v>
                </c:pt>
                <c:pt idx="2" formatCode="General">
                  <c:v>0</c:v>
                </c:pt>
                <c:pt idx="3">
                  <c:v>1.3513513513513514E-2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F0E-4DE8-90A3-D951AC06C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1038952"/>
        <c:axId val="1445303727"/>
      </c:barChart>
      <c:catAx>
        <c:axId val="1481038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45303727"/>
        <c:crosses val="autoZero"/>
        <c:auto val="1"/>
        <c:lblAlgn val="ctr"/>
        <c:lblOffset val="100"/>
        <c:noMultiLvlLbl val="1"/>
      </c:catAx>
      <c:valAx>
        <c:axId val="14453037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DIVIDEND_04%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8103895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TRAIL_PE and PBV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CERAMICS!$C$158</c:f>
              <c:strCache>
                <c:ptCount val="1"/>
                <c:pt idx="0">
                  <c:v>TRAIL_PE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CERAMICS!$B$159:$B$162</c:f>
              <c:strCache>
                <c:ptCount val="4"/>
                <c:pt idx="0">
                  <c:v>KAJARIACER</c:v>
                </c:pt>
                <c:pt idx="1">
                  <c:v>SOMANYCERA</c:v>
                </c:pt>
                <c:pt idx="2">
                  <c:v>ASIANTILES</c:v>
                </c:pt>
                <c:pt idx="3">
                  <c:v>ORIENTBELL</c:v>
                </c:pt>
              </c:strCache>
            </c:strRef>
          </c:cat>
          <c:val>
            <c:numRef>
              <c:f>CERAMICS!$C$159:$C$162</c:f>
              <c:numCache>
                <c:formatCode>0</c:formatCode>
                <c:ptCount val="4"/>
                <c:pt idx="0">
                  <c:v>48</c:v>
                </c:pt>
                <c:pt idx="1">
                  <c:v>30</c:v>
                </c:pt>
                <c:pt idx="2">
                  <c:v>-15</c:v>
                </c:pt>
                <c:pt idx="3">
                  <c:v>230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8A5-48C5-B49E-86731DBB6E30}"/>
            </c:ext>
          </c:extLst>
        </c:ser>
        <c:ser>
          <c:idx val="1"/>
          <c:order val="1"/>
          <c:tx>
            <c:strRef>
              <c:f>CERAMICS!$D$158</c:f>
              <c:strCache>
                <c:ptCount val="1"/>
                <c:pt idx="0">
                  <c:v>PBV</c:v>
                </c:pt>
              </c:strCache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CERAMICS!$B$159:$B$162</c:f>
              <c:strCache>
                <c:ptCount val="4"/>
                <c:pt idx="0">
                  <c:v>KAJARIACER</c:v>
                </c:pt>
                <c:pt idx="1">
                  <c:v>SOMANYCERA</c:v>
                </c:pt>
                <c:pt idx="2">
                  <c:v>ASIANTILES</c:v>
                </c:pt>
                <c:pt idx="3">
                  <c:v>ORIENTBELL</c:v>
                </c:pt>
              </c:strCache>
            </c:strRef>
          </c:cat>
          <c:val>
            <c:numRef>
              <c:f>CERAMICS!$D$159:$D$162</c:f>
              <c:numCache>
                <c:formatCode>0</c:formatCode>
                <c:ptCount val="4"/>
                <c:pt idx="0">
                  <c:v>8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8A5-48C5-B49E-86731DBB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0573006"/>
        <c:axId val="282396334"/>
      </c:barChart>
      <c:catAx>
        <c:axId val="18805730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82396334"/>
        <c:crosses val="autoZero"/>
        <c:auto val="1"/>
        <c:lblAlgn val="ctr"/>
        <c:lblOffset val="100"/>
        <c:noMultiLvlLbl val="1"/>
      </c:catAx>
      <c:valAx>
        <c:axId val="2823963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8057300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YIELD vs COMPANY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CERAMICS!$H$158</c:f>
              <c:strCache>
                <c:ptCount val="1"/>
                <c:pt idx="0">
                  <c:v>YIELD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CERAMICS!$G$159:$G$162</c:f>
              <c:strCache>
                <c:ptCount val="4"/>
                <c:pt idx="0">
                  <c:v>KAJARIACER</c:v>
                </c:pt>
                <c:pt idx="1">
                  <c:v>SOMANYCERA</c:v>
                </c:pt>
                <c:pt idx="2">
                  <c:v>ASIANTILES</c:v>
                </c:pt>
                <c:pt idx="3">
                  <c:v>ORIENTBELL</c:v>
                </c:pt>
              </c:strCache>
            </c:strRef>
          </c:cat>
          <c:val>
            <c:numRef>
              <c:f>CERAMICS!$H$159:$H$162</c:f>
              <c:numCache>
                <c:formatCode>0.0%</c:formatCode>
                <c:ptCount val="4"/>
                <c:pt idx="0">
                  <c:v>2.0899999999999998E-2</c:v>
                </c:pt>
                <c:pt idx="1">
                  <c:v>3.3300000000000003E-2</c:v>
                </c:pt>
                <c:pt idx="2">
                  <c:v>-6.6699999999999995E-2</c:v>
                </c:pt>
                <c:pt idx="3">
                  <c:v>4.4000000000000003E-3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5CE-46EE-8073-A8F7D2D52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860107"/>
        <c:axId val="1433959461"/>
      </c:barChart>
      <c:catAx>
        <c:axId val="107086010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33959461"/>
        <c:crosses val="autoZero"/>
        <c:auto val="1"/>
        <c:lblAlgn val="ctr"/>
        <c:lblOffset val="100"/>
        <c:noMultiLvlLbl val="1"/>
      </c:catAx>
      <c:valAx>
        <c:axId val="143395946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YIELD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70860107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53</xdr:row>
      <xdr:rowOff>-114300</xdr:rowOff>
    </xdr:from>
    <xdr:ext cx="8181975" cy="8181975"/>
    <xdr:pic>
      <xdr:nvPicPr>
        <xdr:cNvPr id="2" name="image5.png" title="Image">
          <a:extLst>
            <a:ext uri="{FF2B5EF4-FFF2-40B4-BE49-F238E27FC236}">
              <a16:creationId xmlns:a16="http://schemas.microsoft.com/office/drawing/2014/main" id="{506F1C89-EA1C-408F-9592-1847063523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10477500"/>
          <a:ext cx="8181975" cy="818197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28575</xdr:colOff>
      <xdr:row>94</xdr:row>
      <xdr:rowOff>190500</xdr:rowOff>
    </xdr:from>
    <xdr:ext cx="581025" cy="581025"/>
    <xdr:pic>
      <xdr:nvPicPr>
        <xdr:cNvPr id="3" name="image7.jpg" title="Image">
          <a:extLst>
            <a:ext uri="{FF2B5EF4-FFF2-40B4-BE49-F238E27FC236}">
              <a16:creationId xmlns:a16="http://schemas.microsoft.com/office/drawing/2014/main" id="{B99F090F-88F5-46F9-8A83-5E729A7BC4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18905220"/>
          <a:ext cx="581025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800100" cy="400050"/>
    <xdr:pic>
      <xdr:nvPicPr>
        <xdr:cNvPr id="4" name="image4.png">
          <a:extLst>
            <a:ext uri="{FF2B5EF4-FFF2-40B4-BE49-F238E27FC236}">
              <a16:creationId xmlns:a16="http://schemas.microsoft.com/office/drawing/2014/main" id="{DFEE37AD-75D3-4EFD-8216-B7017BB1E2E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50520" y="0"/>
          <a:ext cx="800100" cy="4000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14</xdr:row>
      <xdr:rowOff>152400</xdr:rowOff>
    </xdr:from>
    <xdr:ext cx="4505325" cy="2790825"/>
    <xdr:graphicFrame macro="">
      <xdr:nvGraphicFramePr>
        <xdr:cNvPr id="2" name="Chart 15" title="Chart">
          <a:extLst>
            <a:ext uri="{FF2B5EF4-FFF2-40B4-BE49-F238E27FC236}">
              <a16:creationId xmlns:a16="http://schemas.microsoft.com/office/drawing/2014/main" id="{27EFCF1F-26FA-474C-ACF4-8A09E4B52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514350</xdr:colOff>
      <xdr:row>14</xdr:row>
      <xdr:rowOff>152400</xdr:rowOff>
    </xdr:from>
    <xdr:ext cx="4505325" cy="2790825"/>
    <xdr:graphicFrame macro="">
      <xdr:nvGraphicFramePr>
        <xdr:cNvPr id="3" name="Chart 16" title="Chart">
          <a:extLst>
            <a:ext uri="{FF2B5EF4-FFF2-40B4-BE49-F238E27FC236}">
              <a16:creationId xmlns:a16="http://schemas.microsoft.com/office/drawing/2014/main" id="{579438C6-A17F-4818-8843-CC0361842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342900</xdr:colOff>
      <xdr:row>14</xdr:row>
      <xdr:rowOff>152400</xdr:rowOff>
    </xdr:from>
    <xdr:ext cx="4572000" cy="2790825"/>
    <xdr:graphicFrame macro="">
      <xdr:nvGraphicFramePr>
        <xdr:cNvPr id="4" name="Chart 17" title="Chart">
          <a:extLst>
            <a:ext uri="{FF2B5EF4-FFF2-40B4-BE49-F238E27FC236}">
              <a16:creationId xmlns:a16="http://schemas.microsoft.com/office/drawing/2014/main" id="{13E2FDCD-5DE2-4D93-9876-409D27DF2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142875</xdr:colOff>
      <xdr:row>44</xdr:row>
      <xdr:rowOff>28575</xdr:rowOff>
    </xdr:from>
    <xdr:ext cx="5019675" cy="3105150"/>
    <xdr:graphicFrame macro="">
      <xdr:nvGraphicFramePr>
        <xdr:cNvPr id="5" name="Chart 18" title="Chart">
          <a:extLst>
            <a:ext uri="{FF2B5EF4-FFF2-40B4-BE49-F238E27FC236}">
              <a16:creationId xmlns:a16="http://schemas.microsoft.com/office/drawing/2014/main" id="{C1897465-BF53-43B1-8075-17277BC5C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4</xdr:col>
      <xdr:colOff>895350</xdr:colOff>
      <xdr:row>44</xdr:row>
      <xdr:rowOff>28575</xdr:rowOff>
    </xdr:from>
    <xdr:ext cx="5076825" cy="3105150"/>
    <xdr:graphicFrame macro="">
      <xdr:nvGraphicFramePr>
        <xdr:cNvPr id="6" name="Chart 19" title="Chart">
          <a:extLst>
            <a:ext uri="{FF2B5EF4-FFF2-40B4-BE49-F238E27FC236}">
              <a16:creationId xmlns:a16="http://schemas.microsoft.com/office/drawing/2014/main" id="{5F0463CC-8168-4CF1-8B75-5C179DD4A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9</xdr:col>
      <xdr:colOff>333375</xdr:colOff>
      <xdr:row>44</xdr:row>
      <xdr:rowOff>28575</xdr:rowOff>
    </xdr:from>
    <xdr:ext cx="5076825" cy="3105150"/>
    <xdr:graphicFrame macro="">
      <xdr:nvGraphicFramePr>
        <xdr:cNvPr id="7" name="Chart 20" title="Chart">
          <a:extLst>
            <a:ext uri="{FF2B5EF4-FFF2-40B4-BE49-F238E27FC236}">
              <a16:creationId xmlns:a16="http://schemas.microsoft.com/office/drawing/2014/main" id="{46FD1CB4-74DD-44EF-AA8A-27CBBFC6C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3</xdr:col>
      <xdr:colOff>76200</xdr:colOff>
      <xdr:row>61</xdr:row>
      <xdr:rowOff>85725</xdr:rowOff>
    </xdr:from>
    <xdr:ext cx="4343400" cy="2686050"/>
    <xdr:graphicFrame macro="">
      <xdr:nvGraphicFramePr>
        <xdr:cNvPr id="8" name="Chart 21" title="Chart">
          <a:extLst>
            <a:ext uri="{FF2B5EF4-FFF2-40B4-BE49-F238E27FC236}">
              <a16:creationId xmlns:a16="http://schemas.microsoft.com/office/drawing/2014/main" id="{5A77EE79-58B7-420D-8C2D-34D0678DA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9</xdr:col>
      <xdr:colOff>85725</xdr:colOff>
      <xdr:row>61</xdr:row>
      <xdr:rowOff>85725</xdr:rowOff>
    </xdr:from>
    <xdr:ext cx="4343400" cy="2743200"/>
    <xdr:graphicFrame macro="">
      <xdr:nvGraphicFramePr>
        <xdr:cNvPr id="9" name="Chart 22" title="Chart">
          <a:extLst>
            <a:ext uri="{FF2B5EF4-FFF2-40B4-BE49-F238E27FC236}">
              <a16:creationId xmlns:a16="http://schemas.microsoft.com/office/drawing/2014/main" id="{6E1F689B-1E9C-476A-A0EE-762C68262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0</xdr:col>
      <xdr:colOff>228600</xdr:colOff>
      <xdr:row>84</xdr:row>
      <xdr:rowOff>85725</xdr:rowOff>
    </xdr:from>
    <xdr:ext cx="4933950" cy="3038475"/>
    <xdr:graphicFrame macro="">
      <xdr:nvGraphicFramePr>
        <xdr:cNvPr id="10" name="Chart 23" title="Chart">
          <a:extLst>
            <a:ext uri="{FF2B5EF4-FFF2-40B4-BE49-F238E27FC236}">
              <a16:creationId xmlns:a16="http://schemas.microsoft.com/office/drawing/2014/main" id="{F708A7B8-B8C8-421B-84D2-1D9D73087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5</xdr:col>
      <xdr:colOff>9525</xdr:colOff>
      <xdr:row>84</xdr:row>
      <xdr:rowOff>85725</xdr:rowOff>
    </xdr:from>
    <xdr:ext cx="4933950" cy="3038475"/>
    <xdr:graphicFrame macro="">
      <xdr:nvGraphicFramePr>
        <xdr:cNvPr id="11" name="Chart 24" title="Chart">
          <a:extLst>
            <a:ext uri="{FF2B5EF4-FFF2-40B4-BE49-F238E27FC236}">
              <a16:creationId xmlns:a16="http://schemas.microsoft.com/office/drawing/2014/main" id="{602714F6-1650-41B0-85B1-E9CF220C2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9</xdr:col>
      <xdr:colOff>171450</xdr:colOff>
      <xdr:row>84</xdr:row>
      <xdr:rowOff>85725</xdr:rowOff>
    </xdr:from>
    <xdr:ext cx="4933950" cy="3038475"/>
    <xdr:graphicFrame macro="">
      <xdr:nvGraphicFramePr>
        <xdr:cNvPr id="12" name="Chart 25" title="Chart">
          <a:extLst>
            <a:ext uri="{FF2B5EF4-FFF2-40B4-BE49-F238E27FC236}">
              <a16:creationId xmlns:a16="http://schemas.microsoft.com/office/drawing/2014/main" id="{B645F117-5320-4CDF-BB74-B348D20FA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0</xdr:col>
      <xdr:colOff>142875</xdr:colOff>
      <xdr:row>115</xdr:row>
      <xdr:rowOff>9525</xdr:rowOff>
    </xdr:from>
    <xdr:ext cx="5019675" cy="3105150"/>
    <xdr:graphicFrame macro="">
      <xdr:nvGraphicFramePr>
        <xdr:cNvPr id="13" name="Chart 26" title="Chart">
          <a:extLst>
            <a:ext uri="{FF2B5EF4-FFF2-40B4-BE49-F238E27FC236}">
              <a16:creationId xmlns:a16="http://schemas.microsoft.com/office/drawing/2014/main" id="{23D92ADF-C9C3-48DE-A7C5-F77BC08D3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5</xdr:col>
      <xdr:colOff>9525</xdr:colOff>
      <xdr:row>115</xdr:row>
      <xdr:rowOff>9525</xdr:rowOff>
    </xdr:from>
    <xdr:ext cx="5019675" cy="3105150"/>
    <xdr:graphicFrame macro="">
      <xdr:nvGraphicFramePr>
        <xdr:cNvPr id="14" name="Chart 27" title="Chart">
          <a:extLst>
            <a:ext uri="{FF2B5EF4-FFF2-40B4-BE49-F238E27FC236}">
              <a16:creationId xmlns:a16="http://schemas.microsoft.com/office/drawing/2014/main" id="{9B28B22F-B8CB-4EF8-802D-32C1DB07E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9</xdr:col>
      <xdr:colOff>285750</xdr:colOff>
      <xdr:row>115</xdr:row>
      <xdr:rowOff>9525</xdr:rowOff>
    </xdr:from>
    <xdr:ext cx="5076825" cy="3105150"/>
    <xdr:graphicFrame macro="">
      <xdr:nvGraphicFramePr>
        <xdr:cNvPr id="15" name="Chart 28" title="Chart">
          <a:extLst>
            <a:ext uri="{FF2B5EF4-FFF2-40B4-BE49-F238E27FC236}">
              <a16:creationId xmlns:a16="http://schemas.microsoft.com/office/drawing/2014/main" id="{A7DF684D-3671-4CD9-9EAA-164B5FFCF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0</xdr:col>
      <xdr:colOff>142875</xdr:colOff>
      <xdr:row>139</xdr:row>
      <xdr:rowOff>38100</xdr:rowOff>
    </xdr:from>
    <xdr:ext cx="5076825" cy="3105150"/>
    <xdr:graphicFrame macro="">
      <xdr:nvGraphicFramePr>
        <xdr:cNvPr id="16" name="Chart 29" title="Chart">
          <a:extLst>
            <a:ext uri="{FF2B5EF4-FFF2-40B4-BE49-F238E27FC236}">
              <a16:creationId xmlns:a16="http://schemas.microsoft.com/office/drawing/2014/main" id="{2D6EBA39-0D35-4470-8852-E042FB759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5</xdr:col>
      <xdr:colOff>9525</xdr:colOff>
      <xdr:row>139</xdr:row>
      <xdr:rowOff>38100</xdr:rowOff>
    </xdr:from>
    <xdr:ext cx="5019675" cy="3105150"/>
    <xdr:graphicFrame macro="">
      <xdr:nvGraphicFramePr>
        <xdr:cNvPr id="17" name="Chart 30" title="Chart">
          <a:extLst>
            <a:ext uri="{FF2B5EF4-FFF2-40B4-BE49-F238E27FC236}">
              <a16:creationId xmlns:a16="http://schemas.microsoft.com/office/drawing/2014/main" id="{9D445717-CEEB-4682-BC9C-8AA9EA99A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0</xdr:col>
      <xdr:colOff>142875</xdr:colOff>
      <xdr:row>164</xdr:row>
      <xdr:rowOff>28575</xdr:rowOff>
    </xdr:from>
    <xdr:ext cx="5019675" cy="3105150"/>
    <xdr:graphicFrame macro="">
      <xdr:nvGraphicFramePr>
        <xdr:cNvPr id="18" name="Chart 31" title="Chart">
          <a:extLst>
            <a:ext uri="{FF2B5EF4-FFF2-40B4-BE49-F238E27FC236}">
              <a16:creationId xmlns:a16="http://schemas.microsoft.com/office/drawing/2014/main" id="{B28AC438-A2C3-4E60-B3E3-29A835DCB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4</xdr:col>
      <xdr:colOff>942975</xdr:colOff>
      <xdr:row>164</xdr:row>
      <xdr:rowOff>28575</xdr:rowOff>
    </xdr:from>
    <xdr:ext cx="5076825" cy="3105150"/>
    <xdr:graphicFrame macro="">
      <xdr:nvGraphicFramePr>
        <xdr:cNvPr id="19" name="Chart 32" title="Chart">
          <a:extLst>
            <a:ext uri="{FF2B5EF4-FFF2-40B4-BE49-F238E27FC236}">
              <a16:creationId xmlns:a16="http://schemas.microsoft.com/office/drawing/2014/main" id="{5E25A531-9E6A-461F-B5A5-E9310B291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ceramics%20(1).xlsx" TargetMode="External"/><Relationship Id="rId1" Type="http://schemas.openxmlformats.org/officeDocument/2006/relationships/externalLinkPath" Target="/Users/profi/Downloads/ceramic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int Industry"/>
      <sheetName val="Decor"/>
      <sheetName val="CERAMICS"/>
      <sheetName val="SFL"/>
      <sheetName val="kajariacer"/>
      <sheetName val="Asian paint Valuations"/>
      <sheetName val="Furniture, Furnishing,Paints"/>
      <sheetName val="Paint DashBoard"/>
      <sheetName val="ASIANPAINT"/>
      <sheetName val="KANSAINER"/>
      <sheetName val="BERGEPAINT"/>
      <sheetName val="AKZOINDIA"/>
      <sheetName val="CERA"/>
    </sheetNames>
    <sheetDataSet>
      <sheetData sheetId="0"/>
      <sheetData sheetId="1"/>
      <sheetData sheetId="2">
        <row r="10">
          <cell r="C10" t="str">
            <v>FY_22_MN_SQ_MT</v>
          </cell>
          <cell r="L10" t="str">
            <v>TOTAL SALES</v>
          </cell>
        </row>
        <row r="11">
          <cell r="B11" t="str">
            <v>DOMESTIC</v>
          </cell>
          <cell r="C11">
            <v>780</v>
          </cell>
          <cell r="G11" t="str">
            <v>UNORGANISED CR</v>
          </cell>
          <cell r="H11">
            <v>20000</v>
          </cell>
          <cell r="K11" t="str">
            <v>INSTITUTIONAL</v>
          </cell>
          <cell r="L11">
            <v>0.46</v>
          </cell>
        </row>
        <row r="12">
          <cell r="B12" t="str">
            <v>EXPORTS</v>
          </cell>
          <cell r="C12">
            <v>561</v>
          </cell>
          <cell r="G12" t="str">
            <v>ORGNISED CR</v>
          </cell>
          <cell r="H12">
            <v>15000</v>
          </cell>
          <cell r="K12" t="str">
            <v>RETAIL</v>
          </cell>
          <cell r="L12">
            <v>0.39</v>
          </cell>
        </row>
        <row r="13">
          <cell r="K13" t="str">
            <v>GOVERMENT</v>
          </cell>
          <cell r="L13">
            <v>0.15</v>
          </cell>
        </row>
        <row r="33">
          <cell r="C33" t="str">
            <v>MARKETCAP</v>
          </cell>
          <cell r="G33" t="str">
            <v>SALES_23</v>
          </cell>
          <cell r="K33" t="str">
            <v>PROFIT_23</v>
          </cell>
        </row>
        <row r="34">
          <cell r="B34" t="str">
            <v>KAJARIACER</v>
          </cell>
          <cell r="C34">
            <v>20457</v>
          </cell>
          <cell r="F34" t="str">
            <v>KAJARIACER</v>
          </cell>
          <cell r="G34">
            <v>4382</v>
          </cell>
          <cell r="J34" t="str">
            <v>KAJARIACER</v>
          </cell>
          <cell r="K34">
            <v>346</v>
          </cell>
        </row>
        <row r="35">
          <cell r="B35" t="str">
            <v>SOMANYCERA</v>
          </cell>
          <cell r="C35">
            <v>2615</v>
          </cell>
          <cell r="F35" t="str">
            <v>SOMANYCERA</v>
          </cell>
          <cell r="G35">
            <v>2478</v>
          </cell>
          <cell r="J35" t="str">
            <v>SOMANYCERA</v>
          </cell>
          <cell r="K35">
            <v>67</v>
          </cell>
        </row>
        <row r="36">
          <cell r="B36" t="str">
            <v>ASIANTILES</v>
          </cell>
          <cell r="C36">
            <v>819</v>
          </cell>
          <cell r="F36" t="str">
            <v>ASIANTILES</v>
          </cell>
          <cell r="G36">
            <v>1563</v>
          </cell>
          <cell r="J36" t="str">
            <v>ASIANTILES</v>
          </cell>
          <cell r="K36">
            <v>-87</v>
          </cell>
        </row>
        <row r="37">
          <cell r="B37" t="str">
            <v>ORIENTBELL</v>
          </cell>
          <cell r="C37">
            <v>530</v>
          </cell>
          <cell r="F37" t="str">
            <v>ORIENTBELL</v>
          </cell>
          <cell r="G37">
            <v>705</v>
          </cell>
          <cell r="J37" t="str">
            <v>ORIENTBELL</v>
          </cell>
          <cell r="K37">
            <v>22</v>
          </cell>
        </row>
        <row r="38">
          <cell r="B38" t="str">
            <v>EXXARO</v>
          </cell>
          <cell r="C38">
            <v>503</v>
          </cell>
          <cell r="F38" t="str">
            <v>EXXARO</v>
          </cell>
          <cell r="G38">
            <v>316</v>
          </cell>
          <cell r="J38" t="str">
            <v>EXXARO</v>
          </cell>
          <cell r="K38">
            <v>2.97</v>
          </cell>
        </row>
        <row r="39">
          <cell r="B39" t="str">
            <v>NITCO</v>
          </cell>
          <cell r="C39">
            <v>491</v>
          </cell>
          <cell r="F39" t="str">
            <v>NITCO</v>
          </cell>
          <cell r="G39">
            <v>384</v>
          </cell>
          <cell r="J39" t="str">
            <v>NITCO</v>
          </cell>
          <cell r="K39">
            <v>-151</v>
          </cell>
        </row>
        <row r="40">
          <cell r="B40" t="str">
            <v>MURUDCERA</v>
          </cell>
          <cell r="C40">
            <v>357</v>
          </cell>
          <cell r="F40" t="str">
            <v>MURUDCERA</v>
          </cell>
          <cell r="G40">
            <v>170</v>
          </cell>
          <cell r="J40" t="str">
            <v>MURUDCERA</v>
          </cell>
          <cell r="K40">
            <v>7</v>
          </cell>
        </row>
        <row r="41">
          <cell r="B41" t="str">
            <v>REGENCERAM</v>
          </cell>
          <cell r="C41">
            <v>83</v>
          </cell>
          <cell r="F41" t="str">
            <v>REGENCERAM</v>
          </cell>
          <cell r="G41">
            <v>0</v>
          </cell>
          <cell r="J41" t="str">
            <v>REGENCERAM</v>
          </cell>
          <cell r="K41">
            <v>-16</v>
          </cell>
        </row>
        <row r="42">
          <cell r="B42" t="str">
            <v>RESTILE</v>
          </cell>
          <cell r="C42">
            <v>44</v>
          </cell>
          <cell r="F42" t="str">
            <v>RESTILE</v>
          </cell>
          <cell r="G42">
            <v>1.97</v>
          </cell>
          <cell r="J42" t="str">
            <v>RESTILE</v>
          </cell>
          <cell r="K42">
            <v>-0.67</v>
          </cell>
        </row>
        <row r="64">
          <cell r="C64" t="str">
            <v>SALES_5Y_GR</v>
          </cell>
          <cell r="I64" t="str">
            <v>CY_SALES GR</v>
          </cell>
        </row>
        <row r="65">
          <cell r="B65" t="str">
            <v>KAJARIACER</v>
          </cell>
          <cell r="C65">
            <v>0.10080038080466114</v>
          </cell>
          <cell r="H65" t="str">
            <v>KAJARIACER</v>
          </cell>
          <cell r="I65">
            <v>5.04E-2</v>
          </cell>
        </row>
        <row r="66">
          <cell r="B66" t="str">
            <v>SOMANYCERA</v>
          </cell>
          <cell r="C66">
            <v>7.7265340207721689E-2</v>
          </cell>
          <cell r="H66" t="str">
            <v>SOMANYCERA</v>
          </cell>
          <cell r="I66">
            <v>3.0200000000000001E-2</v>
          </cell>
        </row>
        <row r="67">
          <cell r="B67" t="str">
            <v>ASIANTILES</v>
          </cell>
          <cell r="C67">
            <v>5.9449881154982398E-2</v>
          </cell>
          <cell r="H67" t="str">
            <v>ASIANTILES</v>
          </cell>
          <cell r="I67">
            <v>0</v>
          </cell>
        </row>
        <row r="68">
          <cell r="B68" t="str">
            <v>ORIENTBELL</v>
          </cell>
          <cell r="C68">
            <v>1.3586320178939459E-2</v>
          </cell>
          <cell r="H68" t="str">
            <v>ORIENTBELL</v>
          </cell>
          <cell r="I68">
            <v>-7.5999999999999998E-2</v>
          </cell>
        </row>
        <row r="69">
          <cell r="B69" t="str">
            <v>EXXARO</v>
          </cell>
          <cell r="C69">
            <v>7.5109947879521854E-2</v>
          </cell>
          <cell r="H69" t="str">
            <v>EXXARO</v>
          </cell>
          <cell r="I69">
            <v>-3.154574132492094E-3</v>
          </cell>
        </row>
        <row r="70">
          <cell r="B70" t="str">
            <v>NITCO</v>
          </cell>
          <cell r="C70">
            <v>-8.8408477207311931E-2</v>
          </cell>
          <cell r="H70" t="str">
            <v>NITCO</v>
          </cell>
          <cell r="I70">
            <v>-1.2345679012345734E-2</v>
          </cell>
        </row>
        <row r="71">
          <cell r="B71" t="str">
            <v>MURUDCERA</v>
          </cell>
          <cell r="C71">
            <v>7.3940923785779322E-2</v>
          </cell>
          <cell r="H71" t="str">
            <v>MURUDCERA</v>
          </cell>
          <cell r="I71">
            <v>0.12941176470588234</v>
          </cell>
        </row>
        <row r="72">
          <cell r="B72" t="str">
            <v>REGENCERAM</v>
          </cell>
          <cell r="H72" t="str">
            <v>REGENCERAM</v>
          </cell>
        </row>
        <row r="73">
          <cell r="B73" t="str">
            <v>RESTILE</v>
          </cell>
          <cell r="C73">
            <v>0.24447007575593416</v>
          </cell>
          <cell r="H73" t="str">
            <v>RESTILE</v>
          </cell>
          <cell r="I73">
            <v>-0.35532994923857864</v>
          </cell>
        </row>
        <row r="78">
          <cell r="C78" t="str">
            <v>DEBT2EQUITY</v>
          </cell>
          <cell r="G78" t="str">
            <v>DEBTRATIO</v>
          </cell>
          <cell r="K78" t="str">
            <v>ICR</v>
          </cell>
        </row>
        <row r="79">
          <cell r="B79" t="str">
            <v>KAJARIACER</v>
          </cell>
          <cell r="C79">
            <v>0.05</v>
          </cell>
          <cell r="F79" t="str">
            <v>KAJARIACER</v>
          </cell>
          <cell r="G79">
            <v>0.25</v>
          </cell>
          <cell r="J79" t="str">
            <v>KAJARIACER</v>
          </cell>
          <cell r="K79">
            <v>21</v>
          </cell>
        </row>
        <row r="80">
          <cell r="B80" t="str">
            <v>SOMANYCERA</v>
          </cell>
          <cell r="C80">
            <v>0.36</v>
          </cell>
          <cell r="F80" t="str">
            <v>SOMANYCERA</v>
          </cell>
          <cell r="G80">
            <v>0.53</v>
          </cell>
          <cell r="J80" t="str">
            <v>SOMANYCERA</v>
          </cell>
          <cell r="K80">
            <v>3</v>
          </cell>
        </row>
        <row r="81">
          <cell r="B81" t="str">
            <v>ASIANTILES</v>
          </cell>
          <cell r="C81">
            <v>7.0000000000000007E-2</v>
          </cell>
          <cell r="F81" t="str">
            <v>ASIANTILES</v>
          </cell>
          <cell r="G81">
            <v>0.25</v>
          </cell>
          <cell r="J81" t="str">
            <v>ASIANTILES</v>
          </cell>
          <cell r="K81">
            <v>-4</v>
          </cell>
        </row>
        <row r="82">
          <cell r="B82" t="str">
            <v>ORIENTBELL</v>
          </cell>
          <cell r="C82">
            <v>0.06</v>
          </cell>
          <cell r="F82" t="str">
            <v>ORIENTBELL</v>
          </cell>
          <cell r="G82">
            <v>0.38</v>
          </cell>
          <cell r="J82" t="str">
            <v>ORIENTBELL</v>
          </cell>
          <cell r="K82">
            <v>11</v>
          </cell>
        </row>
        <row r="104">
          <cell r="C104" t="str">
            <v>MARGIN_23</v>
          </cell>
          <cell r="G104" t="str">
            <v>CUR. RATIO</v>
          </cell>
          <cell r="K104" t="str">
            <v>TR.DAYS</v>
          </cell>
        </row>
        <row r="105">
          <cell r="B105" t="str">
            <v>KAJARIACER</v>
          </cell>
          <cell r="C105">
            <v>7.8959379278868091E-2</v>
          </cell>
          <cell r="F105" t="str">
            <v>KAJARIACER</v>
          </cell>
          <cell r="G105">
            <v>2.59</v>
          </cell>
          <cell r="J105" t="str">
            <v>KAJARIACER</v>
          </cell>
          <cell r="K105">
            <v>46</v>
          </cell>
        </row>
        <row r="106">
          <cell r="B106" t="str">
            <v>SOMANYCERA</v>
          </cell>
          <cell r="C106">
            <v>2.7037933817594836E-2</v>
          </cell>
          <cell r="F106" t="str">
            <v>SOMANYCERA</v>
          </cell>
          <cell r="G106">
            <v>1.1100000000000001</v>
          </cell>
          <cell r="J106" t="str">
            <v>SOMANYCERA</v>
          </cell>
          <cell r="K106">
            <v>39</v>
          </cell>
        </row>
        <row r="107">
          <cell r="B107" t="str">
            <v>ASIANTILES</v>
          </cell>
          <cell r="C107">
            <v>-5.5662188099808059E-2</v>
          </cell>
          <cell r="F107" t="str">
            <v>ASIANTILES</v>
          </cell>
          <cell r="G107">
            <v>2.35</v>
          </cell>
          <cell r="J107" t="str">
            <v>ASIANTILES</v>
          </cell>
          <cell r="K107">
            <v>91</v>
          </cell>
        </row>
        <row r="108">
          <cell r="B108" t="str">
            <v>ORIENTBELL</v>
          </cell>
          <cell r="C108">
            <v>3.1205673758865248E-2</v>
          </cell>
          <cell r="F108" t="str">
            <v>ORIENTBELL</v>
          </cell>
          <cell r="G108">
            <v>1.45</v>
          </cell>
          <cell r="J108" t="str">
            <v>ORIENTBELL</v>
          </cell>
          <cell r="K108">
            <v>48</v>
          </cell>
        </row>
        <row r="109">
          <cell r="B109" t="str">
            <v>EXXARO</v>
          </cell>
          <cell r="C109">
            <v>9.398734177215191E-3</v>
          </cell>
        </row>
        <row r="110">
          <cell r="B110" t="str">
            <v>NITCO</v>
          </cell>
          <cell r="C110">
            <v>-0.39322916666666669</v>
          </cell>
        </row>
        <row r="111">
          <cell r="B111" t="str">
            <v>MURUDCERA</v>
          </cell>
          <cell r="C111">
            <v>4.1176470588235294E-2</v>
          </cell>
        </row>
        <row r="112">
          <cell r="B112" t="str">
            <v>REGENCERAM</v>
          </cell>
          <cell r="C112" t="e">
            <v>#DIV/0!</v>
          </cell>
        </row>
        <row r="113">
          <cell r="B113" t="str">
            <v>RESTILE</v>
          </cell>
          <cell r="C113">
            <v>-0.34010152284263961</v>
          </cell>
        </row>
        <row r="135">
          <cell r="F135" t="str">
            <v>CAGR_10Y</v>
          </cell>
          <cell r="G135" t="str">
            <v>CAGR_20Y</v>
          </cell>
          <cell r="H135" t="str">
            <v>DIVIDEND_04%</v>
          </cell>
        </row>
        <row r="136">
          <cell r="B136" t="str">
            <v>KAJARIACER</v>
          </cell>
          <cell r="F136">
            <v>0.23709846430101456</v>
          </cell>
          <cell r="G136">
            <v>0.24595928569709935</v>
          </cell>
          <cell r="H136">
            <v>0.56962025316455689</v>
          </cell>
        </row>
        <row r="137">
          <cell r="B137" t="str">
            <v>SOMANYCERA</v>
          </cell>
          <cell r="F137">
            <v>0.16554761077624325</v>
          </cell>
          <cell r="G137">
            <v>0.25638817674179259</v>
          </cell>
          <cell r="H137">
            <v>0.45454545454545459</v>
          </cell>
        </row>
        <row r="138">
          <cell r="B138" t="str">
            <v>ASIANTILES</v>
          </cell>
          <cell r="F138">
            <v>0.14631223653775915</v>
          </cell>
          <cell r="G138">
            <v>-1.504204080770799E-2</v>
          </cell>
          <cell r="H138">
            <v>0</v>
          </cell>
        </row>
        <row r="139">
          <cell r="B139" t="str">
            <v>ORIENTBELL</v>
          </cell>
          <cell r="F139">
            <v>0.21524721049228823</v>
          </cell>
          <cell r="G139">
            <v>8.3105840275396581E-2</v>
          </cell>
          <cell r="H139">
            <v>1.3513513513513514E-2</v>
          </cell>
        </row>
        <row r="158">
          <cell r="C158" t="str">
            <v>TRAIL_PE</v>
          </cell>
          <cell r="D158" t="str">
            <v>PBV</v>
          </cell>
          <cell r="H158" t="str">
            <v>YIELD</v>
          </cell>
        </row>
        <row r="159">
          <cell r="B159" t="str">
            <v>KAJARIACER</v>
          </cell>
          <cell r="C159">
            <v>48</v>
          </cell>
          <cell r="D159">
            <v>8</v>
          </cell>
          <cell r="G159" t="str">
            <v>KAJARIACER</v>
          </cell>
          <cell r="H159">
            <v>2.0899999999999998E-2</v>
          </cell>
        </row>
        <row r="160">
          <cell r="B160" t="str">
            <v>SOMANYCERA</v>
          </cell>
          <cell r="C160">
            <v>30</v>
          </cell>
          <cell r="D160">
            <v>3</v>
          </cell>
          <cell r="G160" t="str">
            <v>SOMANYCERA</v>
          </cell>
          <cell r="H160">
            <v>3.3300000000000003E-2</v>
          </cell>
        </row>
        <row r="161">
          <cell r="B161" t="str">
            <v>ASIANTILES</v>
          </cell>
          <cell r="C161">
            <v>-15</v>
          </cell>
          <cell r="D161">
            <v>1</v>
          </cell>
          <cell r="G161" t="str">
            <v>ASIANTILES</v>
          </cell>
          <cell r="H161">
            <v>-6.6699999999999995E-2</v>
          </cell>
        </row>
        <row r="162">
          <cell r="B162" t="str">
            <v>ORIENTBELL</v>
          </cell>
          <cell r="C162">
            <v>230</v>
          </cell>
          <cell r="D162">
            <v>2</v>
          </cell>
          <cell r="G162" t="str">
            <v>ORIENTBELL</v>
          </cell>
          <cell r="H162">
            <v>4.4000000000000003E-3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718218-1583-435D-A9E5-15EFC5B74AEC}" name="Table_1" displayName="Table_1" ref="R41:R48" headerRowCount="0">
  <tableColumns count="1">
    <tableColumn id="1" xr3:uid="{A68CF43D-C760-4DAF-9402-649985F14572}" name="Column1">
      <calculatedColumnFormula>P41/$P$50</calculatedColumnFormula>
    </tableColumn>
  </tableColumns>
  <tableStyleInfo name="kajariacer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profitfromit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25974-0C70-41D7-8AF7-ED4A968001B6}">
  <dimension ref="A1:Z1014"/>
  <sheetViews>
    <sheetView showGridLines="0" tabSelected="1" workbookViewId="0">
      <selection activeCell="J17" sqref="J17"/>
    </sheetView>
  </sheetViews>
  <sheetFormatPr defaultColWidth="14.44140625" defaultRowHeight="15" customHeight="1"/>
  <cols>
    <col min="1" max="1" width="5.109375" customWidth="1"/>
    <col min="2" max="2" width="18" customWidth="1"/>
    <col min="3" max="3" width="11.5546875" customWidth="1"/>
    <col min="4" max="4" width="12.5546875" customWidth="1"/>
    <col min="5" max="5" width="13.33203125" customWidth="1"/>
    <col min="6" max="6" width="15.6640625" customWidth="1"/>
    <col min="7" max="7" width="13" customWidth="1"/>
    <col min="8" max="8" width="5.33203125" customWidth="1"/>
    <col min="9" max="9" width="16.44140625" customWidth="1"/>
    <col min="10" max="10" width="9.6640625" customWidth="1"/>
    <col min="11" max="11" width="9.33203125" customWidth="1"/>
    <col min="12" max="12" width="14.109375" customWidth="1"/>
    <col min="13" max="13" width="14.5546875" customWidth="1"/>
    <col min="14" max="14" width="17.6640625" customWidth="1"/>
    <col min="15" max="15" width="11" customWidth="1"/>
    <col min="16" max="16" width="12.6640625" customWidth="1"/>
    <col min="17" max="18" width="13.33203125" customWidth="1"/>
    <col min="19" max="19" width="11.5546875" customWidth="1"/>
    <col min="20" max="20" width="14.33203125" customWidth="1"/>
    <col min="21" max="21" width="12.5546875" customWidth="1"/>
    <col min="22" max="22" width="12.33203125" customWidth="1"/>
    <col min="23" max="23" width="11.33203125" customWidth="1"/>
    <col min="24" max="24" width="10.6640625" customWidth="1"/>
  </cols>
  <sheetData>
    <row r="1" spans="1:26" ht="31.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1"/>
      <c r="S1" s="1"/>
      <c r="T1" s="1"/>
      <c r="U1" s="1"/>
      <c r="V1" s="1"/>
      <c r="W1" s="1"/>
      <c r="X1" s="1"/>
      <c r="Y1" s="1"/>
      <c r="Z1" s="1"/>
    </row>
    <row r="2" spans="1:26" ht="14.4">
      <c r="A2" s="1"/>
      <c r="B2" s="1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>
      <c r="A3" s="1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  <c r="Q3" s="6" t="s">
        <v>15</v>
      </c>
      <c r="S3" s="1"/>
      <c r="T3" s="1"/>
      <c r="U3" s="1"/>
      <c r="V3" s="1"/>
      <c r="W3" s="1"/>
      <c r="X3" s="1"/>
      <c r="Y3" s="1"/>
      <c r="Z3" s="1"/>
    </row>
    <row r="4" spans="1:26" ht="15" customHeight="1">
      <c r="A4" s="1"/>
      <c r="B4" s="7" t="s">
        <v>16</v>
      </c>
      <c r="C4" s="8">
        <f ca="1">IFERROR(__xludf.DUMMYFUNCTION("GOOGLEFINANCE(""nse:""&amp;B4,""price"")"),1284.5)</f>
        <v>1284.5</v>
      </c>
      <c r="D4" s="8">
        <f ca="1">IFERROR(__xludf.DUMMYFUNCTION("GOOGLEFINANCE(""nse:""&amp;B4,""MARKETCAP"")/10000000"),20456.71579)</f>
        <v>20456.715789999998</v>
      </c>
      <c r="E4" s="9">
        <f t="shared" ref="E4:G4" si="0">D16</f>
        <v>4600.05</v>
      </c>
      <c r="F4" s="9">
        <f t="shared" si="0"/>
        <v>450.80490000000003</v>
      </c>
      <c r="G4" s="9">
        <f t="shared" si="0"/>
        <v>28.194849815028906</v>
      </c>
      <c r="H4" s="10">
        <v>1</v>
      </c>
      <c r="I4" s="11">
        <v>15.92</v>
      </c>
      <c r="J4" s="10">
        <v>2311</v>
      </c>
      <c r="K4" s="10">
        <v>209</v>
      </c>
      <c r="L4" s="10">
        <v>40</v>
      </c>
      <c r="M4" s="11">
        <v>1611</v>
      </c>
      <c r="N4" s="11">
        <v>709</v>
      </c>
      <c r="O4" s="11">
        <v>3330</v>
      </c>
      <c r="P4" s="11">
        <v>887</v>
      </c>
      <c r="Q4" s="11">
        <v>601</v>
      </c>
      <c r="S4" s="1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12" t="s">
        <v>17</v>
      </c>
      <c r="C5" s="13">
        <v>1054</v>
      </c>
      <c r="D5" s="14">
        <f ca="1">C5*D4/C4</f>
        <v>16785.814279999999</v>
      </c>
      <c r="E5" s="13">
        <f>D31</f>
        <v>4381</v>
      </c>
      <c r="F5" s="13">
        <f>F31</f>
        <v>346</v>
      </c>
      <c r="G5" s="15">
        <f>H31</f>
        <v>21.64</v>
      </c>
      <c r="H5" s="13">
        <v>1</v>
      </c>
      <c r="I5" s="14">
        <v>15.92</v>
      </c>
      <c r="J5" s="13">
        <v>2107</v>
      </c>
      <c r="K5" s="13">
        <v>128</v>
      </c>
      <c r="L5" s="13">
        <v>37</v>
      </c>
      <c r="M5" s="13">
        <v>1451</v>
      </c>
      <c r="N5" s="13">
        <v>659</v>
      </c>
      <c r="O5" s="13">
        <v>2986</v>
      </c>
      <c r="P5" s="13">
        <v>799</v>
      </c>
      <c r="Q5" s="13">
        <v>513</v>
      </c>
      <c r="S5" s="1"/>
      <c r="T5" s="1"/>
      <c r="U5" s="1"/>
      <c r="V5" s="1"/>
      <c r="W5" s="1"/>
      <c r="X5" s="1"/>
      <c r="Y5" s="1"/>
      <c r="Z5" s="1"/>
    </row>
    <row r="6" spans="1:26" ht="15" customHeight="1">
      <c r="A6" s="1"/>
      <c r="B6" s="16" t="s">
        <v>18</v>
      </c>
      <c r="C6" s="17">
        <f t="shared" ref="C6:Q6" ca="1" si="1">(C4/C5)-1</f>
        <v>0.21869070208728658</v>
      </c>
      <c r="D6" s="17">
        <f t="shared" ca="1" si="1"/>
        <v>0.21869070208728658</v>
      </c>
      <c r="E6" s="17">
        <f t="shared" si="1"/>
        <v>5.0000000000000044E-2</v>
      </c>
      <c r="F6" s="17">
        <f t="shared" si="1"/>
        <v>0.30290433526011573</v>
      </c>
      <c r="G6" s="17">
        <f t="shared" si="1"/>
        <v>0.30290433526011573</v>
      </c>
      <c r="H6" s="17">
        <f t="shared" si="1"/>
        <v>0</v>
      </c>
      <c r="I6" s="17">
        <f t="shared" si="1"/>
        <v>0</v>
      </c>
      <c r="J6" s="17">
        <f t="shared" si="1"/>
        <v>9.6820123398196456E-2</v>
      </c>
      <c r="K6" s="17">
        <f t="shared" si="1"/>
        <v>0.6328125</v>
      </c>
      <c r="L6" s="17">
        <f t="shared" si="1"/>
        <v>8.1081081081081141E-2</v>
      </c>
      <c r="M6" s="17">
        <f t="shared" si="1"/>
        <v>0.11026878015161956</v>
      </c>
      <c r="N6" s="17">
        <f t="shared" si="1"/>
        <v>7.587253414264028E-2</v>
      </c>
      <c r="O6" s="17">
        <f t="shared" si="1"/>
        <v>0.11520428667113203</v>
      </c>
      <c r="P6" s="17">
        <f t="shared" si="1"/>
        <v>0.1101376720901126</v>
      </c>
      <c r="Q6" s="17">
        <f t="shared" si="1"/>
        <v>0.17153996101364521</v>
      </c>
      <c r="S6" s="1"/>
      <c r="T6" s="1"/>
      <c r="U6" s="1"/>
      <c r="V6" s="1"/>
      <c r="W6" s="1"/>
      <c r="X6" s="1"/>
      <c r="Y6" s="1"/>
      <c r="Z6" s="1"/>
    </row>
    <row r="7" spans="1:26" ht="15" customHeight="1">
      <c r="A7" s="1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"/>
      <c r="B9" s="20" t="s">
        <v>18</v>
      </c>
      <c r="C9" s="20" t="s">
        <v>19</v>
      </c>
      <c r="D9" s="18"/>
      <c r="E9" s="18"/>
      <c r="F9" s="20" t="s">
        <v>20</v>
      </c>
      <c r="G9" s="18"/>
      <c r="H9" s="18"/>
      <c r="I9" s="20" t="s">
        <v>21</v>
      </c>
      <c r="J9" s="18"/>
      <c r="K9" s="20" t="s">
        <v>22</v>
      </c>
      <c r="L9" s="18"/>
      <c r="M9" s="18"/>
      <c r="N9" s="18"/>
      <c r="O9" s="18"/>
      <c r="Q9" s="18"/>
      <c r="R9" s="19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"/>
      <c r="B10" s="6" t="s">
        <v>23</v>
      </c>
      <c r="C10" s="6" t="s">
        <v>24</v>
      </c>
      <c r="D10" s="6" t="s">
        <v>25</v>
      </c>
      <c r="E10" s="6" t="s">
        <v>26</v>
      </c>
      <c r="F10" s="6" t="s">
        <v>27</v>
      </c>
      <c r="G10" s="6" t="s">
        <v>28</v>
      </c>
      <c r="H10" s="6" t="s">
        <v>29</v>
      </c>
      <c r="I10" s="6" t="s">
        <v>30</v>
      </c>
      <c r="J10" s="6" t="s">
        <v>31</v>
      </c>
      <c r="K10" s="6" t="s">
        <v>32</v>
      </c>
      <c r="L10" s="6" t="s">
        <v>33</v>
      </c>
      <c r="M10" s="6" t="s">
        <v>34</v>
      </c>
      <c r="N10" s="6" t="s">
        <v>35</v>
      </c>
      <c r="O10" s="6" t="s">
        <v>36</v>
      </c>
      <c r="Q10" s="21"/>
      <c r="R10" s="19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"/>
      <c r="B11" s="22">
        <f>S24</f>
        <v>0.05</v>
      </c>
      <c r="C11" s="23">
        <f>P36</f>
        <v>9.8262432594367885E-2</v>
      </c>
      <c r="D11" s="24">
        <f>M4/N4</f>
        <v>2.2722143864598023</v>
      </c>
      <c r="E11" s="25">
        <f>(Q4/E4)*365</f>
        <v>47.687525135596346</v>
      </c>
      <c r="F11" s="22">
        <f>K4/(I4+J4)</f>
        <v>8.9818300586182592E-2</v>
      </c>
      <c r="G11" s="22">
        <f>P4/O4</f>
        <v>0.26636636636636635</v>
      </c>
      <c r="H11" s="26">
        <f>P37</f>
        <v>29.11853893866299</v>
      </c>
      <c r="I11" s="22">
        <f>F4/(J4+I4)</f>
        <v>0.19373459336805735</v>
      </c>
      <c r="J11" s="22">
        <f>F4/O4</f>
        <v>0.13537684684684687</v>
      </c>
      <c r="K11" s="24">
        <f ca="1">C4/G4</f>
        <v>45.557965671989983</v>
      </c>
      <c r="L11" s="23">
        <f ca="1">G4/C4</f>
        <v>2.1950058244475597E-2</v>
      </c>
      <c r="M11" s="26">
        <f>(I4+J4)/(I4/H4)</f>
        <v>146.16331658291458</v>
      </c>
      <c r="N11" s="24">
        <f ca="1">C4/M11</f>
        <v>8.7881147611434862</v>
      </c>
      <c r="O11" s="24">
        <f ca="1">R16</f>
        <v>1.5291666666666666</v>
      </c>
      <c r="Q11" s="18"/>
      <c r="R11" s="19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1"/>
      <c r="C12" s="5"/>
      <c r="D12" s="1"/>
      <c r="E12" s="1"/>
      <c r="F12" s="1"/>
      <c r="G12" s="1"/>
      <c r="H12" s="1"/>
      <c r="I12" s="1"/>
      <c r="J12" s="1"/>
      <c r="K12" s="1"/>
      <c r="L12" s="1"/>
      <c r="M12" s="1"/>
      <c r="N12" s="19"/>
      <c r="O12" s="19"/>
      <c r="P12" s="19"/>
      <c r="Q12" s="19"/>
      <c r="R12" s="19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20" t="s">
        <v>37</v>
      </c>
      <c r="C13" s="20" t="s">
        <v>38</v>
      </c>
      <c r="D13" s="20" t="s">
        <v>39</v>
      </c>
      <c r="E13" s="20" t="s">
        <v>40</v>
      </c>
      <c r="F13" s="20" t="s">
        <v>5</v>
      </c>
      <c r="G13" s="20" t="s">
        <v>41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27"/>
      <c r="C14" s="28" t="s">
        <v>42</v>
      </c>
      <c r="D14" s="29">
        <f t="shared" ref="D14:F14" si="2">FV(12%,5,0,-D15,0)</f>
        <v>16517.905847334332</v>
      </c>
      <c r="E14" s="29">
        <f t="shared" si="2"/>
        <v>1369.9681851424973</v>
      </c>
      <c r="F14" s="29">
        <f t="shared" si="2"/>
        <v>85.682403255733092</v>
      </c>
      <c r="G14" s="29">
        <f t="shared" ref="G14:G16" si="3">F14*$M$22</f>
        <v>2542.1012032284339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27"/>
      <c r="C15" s="28" t="s">
        <v>43</v>
      </c>
      <c r="D15" s="29">
        <f>FV($D$19,6,0,-D16,0)</f>
        <v>9372.7033780087841</v>
      </c>
      <c r="E15" s="29">
        <f t="shared" ref="E15:E16" si="4">D15*G19</f>
        <v>777.35673972992311</v>
      </c>
      <c r="F15" s="29">
        <f>(E15*F16)/E16</f>
        <v>48.618496669813695</v>
      </c>
      <c r="G15" s="29">
        <f t="shared" si="3"/>
        <v>1442.4564926663779</v>
      </c>
      <c r="H15" s="19"/>
      <c r="I15" s="19"/>
      <c r="J15" s="19"/>
      <c r="K15" s="19"/>
      <c r="L15" s="19"/>
      <c r="M15" s="19"/>
      <c r="N15" s="19"/>
      <c r="O15" s="30" t="s">
        <v>44</v>
      </c>
      <c r="P15" s="30" t="s">
        <v>45</v>
      </c>
      <c r="Q15" s="30" t="s">
        <v>46</v>
      </c>
      <c r="R15" s="30" t="s">
        <v>36</v>
      </c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27"/>
      <c r="C16" s="28" t="s">
        <v>47</v>
      </c>
      <c r="D16" s="29">
        <f>FV(D20,1,0,-D31,0)</f>
        <v>4600.05</v>
      </c>
      <c r="E16" s="29">
        <f t="shared" si="4"/>
        <v>450.80490000000003</v>
      </c>
      <c r="F16" s="29">
        <f>E16*H31/F31</f>
        <v>28.194849815028906</v>
      </c>
      <c r="G16" s="29">
        <f t="shared" si="3"/>
        <v>836.50970229799407</v>
      </c>
      <c r="H16" s="19"/>
      <c r="I16" s="19"/>
      <c r="J16" s="19"/>
      <c r="K16" s="19"/>
      <c r="L16" s="19"/>
      <c r="M16" s="19"/>
      <c r="N16" s="19"/>
      <c r="O16" s="31">
        <v>21.6</v>
      </c>
      <c r="P16" s="32">
        <v>26.85</v>
      </c>
      <c r="Q16" s="32">
        <v>28</v>
      </c>
      <c r="R16" s="33">
        <f ca="1">Q18/30</f>
        <v>1.5291666666666666</v>
      </c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34"/>
      <c r="C17" s="35"/>
      <c r="D17" s="36"/>
      <c r="E17" s="36"/>
      <c r="F17" s="36"/>
      <c r="G17" s="37"/>
      <c r="H17" s="38"/>
      <c r="I17" s="19"/>
      <c r="J17" s="19"/>
      <c r="K17" s="19"/>
      <c r="L17" s="19"/>
      <c r="M17" s="19"/>
      <c r="N17" s="19"/>
      <c r="O17" s="30" t="s">
        <v>48</v>
      </c>
      <c r="P17" s="30" t="s">
        <v>48</v>
      </c>
      <c r="Q17" s="30" t="s">
        <v>49</v>
      </c>
      <c r="R17" s="39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20" t="s">
        <v>50</v>
      </c>
      <c r="C18" s="20" t="s">
        <v>38</v>
      </c>
      <c r="D18" s="20" t="s">
        <v>39</v>
      </c>
      <c r="E18" s="20" t="s">
        <v>40</v>
      </c>
      <c r="F18" s="20" t="s">
        <v>5</v>
      </c>
      <c r="G18" s="20" t="s">
        <v>51</v>
      </c>
      <c r="H18" s="19"/>
      <c r="I18" s="19"/>
      <c r="J18" s="19"/>
      <c r="K18" s="19"/>
      <c r="L18" s="19"/>
      <c r="M18" s="19"/>
      <c r="N18" s="19"/>
      <c r="O18" s="31">
        <f>C5/O16</f>
        <v>48.796296296296291</v>
      </c>
      <c r="P18" s="32">
        <f ca="1">C4/P16</f>
        <v>47.839851024208564</v>
      </c>
      <c r="Q18" s="32">
        <f ca="1">C4/Q16</f>
        <v>45.875</v>
      </c>
      <c r="R18" s="39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C19" s="40" t="s">
        <v>52</v>
      </c>
      <c r="D19" s="41">
        <f>AVERAGE(D24:D26)</f>
        <v>0.12594468051486532</v>
      </c>
      <c r="E19" s="41">
        <v>0.13</v>
      </c>
      <c r="F19" s="41">
        <v>0.13</v>
      </c>
      <c r="G19" s="42">
        <f>AVERAGE(I24:I27)</f>
        <v>8.2938369900176154E-2</v>
      </c>
      <c r="H19" s="19"/>
      <c r="I19" s="19"/>
      <c r="J19" s="19"/>
      <c r="K19" s="19"/>
      <c r="L19" s="19"/>
      <c r="M19" s="19"/>
      <c r="N19" s="19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43"/>
      <c r="C20" s="40" t="s">
        <v>53</v>
      </c>
      <c r="D20" s="41">
        <v>0.05</v>
      </c>
      <c r="E20" s="41">
        <f>(E16/F31)-1</f>
        <v>0.30290433526011573</v>
      </c>
      <c r="F20" s="41">
        <f>(E16/F31)-1</f>
        <v>0.30290433526011573</v>
      </c>
      <c r="G20" s="42">
        <f>S26</f>
        <v>9.8000000000000004E-2</v>
      </c>
      <c r="H20" s="19"/>
      <c r="I20" s="19"/>
      <c r="J20" s="19"/>
      <c r="K20" s="19"/>
      <c r="L20" s="19"/>
      <c r="M20" s="19"/>
      <c r="N20" s="19"/>
      <c r="O20" s="20" t="s">
        <v>54</v>
      </c>
      <c r="P20" s="20" t="s">
        <v>55</v>
      </c>
      <c r="Q20" s="20" t="s">
        <v>56</v>
      </c>
      <c r="R20" s="20" t="s">
        <v>57</v>
      </c>
      <c r="S20" s="20" t="s">
        <v>58</v>
      </c>
      <c r="V20" s="1"/>
      <c r="W20" s="1"/>
      <c r="X20" s="1"/>
      <c r="Y20" s="1"/>
      <c r="Z20" s="1"/>
    </row>
    <row r="21" spans="1:26" ht="15.75" customHeight="1">
      <c r="A21" s="1"/>
      <c r="B21" s="44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45">
        <v>6.78</v>
      </c>
      <c r="P21" s="45">
        <v>6.75</v>
      </c>
      <c r="Q21" s="45">
        <v>6.78</v>
      </c>
      <c r="R21" s="45">
        <v>6.54</v>
      </c>
      <c r="S21" s="19">
        <f>SUM(O21:R21)</f>
        <v>26.85</v>
      </c>
      <c r="V21" s="1"/>
      <c r="W21" s="1"/>
      <c r="X21" s="1"/>
      <c r="Y21" s="1"/>
      <c r="Z21" s="1"/>
    </row>
    <row r="22" spans="1:26" ht="15.75" customHeight="1">
      <c r="A22" s="1"/>
      <c r="B22" s="20" t="s">
        <v>59</v>
      </c>
      <c r="C22" s="19"/>
      <c r="D22" s="46"/>
      <c r="E22" s="46"/>
      <c r="F22" s="46"/>
      <c r="G22" s="46"/>
      <c r="H22" s="19"/>
      <c r="I22" s="46"/>
      <c r="J22" s="46"/>
      <c r="K22" s="46"/>
      <c r="L22" s="6" t="s">
        <v>60</v>
      </c>
      <c r="M22" s="47">
        <f>MEDIAN(L24:M26)</f>
        <v>29.668883068570317</v>
      </c>
      <c r="N22" s="19"/>
      <c r="U22" s="1"/>
      <c r="V22" s="1"/>
      <c r="W22" s="1"/>
      <c r="X22" s="1"/>
      <c r="Y22" s="1"/>
      <c r="Z22" s="1"/>
    </row>
    <row r="23" spans="1:26" ht="15.75" customHeight="1">
      <c r="A23" s="1"/>
      <c r="B23" s="20" t="s">
        <v>61</v>
      </c>
      <c r="C23" s="20" t="s">
        <v>38</v>
      </c>
      <c r="D23" s="20" t="s">
        <v>39</v>
      </c>
      <c r="E23" s="20" t="s">
        <v>62</v>
      </c>
      <c r="F23" s="20" t="s">
        <v>40</v>
      </c>
      <c r="G23" s="20" t="s">
        <v>7</v>
      </c>
      <c r="H23" s="20" t="s">
        <v>5</v>
      </c>
      <c r="I23" s="20" t="s">
        <v>63</v>
      </c>
      <c r="J23" s="20" t="s">
        <v>64</v>
      </c>
      <c r="K23" s="20" t="s">
        <v>65</v>
      </c>
      <c r="L23" s="20" t="s">
        <v>66</v>
      </c>
      <c r="M23" s="20" t="s">
        <v>67</v>
      </c>
      <c r="N23" s="19"/>
      <c r="O23" s="20" t="s">
        <v>68</v>
      </c>
      <c r="P23" s="20" t="s">
        <v>69</v>
      </c>
      <c r="Q23" s="20" t="s">
        <v>70</v>
      </c>
      <c r="R23" s="20" t="s">
        <v>71</v>
      </c>
      <c r="S23" s="20" t="s">
        <v>72</v>
      </c>
      <c r="T23" s="20" t="s">
        <v>73</v>
      </c>
      <c r="U23" s="1"/>
      <c r="V23" s="1"/>
      <c r="W23" s="1"/>
      <c r="X23" s="1"/>
      <c r="Y23" s="1"/>
      <c r="Z23" s="1"/>
    </row>
    <row r="24" spans="1:26" ht="15.75" customHeight="1">
      <c r="A24" s="1"/>
      <c r="B24" s="44"/>
      <c r="C24" s="40" t="s">
        <v>74</v>
      </c>
      <c r="D24" s="41">
        <f t="shared" ref="D24:G24" si="5">(D31/D51)^(1/19)-1</f>
        <v>0.16542119802585553</v>
      </c>
      <c r="E24" s="41">
        <f t="shared" si="5"/>
        <v>0.18221074728602149</v>
      </c>
      <c r="F24" s="41">
        <f t="shared" si="5"/>
        <v>0.20504705364158737</v>
      </c>
      <c r="G24" s="41">
        <f t="shared" si="5"/>
        <v>3.1378590850599242E-3</v>
      </c>
      <c r="H24" s="41">
        <f>((10*H31)/H51)^(1/19)-1</f>
        <v>0.20021958617280333</v>
      </c>
      <c r="I24" s="42">
        <f>MEDIAN(I31:I51)</f>
        <v>7.700067249495629E-2</v>
      </c>
      <c r="J24" s="41">
        <f t="shared" ref="J24:K24" si="6">((10*J31)/J51)^(1/19)-1</f>
        <v>0.37442514188390152</v>
      </c>
      <c r="K24" s="41">
        <f t="shared" si="6"/>
        <v>0.39724043128640507</v>
      </c>
      <c r="L24" s="48">
        <f t="shared" ref="L24:M24" si="7">MEDIAN(L31:L51)</f>
        <v>31.404958677685951</v>
      </c>
      <c r="M24" s="48">
        <f t="shared" si="7"/>
        <v>15.281362932369642</v>
      </c>
      <c r="O24" s="45" t="s">
        <v>75</v>
      </c>
      <c r="P24" s="41">
        <v>0.18</v>
      </c>
      <c r="Q24" s="41">
        <v>0.06</v>
      </c>
      <c r="R24" s="41">
        <v>0.05</v>
      </c>
      <c r="S24" s="41">
        <v>0.05</v>
      </c>
      <c r="T24" s="49">
        <v>0.05</v>
      </c>
      <c r="U24" s="1"/>
      <c r="V24" s="1"/>
      <c r="W24" s="1"/>
      <c r="X24" s="1"/>
      <c r="Y24" s="1"/>
      <c r="Z24" s="1"/>
    </row>
    <row r="25" spans="1:26" ht="15.75" customHeight="1">
      <c r="A25" s="1"/>
      <c r="B25" s="44"/>
      <c r="C25" s="40" t="s">
        <v>76</v>
      </c>
      <c r="D25" s="41">
        <f t="shared" ref="D25:G25" si="8">(D31/D41)^(1/10)-1</f>
        <v>0.10680796419626293</v>
      </c>
      <c r="E25" s="41">
        <f t="shared" si="8"/>
        <v>0.1115593190296309</v>
      </c>
      <c r="F25" s="41">
        <f t="shared" si="8"/>
        <v>0.13103351054218115</v>
      </c>
      <c r="G25" s="41">
        <f t="shared" si="8"/>
        <v>5.9703498483310025E-3</v>
      </c>
      <c r="H25" s="41">
        <f>((2*H31)/H41)^(1/10)-1</f>
        <v>0.12223460211700621</v>
      </c>
      <c r="I25" s="42">
        <f>MEDIAN(I31:I41)</f>
        <v>8.6349924585218701E-2</v>
      </c>
      <c r="J25" s="41">
        <f t="shared" ref="J25:K25" si="9">((2*J31)/J41)^(1/10)-1</f>
        <v>0.25620834168536666</v>
      </c>
      <c r="K25" s="41">
        <f t="shared" si="9"/>
        <v>0.2792678636278918</v>
      </c>
      <c r="L25" s="48">
        <f t="shared" ref="L25:M25" si="10">MEDIAN(L31:L41)</f>
        <v>41.964912280701753</v>
      </c>
      <c r="M25" s="48">
        <f t="shared" si="10"/>
        <v>20.672478206724783</v>
      </c>
      <c r="N25" s="19"/>
      <c r="O25" s="45" t="s">
        <v>77</v>
      </c>
      <c r="P25" s="41">
        <v>-0.09</v>
      </c>
      <c r="Q25" s="41">
        <v>0.17</v>
      </c>
      <c r="R25" s="41">
        <v>0.36</v>
      </c>
      <c r="S25" s="41">
        <v>0.39</v>
      </c>
      <c r="T25" s="49">
        <v>0.3</v>
      </c>
      <c r="U25" s="1"/>
      <c r="V25" s="1"/>
      <c r="W25" s="1"/>
      <c r="X25" s="1"/>
      <c r="Y25" s="1"/>
      <c r="Z25" s="1"/>
    </row>
    <row r="26" spans="1:26" ht="15.75" customHeight="1">
      <c r="A26" s="1"/>
      <c r="B26" s="44"/>
      <c r="C26" s="40" t="s">
        <v>78</v>
      </c>
      <c r="D26" s="41">
        <f t="shared" ref="D26:H26" si="11">(D31/D36)^(1/5)-1</f>
        <v>0.10560487932247753</v>
      </c>
      <c r="E26" s="41">
        <f t="shared" si="11"/>
        <v>0.1229754405007486</v>
      </c>
      <c r="F26" s="41">
        <f t="shared" si="11"/>
        <v>8.6045757172735104E-2</v>
      </c>
      <c r="G26" s="41">
        <f t="shared" si="11"/>
        <v>-1.0020060210801374E-3</v>
      </c>
      <c r="H26" s="41">
        <f t="shared" si="11"/>
        <v>6.3852336317452796E-2</v>
      </c>
      <c r="I26" s="42">
        <f>MEDIAN(I31:I36)</f>
        <v>8.840288252052958E-2</v>
      </c>
      <c r="J26" s="41">
        <f t="shared" ref="J26:K26" si="12">(J31/J36)^(1/5)-1</f>
        <v>0.1152695432839772</v>
      </c>
      <c r="K26" s="41">
        <f t="shared" si="12"/>
        <v>0.10913525735507612</v>
      </c>
      <c r="L26" s="48">
        <f t="shared" ref="L26:M26" si="13">MEDIAN(L31:L36)</f>
        <v>49.723581871782301</v>
      </c>
      <c r="M26" s="48">
        <f t="shared" si="13"/>
        <v>27.932807459454679</v>
      </c>
      <c r="N26" s="19"/>
      <c r="O26" s="45" t="s">
        <v>51</v>
      </c>
      <c r="P26" s="42">
        <v>7.9000000000000001E-2</v>
      </c>
      <c r="Q26" s="42">
        <v>0.10199999999999999</v>
      </c>
      <c r="R26" s="42">
        <v>0.10100000000000001</v>
      </c>
      <c r="S26" s="42">
        <v>9.8000000000000004E-2</v>
      </c>
      <c r="T26" s="42">
        <v>9.8000000000000004E-2</v>
      </c>
      <c r="Y26" s="1"/>
      <c r="Z26" s="1"/>
    </row>
    <row r="27" spans="1:26" ht="15.75" customHeight="1">
      <c r="A27" s="1"/>
      <c r="B27" s="44"/>
      <c r="C27" s="40" t="s">
        <v>79</v>
      </c>
      <c r="D27" s="41">
        <f t="shared" ref="D27:H27" si="14">(D31/D32)-1</f>
        <v>0.18245614035087709</v>
      </c>
      <c r="E27" s="41">
        <f t="shared" si="14"/>
        <v>0.22401489295687238</v>
      </c>
      <c r="F27" s="41">
        <f t="shared" si="14"/>
        <v>-9.6605744125326409E-2</v>
      </c>
      <c r="G27" s="41">
        <f t="shared" si="14"/>
        <v>0</v>
      </c>
      <c r="H27" s="41">
        <f t="shared" si="14"/>
        <v>-8.6534402701561874E-2</v>
      </c>
      <c r="I27" s="42">
        <f>I31</f>
        <v>0.08</v>
      </c>
      <c r="J27" s="41">
        <f t="shared" ref="J27:K27" si="15">(J31/J32)-1</f>
        <v>-6.7636363636363606E-2</v>
      </c>
      <c r="K27" s="41">
        <f t="shared" si="15"/>
        <v>5.5229142185663882E-2</v>
      </c>
      <c r="L27" s="50">
        <f t="shared" ref="L27:M27" si="16">L31</f>
        <v>59.24214417744917</v>
      </c>
      <c r="M27" s="50">
        <f t="shared" si="16"/>
        <v>41.497227356746762</v>
      </c>
      <c r="N27" s="19"/>
      <c r="S27" s="1"/>
      <c r="Y27" s="1"/>
      <c r="Z27" s="1"/>
    </row>
    <row r="28" spans="1:26" ht="15.75" customHeight="1">
      <c r="A28" s="1"/>
      <c r="B28" s="44"/>
      <c r="C28" s="19"/>
      <c r="D28" s="38"/>
      <c r="E28" s="38"/>
      <c r="F28" s="38"/>
      <c r="G28" s="38"/>
      <c r="H28" s="38"/>
      <c r="I28" s="51"/>
      <c r="J28" s="51"/>
      <c r="K28" s="51"/>
      <c r="L28" s="19"/>
      <c r="M28" s="19"/>
      <c r="N28" s="19"/>
      <c r="S28" s="1"/>
      <c r="Y28" s="1"/>
      <c r="Z28" s="1"/>
    </row>
    <row r="29" spans="1:26" ht="15.75" customHeight="1">
      <c r="A29" s="1"/>
      <c r="B29" s="20" t="s">
        <v>80</v>
      </c>
      <c r="C29" s="19"/>
      <c r="H29" s="38"/>
      <c r="S29" s="1"/>
      <c r="Y29" s="1"/>
      <c r="Z29" s="1"/>
    </row>
    <row r="30" spans="1:26" ht="15.75" customHeight="1">
      <c r="A30" s="1"/>
      <c r="B30" s="20" t="s">
        <v>81</v>
      </c>
      <c r="C30" s="20" t="s">
        <v>38</v>
      </c>
      <c r="D30" s="20" t="s">
        <v>39</v>
      </c>
      <c r="E30" s="20" t="s">
        <v>62</v>
      </c>
      <c r="F30" s="20" t="s">
        <v>40</v>
      </c>
      <c r="G30" s="20" t="s">
        <v>7</v>
      </c>
      <c r="H30" s="20" t="s">
        <v>5</v>
      </c>
      <c r="I30" s="20" t="s">
        <v>63</v>
      </c>
      <c r="J30" s="20" t="s">
        <v>64</v>
      </c>
      <c r="K30" s="20" t="s">
        <v>65</v>
      </c>
      <c r="L30" s="20" t="s">
        <v>66</v>
      </c>
      <c r="M30" s="20" t="s">
        <v>67</v>
      </c>
      <c r="O30" s="20" t="s">
        <v>72</v>
      </c>
      <c r="P30" s="20" t="s">
        <v>72</v>
      </c>
      <c r="Q30" s="20" t="s">
        <v>82</v>
      </c>
      <c r="R30" s="20" t="s">
        <v>18</v>
      </c>
      <c r="S30" s="1"/>
      <c r="T30" s="20" t="s">
        <v>83</v>
      </c>
      <c r="U30" s="20" t="s">
        <v>83</v>
      </c>
      <c r="V30" s="20" t="s">
        <v>84</v>
      </c>
      <c r="W30" s="20" t="s">
        <v>18</v>
      </c>
      <c r="Y30" s="1"/>
      <c r="Z30" s="1"/>
    </row>
    <row r="31" spans="1:26" ht="15.75" customHeight="1">
      <c r="B31" s="45"/>
      <c r="C31" s="40" t="s">
        <v>85</v>
      </c>
      <c r="D31" s="45">
        <v>4381</v>
      </c>
      <c r="E31" s="45">
        <v>3945</v>
      </c>
      <c r="F31" s="45">
        <v>346</v>
      </c>
      <c r="G31" s="52">
        <v>15.92</v>
      </c>
      <c r="H31" s="53">
        <v>21.64</v>
      </c>
      <c r="I31" s="49">
        <v>0.08</v>
      </c>
      <c r="J31" s="45">
        <v>1282</v>
      </c>
      <c r="K31" s="45">
        <v>898</v>
      </c>
      <c r="L31" s="50">
        <f t="shared" ref="L31:L52" si="17">J31/H31</f>
        <v>59.24214417744917</v>
      </c>
      <c r="M31" s="50">
        <f t="shared" ref="M31:M52" si="18">K31/H31</f>
        <v>41.497227356746762</v>
      </c>
      <c r="O31" s="45" t="s">
        <v>75</v>
      </c>
      <c r="P31" s="45">
        <v>3338</v>
      </c>
      <c r="Q31" s="45">
        <v>3177</v>
      </c>
      <c r="R31" s="49">
        <f t="shared" ref="R31:R35" si="19">(P31/Q31)-1</f>
        <v>5.0676739062008203E-2</v>
      </c>
      <c r="S31" s="1"/>
      <c r="T31" s="45" t="s">
        <v>75</v>
      </c>
      <c r="U31" s="45">
        <v>2186</v>
      </c>
      <c r="V31" s="45">
        <v>2086</v>
      </c>
      <c r="W31" s="49">
        <f t="shared" ref="W31:W35" si="20">(U31/V31)-1</f>
        <v>4.7938638542665446E-2</v>
      </c>
      <c r="Y31" s="1"/>
      <c r="Z31" s="1"/>
    </row>
    <row r="32" spans="1:26" ht="15.75" customHeight="1">
      <c r="A32" s="1"/>
      <c r="B32" s="44"/>
      <c r="C32" s="40" t="s">
        <v>86</v>
      </c>
      <c r="D32" s="54">
        <v>3705</v>
      </c>
      <c r="E32" s="50">
        <v>3223</v>
      </c>
      <c r="F32" s="55">
        <v>383</v>
      </c>
      <c r="G32" s="50">
        <v>15.92</v>
      </c>
      <c r="H32" s="56">
        <v>23.69</v>
      </c>
      <c r="I32" s="41">
        <f t="shared" ref="I32:I52" si="21">F32/D32</f>
        <v>0.10337381916329284</v>
      </c>
      <c r="J32" s="50">
        <v>1375</v>
      </c>
      <c r="K32" s="50">
        <v>851</v>
      </c>
      <c r="L32" s="50">
        <f t="shared" si="17"/>
        <v>58.041367665681719</v>
      </c>
      <c r="M32" s="50">
        <f t="shared" si="18"/>
        <v>35.922330097087375</v>
      </c>
      <c r="O32" s="45" t="s">
        <v>87</v>
      </c>
      <c r="P32" s="45">
        <v>2930</v>
      </c>
      <c r="Q32" s="45">
        <v>2875</v>
      </c>
      <c r="R32" s="49">
        <f t="shared" si="19"/>
        <v>1.9130434782608674E-2</v>
      </c>
      <c r="S32" s="1"/>
      <c r="T32" s="45" t="s">
        <v>87</v>
      </c>
      <c r="U32" s="45">
        <v>1913</v>
      </c>
      <c r="V32" s="45">
        <v>1875</v>
      </c>
      <c r="W32" s="49">
        <f t="shared" si="20"/>
        <v>2.0266666666666655E-2</v>
      </c>
      <c r="Y32" s="1"/>
      <c r="Z32" s="1"/>
    </row>
    <row r="33" spans="1:26" ht="15.75" customHeight="1">
      <c r="A33" s="1"/>
      <c r="B33" s="44"/>
      <c r="C33" s="40" t="s">
        <v>88</v>
      </c>
      <c r="D33" s="54">
        <v>2781</v>
      </c>
      <c r="E33" s="50">
        <v>2390</v>
      </c>
      <c r="F33" s="55">
        <v>309</v>
      </c>
      <c r="G33" s="50">
        <v>16</v>
      </c>
      <c r="H33" s="56">
        <v>19.37</v>
      </c>
      <c r="I33" s="41">
        <f t="shared" si="21"/>
        <v>0.1111111111111111</v>
      </c>
      <c r="J33" s="50">
        <v>1020</v>
      </c>
      <c r="K33" s="50">
        <v>296</v>
      </c>
      <c r="L33" s="50">
        <f t="shared" si="17"/>
        <v>52.658750645327821</v>
      </c>
      <c r="M33" s="50">
        <f t="shared" si="18"/>
        <v>15.281362932369642</v>
      </c>
      <c r="O33" s="45" t="s">
        <v>89</v>
      </c>
      <c r="P33" s="45">
        <v>14.51</v>
      </c>
      <c r="Q33" s="45">
        <v>15.08</v>
      </c>
      <c r="R33" s="49">
        <f t="shared" si="19"/>
        <v>-3.7798408488063706E-2</v>
      </c>
      <c r="S33" s="1"/>
      <c r="T33" s="45" t="s">
        <v>89</v>
      </c>
      <c r="U33" s="45">
        <v>9.5299999999999994</v>
      </c>
      <c r="V33" s="45">
        <v>6.77</v>
      </c>
      <c r="W33" s="49">
        <f t="shared" si="20"/>
        <v>0.40768094534711974</v>
      </c>
      <c r="Y33" s="1"/>
      <c r="Z33" s="1"/>
    </row>
    <row r="34" spans="1:26" ht="15.75" customHeight="1">
      <c r="A34" s="1"/>
      <c r="B34" s="44"/>
      <c r="C34" s="40" t="s">
        <v>90</v>
      </c>
      <c r="D34" s="57">
        <v>2808</v>
      </c>
      <c r="E34" s="50">
        <v>2520</v>
      </c>
      <c r="F34" s="50">
        <v>254</v>
      </c>
      <c r="G34" s="50">
        <v>16</v>
      </c>
      <c r="H34" s="56">
        <v>16.059999999999999</v>
      </c>
      <c r="I34" s="41">
        <f t="shared" si="21"/>
        <v>9.0455840455840458E-2</v>
      </c>
      <c r="J34" s="50">
        <v>650</v>
      </c>
      <c r="K34" s="50">
        <v>332</v>
      </c>
      <c r="L34" s="50">
        <f t="shared" si="17"/>
        <v>40.473225404732254</v>
      </c>
      <c r="M34" s="50">
        <f t="shared" si="18"/>
        <v>20.672478206724783</v>
      </c>
      <c r="O34" s="45" t="s">
        <v>77</v>
      </c>
      <c r="P34" s="45">
        <v>328</v>
      </c>
      <c r="Q34" s="45">
        <v>236</v>
      </c>
      <c r="R34" s="49">
        <f t="shared" si="19"/>
        <v>0.38983050847457634</v>
      </c>
      <c r="T34" s="45" t="s">
        <v>77</v>
      </c>
      <c r="U34" s="45">
        <v>220</v>
      </c>
      <c r="V34" s="45">
        <v>162</v>
      </c>
      <c r="W34" s="49">
        <f t="shared" si="20"/>
        <v>0.35802469135802473</v>
      </c>
      <c r="Y34" s="1"/>
      <c r="Z34" s="1"/>
    </row>
    <row r="35" spans="1:26" ht="15.75" customHeight="1">
      <c r="A35" s="1"/>
      <c r="B35" s="44"/>
      <c r="C35" s="40" t="s">
        <v>91</v>
      </c>
      <c r="D35" s="50">
        <v>2974</v>
      </c>
      <c r="E35" s="50">
        <v>2611</v>
      </c>
      <c r="F35" s="50">
        <v>229</v>
      </c>
      <c r="G35" s="50">
        <v>16</v>
      </c>
      <c r="H35" s="56">
        <v>14.25</v>
      </c>
      <c r="I35" s="41">
        <f t="shared" si="21"/>
        <v>7.700067249495629E-2</v>
      </c>
      <c r="J35" s="50">
        <v>598</v>
      </c>
      <c r="K35" s="50">
        <v>316</v>
      </c>
      <c r="L35" s="50">
        <f t="shared" si="17"/>
        <v>41.964912280701753</v>
      </c>
      <c r="M35" s="50">
        <f t="shared" si="18"/>
        <v>22.17543859649123</v>
      </c>
      <c r="O35" s="45" t="s">
        <v>5</v>
      </c>
      <c r="P35" s="53">
        <v>20.7</v>
      </c>
      <c r="Q35" s="53">
        <v>14.85</v>
      </c>
      <c r="R35" s="49">
        <f t="shared" si="19"/>
        <v>0.39393939393939403</v>
      </c>
      <c r="T35" s="45" t="s">
        <v>5</v>
      </c>
      <c r="U35" s="53">
        <v>13.53</v>
      </c>
      <c r="V35" s="53">
        <v>10.18</v>
      </c>
      <c r="W35" s="49">
        <f t="shared" si="20"/>
        <v>0.32907662082514721</v>
      </c>
      <c r="Y35" s="1"/>
      <c r="Z35" s="1"/>
    </row>
    <row r="36" spans="1:26" ht="15.75" customHeight="1">
      <c r="A36" s="1"/>
      <c r="B36" s="44"/>
      <c r="C36" s="40" t="s">
        <v>92</v>
      </c>
      <c r="D36" s="58">
        <v>2652</v>
      </c>
      <c r="E36" s="50">
        <v>2209</v>
      </c>
      <c r="F36" s="59">
        <v>229</v>
      </c>
      <c r="G36" s="50">
        <v>16</v>
      </c>
      <c r="H36" s="56">
        <v>15.88</v>
      </c>
      <c r="I36" s="41">
        <f t="shared" si="21"/>
        <v>8.6349924585218701E-2</v>
      </c>
      <c r="J36" s="50">
        <v>743</v>
      </c>
      <c r="K36" s="50">
        <v>535</v>
      </c>
      <c r="L36" s="50">
        <f t="shared" si="17"/>
        <v>46.788413098236774</v>
      </c>
      <c r="M36" s="50">
        <f t="shared" si="18"/>
        <v>33.690176322418132</v>
      </c>
      <c r="O36" s="45" t="s">
        <v>51</v>
      </c>
      <c r="P36" s="60">
        <f t="shared" ref="P36:Q36" si="22">P34/P31</f>
        <v>9.8262432594367885E-2</v>
      </c>
      <c r="Q36" s="60">
        <f t="shared" si="22"/>
        <v>7.4283915643689011E-2</v>
      </c>
      <c r="R36" s="60">
        <f t="shared" ref="R36:R37" si="23">P36-Q36</f>
        <v>2.3978516950678874E-2</v>
      </c>
      <c r="T36" s="45" t="s">
        <v>51</v>
      </c>
      <c r="U36" s="60">
        <f t="shared" ref="U36:V36" si="24">U34/U31</f>
        <v>0.10064043915827996</v>
      </c>
      <c r="V36" s="60">
        <f t="shared" si="24"/>
        <v>7.7660594439117936E-2</v>
      </c>
      <c r="W36" s="60">
        <f t="shared" ref="W36:W37" si="25">U36-V36</f>
        <v>2.2979844719162021E-2</v>
      </c>
      <c r="Y36" s="1"/>
      <c r="Z36" s="1"/>
    </row>
    <row r="37" spans="1:26" ht="15.75" customHeight="1">
      <c r="A37" s="1"/>
      <c r="B37" s="44" t="s">
        <v>93</v>
      </c>
      <c r="C37" s="40" t="s">
        <v>94</v>
      </c>
      <c r="D37" s="50">
        <v>2746</v>
      </c>
      <c r="E37" s="50">
        <v>2286</v>
      </c>
      <c r="F37" s="50">
        <v>270</v>
      </c>
      <c r="G37" s="50">
        <v>16</v>
      </c>
      <c r="H37" s="56">
        <v>16.96</v>
      </c>
      <c r="I37" s="41">
        <f t="shared" si="21"/>
        <v>9.8324836125273124E-2</v>
      </c>
      <c r="J37" s="50">
        <v>1425</v>
      </c>
      <c r="K37" s="50">
        <v>437</v>
      </c>
      <c r="L37" s="50">
        <f t="shared" si="17"/>
        <v>84.021226415094333</v>
      </c>
      <c r="M37" s="50">
        <f t="shared" si="18"/>
        <v>25.766509433962263</v>
      </c>
      <c r="O37" s="45" t="s">
        <v>29</v>
      </c>
      <c r="P37" s="52">
        <f t="shared" ref="P37:Q37" si="26">(P31-P32+P33)/P33</f>
        <v>29.11853893866299</v>
      </c>
      <c r="Q37" s="52">
        <f t="shared" si="26"/>
        <v>21.026525198938991</v>
      </c>
      <c r="R37" s="61">
        <f t="shared" si="23"/>
        <v>8.0920137397239991</v>
      </c>
      <c r="T37" s="45" t="s">
        <v>29</v>
      </c>
      <c r="U37" s="52">
        <f t="shared" ref="U37:V37" si="27">(U31-U32+U33)/U33</f>
        <v>29.646379853095485</v>
      </c>
      <c r="V37" s="52">
        <f t="shared" si="27"/>
        <v>32.166912850812409</v>
      </c>
      <c r="W37" s="61">
        <f t="shared" si="25"/>
        <v>-2.5205329977169235</v>
      </c>
      <c r="Y37" s="1"/>
      <c r="Z37" s="1"/>
    </row>
    <row r="38" spans="1:26" ht="15.75" customHeight="1">
      <c r="A38" s="1"/>
      <c r="B38" s="44"/>
      <c r="C38" s="40" t="s">
        <v>95</v>
      </c>
      <c r="D38" s="50">
        <v>2466</v>
      </c>
      <c r="E38" s="50">
        <v>2058</v>
      </c>
      <c r="F38" s="50">
        <v>235</v>
      </c>
      <c r="G38" s="50">
        <v>16</v>
      </c>
      <c r="H38" s="56">
        <v>29.56</v>
      </c>
      <c r="I38" s="41">
        <f t="shared" si="21"/>
        <v>9.5296025952960259E-2</v>
      </c>
      <c r="J38" s="50">
        <v>995</v>
      </c>
      <c r="K38" s="50">
        <v>607</v>
      </c>
      <c r="L38" s="50">
        <f t="shared" si="17"/>
        <v>33.660351826792962</v>
      </c>
      <c r="M38" s="50">
        <f t="shared" si="18"/>
        <v>20.534506089309879</v>
      </c>
      <c r="P38" s="19"/>
      <c r="Q38" s="19"/>
      <c r="R38" s="19"/>
      <c r="S38" s="1"/>
      <c r="Y38" s="1"/>
      <c r="Z38" s="1"/>
    </row>
    <row r="39" spans="1:26" ht="15.75" customHeight="1">
      <c r="A39" s="1"/>
      <c r="B39" s="44"/>
      <c r="C39" s="40" t="s">
        <v>96</v>
      </c>
      <c r="D39" s="50">
        <v>2242</v>
      </c>
      <c r="E39" s="50">
        <v>1953</v>
      </c>
      <c r="F39" s="50">
        <v>168</v>
      </c>
      <c r="G39" s="50">
        <v>16</v>
      </c>
      <c r="H39" s="56">
        <v>21.8</v>
      </c>
      <c r="I39" s="41">
        <f t="shared" si="21"/>
        <v>7.4933095450490636E-2</v>
      </c>
      <c r="J39" s="50">
        <v>840</v>
      </c>
      <c r="K39" s="50">
        <v>345</v>
      </c>
      <c r="L39" s="50">
        <f t="shared" si="17"/>
        <v>38.532110091743121</v>
      </c>
      <c r="M39" s="50">
        <f t="shared" si="18"/>
        <v>15.825688073394495</v>
      </c>
      <c r="P39" s="19"/>
      <c r="Q39" s="19"/>
      <c r="R39" s="19"/>
      <c r="S39" s="1"/>
      <c r="Y39" s="1"/>
      <c r="Z39" s="1"/>
    </row>
    <row r="40" spans="1:26" ht="15.75" customHeight="1">
      <c r="A40" s="1"/>
      <c r="B40" s="44"/>
      <c r="C40" s="40" t="s">
        <v>97</v>
      </c>
      <c r="D40" s="50">
        <v>1884</v>
      </c>
      <c r="E40" s="50">
        <v>1645</v>
      </c>
      <c r="F40" s="50">
        <v>117</v>
      </c>
      <c r="G40" s="50">
        <v>15</v>
      </c>
      <c r="H40" s="56">
        <v>15.7</v>
      </c>
      <c r="I40" s="41">
        <f t="shared" si="21"/>
        <v>6.2101910828025478E-2</v>
      </c>
      <c r="J40" s="50">
        <v>355</v>
      </c>
      <c r="K40" s="50">
        <v>177</v>
      </c>
      <c r="L40" s="50">
        <f t="shared" si="17"/>
        <v>22.611464968152866</v>
      </c>
      <c r="M40" s="50">
        <f t="shared" si="18"/>
        <v>11.273885350318471</v>
      </c>
      <c r="O40" s="20" t="s">
        <v>98</v>
      </c>
      <c r="P40" s="20" t="s">
        <v>72</v>
      </c>
      <c r="Q40" s="20" t="s">
        <v>82</v>
      </c>
      <c r="R40" s="20" t="s">
        <v>99</v>
      </c>
      <c r="S40" s="20" t="s">
        <v>18</v>
      </c>
      <c r="Y40" s="1"/>
      <c r="Z40" s="1"/>
    </row>
    <row r="41" spans="1:26" ht="15.75" customHeight="1">
      <c r="A41" s="1"/>
      <c r="B41" s="44"/>
      <c r="C41" s="40" t="s">
        <v>100</v>
      </c>
      <c r="D41" s="50">
        <v>1588</v>
      </c>
      <c r="E41" s="50">
        <v>1370</v>
      </c>
      <c r="F41" s="50">
        <v>101</v>
      </c>
      <c r="G41" s="50">
        <v>15</v>
      </c>
      <c r="H41" s="56">
        <v>13.66</v>
      </c>
      <c r="I41" s="41">
        <f t="shared" si="21"/>
        <v>6.3602015113350133E-2</v>
      </c>
      <c r="J41" s="50">
        <v>262</v>
      </c>
      <c r="K41" s="50">
        <v>153</v>
      </c>
      <c r="L41" s="50">
        <f t="shared" si="17"/>
        <v>19.180087847730601</v>
      </c>
      <c r="M41" s="50">
        <f t="shared" si="18"/>
        <v>11.200585651537335</v>
      </c>
      <c r="O41" s="45" t="s">
        <v>101</v>
      </c>
      <c r="P41" s="52">
        <v>654</v>
      </c>
      <c r="Q41" s="52">
        <v>814</v>
      </c>
      <c r="R41" s="49">
        <f t="shared" ref="R41:R48" si="28">P41/$P$50</f>
        <v>0.22313203684749233</v>
      </c>
      <c r="S41" s="49">
        <f t="shared" ref="S41:S48" si="29">(P41/Q41)-1</f>
        <v>-0.19656019656019652</v>
      </c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44"/>
      <c r="C42" s="40" t="s">
        <v>102</v>
      </c>
      <c r="D42" s="50">
        <v>1313</v>
      </c>
      <c r="E42" s="50">
        <v>1112</v>
      </c>
      <c r="F42" s="50">
        <v>81</v>
      </c>
      <c r="G42" s="50">
        <v>15</v>
      </c>
      <c r="H42" s="56">
        <v>10.97</v>
      </c>
      <c r="I42" s="41">
        <f t="shared" si="21"/>
        <v>6.1690784463061692E-2</v>
      </c>
      <c r="J42" s="50">
        <v>173</v>
      </c>
      <c r="K42" s="50">
        <v>74</v>
      </c>
      <c r="L42" s="50">
        <f t="shared" si="17"/>
        <v>15.770282588878759</v>
      </c>
      <c r="M42" s="50">
        <f t="shared" si="18"/>
        <v>6.74567000911577</v>
      </c>
      <c r="O42" s="45" t="s">
        <v>103</v>
      </c>
      <c r="P42" s="45">
        <v>736</v>
      </c>
      <c r="Q42" s="45">
        <v>757</v>
      </c>
      <c r="R42" s="49">
        <f t="shared" si="28"/>
        <v>0.25110883657454791</v>
      </c>
      <c r="S42" s="49">
        <f t="shared" si="29"/>
        <v>-2.7741083223249641E-2</v>
      </c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44"/>
      <c r="C43" s="40" t="s">
        <v>104</v>
      </c>
      <c r="D43" s="50">
        <v>953</v>
      </c>
      <c r="E43" s="50">
        <v>805</v>
      </c>
      <c r="F43" s="50">
        <v>61</v>
      </c>
      <c r="G43" s="50">
        <v>15</v>
      </c>
      <c r="H43" s="56">
        <v>8.24</v>
      </c>
      <c r="I43" s="41">
        <f t="shared" si="21"/>
        <v>6.400839454354669E-2</v>
      </c>
      <c r="J43" s="50">
        <v>84</v>
      </c>
      <c r="K43" s="50">
        <v>57</v>
      </c>
      <c r="L43" s="50">
        <f t="shared" si="17"/>
        <v>10.194174757281553</v>
      </c>
      <c r="M43" s="50">
        <f t="shared" si="18"/>
        <v>6.9174757281553401</v>
      </c>
      <c r="O43" s="45" t="s">
        <v>105</v>
      </c>
      <c r="P43" s="45">
        <v>716</v>
      </c>
      <c r="Q43" s="45">
        <v>640</v>
      </c>
      <c r="R43" s="49">
        <f t="shared" si="28"/>
        <v>0.24428522688502219</v>
      </c>
      <c r="S43" s="49">
        <f t="shared" si="29"/>
        <v>0.11874999999999991</v>
      </c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44"/>
      <c r="C44" s="40" t="s">
        <v>106</v>
      </c>
      <c r="D44" s="50">
        <v>736</v>
      </c>
      <c r="E44" s="50">
        <v>621</v>
      </c>
      <c r="F44" s="50">
        <v>60</v>
      </c>
      <c r="G44" s="50">
        <v>15</v>
      </c>
      <c r="H44" s="56">
        <v>4.87</v>
      </c>
      <c r="I44" s="41">
        <f t="shared" si="21"/>
        <v>8.1521739130434784E-2</v>
      </c>
      <c r="J44" s="50">
        <v>62</v>
      </c>
      <c r="K44" s="50">
        <v>26</v>
      </c>
      <c r="L44" s="50">
        <f t="shared" si="17"/>
        <v>12.73100616016427</v>
      </c>
      <c r="M44" s="50">
        <f t="shared" si="18"/>
        <v>5.3388090349075972</v>
      </c>
      <c r="O44" s="45" t="s">
        <v>107</v>
      </c>
      <c r="P44" s="45">
        <v>376</v>
      </c>
      <c r="Q44" s="45">
        <v>345</v>
      </c>
      <c r="R44" s="49">
        <f t="shared" si="28"/>
        <v>0.12828386216308427</v>
      </c>
      <c r="S44" s="49">
        <f t="shared" si="29"/>
        <v>8.9855072463768115E-2</v>
      </c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44"/>
      <c r="C45" s="40" t="s">
        <v>108</v>
      </c>
      <c r="D45" s="50">
        <v>666</v>
      </c>
      <c r="E45" s="50">
        <v>570</v>
      </c>
      <c r="F45" s="59">
        <v>9</v>
      </c>
      <c r="G45" s="50">
        <v>15</v>
      </c>
      <c r="H45" s="56">
        <v>1.21</v>
      </c>
      <c r="I45" s="41">
        <f t="shared" si="21"/>
        <v>1.3513513513513514E-2</v>
      </c>
      <c r="J45" s="50">
        <v>38</v>
      </c>
      <c r="K45" s="50">
        <v>21</v>
      </c>
      <c r="L45" s="50">
        <f t="shared" si="17"/>
        <v>31.404958677685951</v>
      </c>
      <c r="M45" s="50">
        <f t="shared" si="18"/>
        <v>17.355371900826448</v>
      </c>
      <c r="O45" s="45" t="s">
        <v>109</v>
      </c>
      <c r="P45" s="62">
        <v>381</v>
      </c>
      <c r="Q45" s="62">
        <v>332</v>
      </c>
      <c r="R45" s="49">
        <f t="shared" si="28"/>
        <v>0.12998976458546571</v>
      </c>
      <c r="S45" s="49">
        <f t="shared" si="29"/>
        <v>0.14759036144578319</v>
      </c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44"/>
      <c r="C46" s="40" t="s">
        <v>110</v>
      </c>
      <c r="D46" s="50">
        <v>503</v>
      </c>
      <c r="E46" s="50">
        <v>421</v>
      </c>
      <c r="F46" s="50">
        <v>15</v>
      </c>
      <c r="G46" s="50">
        <v>15</v>
      </c>
      <c r="H46" s="56">
        <v>2.04</v>
      </c>
      <c r="I46" s="41">
        <f t="shared" si="21"/>
        <v>2.982107355864811E-2</v>
      </c>
      <c r="J46" s="50">
        <v>38</v>
      </c>
      <c r="K46" s="50">
        <v>21</v>
      </c>
      <c r="L46" s="50">
        <f t="shared" si="17"/>
        <v>18.627450980392158</v>
      </c>
      <c r="M46" s="50">
        <f t="shared" si="18"/>
        <v>10.294117647058822</v>
      </c>
      <c r="O46" s="45" t="s">
        <v>111</v>
      </c>
      <c r="P46" s="52">
        <v>106</v>
      </c>
      <c r="Q46" s="52">
        <v>99</v>
      </c>
      <c r="R46" s="49">
        <f t="shared" si="28"/>
        <v>3.6165131354486527E-2</v>
      </c>
      <c r="S46" s="49">
        <f t="shared" si="29"/>
        <v>7.0707070707070718E-2</v>
      </c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44"/>
      <c r="C47" s="40" t="s">
        <v>112</v>
      </c>
      <c r="D47" s="50">
        <v>414</v>
      </c>
      <c r="E47" s="50">
        <v>357</v>
      </c>
      <c r="F47" s="59">
        <v>8</v>
      </c>
      <c r="G47" s="50">
        <v>15</v>
      </c>
      <c r="H47" s="56">
        <v>1.04</v>
      </c>
      <c r="I47" s="41">
        <f t="shared" si="21"/>
        <v>1.932367149758454E-2</v>
      </c>
      <c r="J47" s="50">
        <v>64</v>
      </c>
      <c r="K47" s="50">
        <v>30</v>
      </c>
      <c r="L47" s="50">
        <f t="shared" si="17"/>
        <v>61.538461538461533</v>
      </c>
      <c r="M47" s="50">
        <f t="shared" si="18"/>
        <v>28.846153846153847</v>
      </c>
      <c r="O47" s="45" t="s">
        <v>89</v>
      </c>
      <c r="P47" s="53">
        <v>15</v>
      </c>
      <c r="Q47" s="53">
        <v>15</v>
      </c>
      <c r="R47" s="49">
        <f t="shared" si="28"/>
        <v>5.1177072671443197E-3</v>
      </c>
      <c r="S47" s="49">
        <f t="shared" si="29"/>
        <v>0</v>
      </c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44" t="s">
        <v>113</v>
      </c>
      <c r="C48" s="40" t="s">
        <v>114</v>
      </c>
      <c r="D48" s="50">
        <v>331</v>
      </c>
      <c r="E48" s="50">
        <v>263</v>
      </c>
      <c r="F48" s="50">
        <v>28</v>
      </c>
      <c r="G48" s="50">
        <v>15</v>
      </c>
      <c r="H48" s="56">
        <v>3.83</v>
      </c>
      <c r="I48" s="41">
        <f t="shared" si="21"/>
        <v>8.4592145015105744E-2</v>
      </c>
      <c r="J48" s="50">
        <v>56</v>
      </c>
      <c r="K48" s="50">
        <v>28</v>
      </c>
      <c r="L48" s="50">
        <f t="shared" si="17"/>
        <v>14.621409921671018</v>
      </c>
      <c r="M48" s="50">
        <f t="shared" si="18"/>
        <v>7.3107049608355092</v>
      </c>
      <c r="O48" s="45" t="s">
        <v>115</v>
      </c>
      <c r="P48" s="45">
        <v>-53</v>
      </c>
      <c r="Q48" s="45">
        <v>-127</v>
      </c>
      <c r="R48" s="49">
        <f t="shared" si="28"/>
        <v>-1.8082565677243263E-2</v>
      </c>
      <c r="S48" s="49">
        <f t="shared" si="29"/>
        <v>-0.58267716535433078</v>
      </c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44"/>
      <c r="C49" s="40" t="s">
        <v>116</v>
      </c>
      <c r="D49" s="50">
        <v>300</v>
      </c>
      <c r="E49" s="50">
        <v>219</v>
      </c>
      <c r="F49" s="50">
        <v>26</v>
      </c>
      <c r="G49" s="50">
        <v>15</v>
      </c>
      <c r="H49" s="56">
        <v>17.32</v>
      </c>
      <c r="I49" s="41">
        <f t="shared" si="21"/>
        <v>8.666666666666667E-2</v>
      </c>
      <c r="J49" s="50">
        <v>161</v>
      </c>
      <c r="K49" s="50">
        <v>64</v>
      </c>
      <c r="L49" s="50">
        <f t="shared" si="17"/>
        <v>9.2956120092378747</v>
      </c>
      <c r="M49" s="50">
        <f t="shared" si="18"/>
        <v>3.695150115473441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44"/>
      <c r="C50" s="40" t="s">
        <v>117</v>
      </c>
      <c r="D50" s="50">
        <v>270</v>
      </c>
      <c r="E50" s="50">
        <v>200</v>
      </c>
      <c r="F50" s="50">
        <v>12</v>
      </c>
      <c r="G50" s="50">
        <v>15</v>
      </c>
      <c r="H50" s="56">
        <v>8.0399999999999991</v>
      </c>
      <c r="I50" s="41">
        <f t="shared" si="21"/>
        <v>4.4444444444444446E-2</v>
      </c>
      <c r="J50" s="50">
        <v>102.4</v>
      </c>
      <c r="K50" s="50">
        <v>16.8</v>
      </c>
      <c r="L50" s="50">
        <f t="shared" si="17"/>
        <v>12.736318407960201</v>
      </c>
      <c r="M50" s="50">
        <f t="shared" si="18"/>
        <v>2.0895522388059704</v>
      </c>
      <c r="O50" s="63" t="s">
        <v>118</v>
      </c>
      <c r="P50" s="64">
        <f t="shared" ref="P50:Q50" si="30">SUM(P41:P48)</f>
        <v>2931</v>
      </c>
      <c r="Q50" s="64">
        <f t="shared" si="30"/>
        <v>2875</v>
      </c>
      <c r="R50" s="65">
        <f>P50/$P$50</f>
        <v>1</v>
      </c>
      <c r="S50" s="65">
        <f>(P50/Q50)-1</f>
        <v>1.9478260869565167E-2</v>
      </c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44"/>
      <c r="C51" s="40" t="s">
        <v>119</v>
      </c>
      <c r="D51" s="50">
        <v>239</v>
      </c>
      <c r="E51" s="50">
        <v>164</v>
      </c>
      <c r="F51" s="50">
        <v>10</v>
      </c>
      <c r="G51" s="50">
        <v>15</v>
      </c>
      <c r="H51" s="56">
        <v>6.75</v>
      </c>
      <c r="I51" s="41">
        <f t="shared" si="21"/>
        <v>4.1841004184100417E-2</v>
      </c>
      <c r="J51" s="50">
        <v>30.45</v>
      </c>
      <c r="K51" s="50">
        <v>15.6</v>
      </c>
      <c r="L51" s="50">
        <f t="shared" si="17"/>
        <v>4.5111111111111111</v>
      </c>
      <c r="M51" s="50">
        <f t="shared" si="18"/>
        <v>2.3111111111111109</v>
      </c>
      <c r="N51" s="19"/>
      <c r="O51" s="19"/>
      <c r="P51" s="19"/>
      <c r="Q51" s="19"/>
      <c r="R51" s="19"/>
      <c r="S51" s="1"/>
      <c r="T51" s="1"/>
      <c r="U51" s="1"/>
      <c r="V51" s="1"/>
      <c r="W51" s="1"/>
      <c r="X51" s="1"/>
      <c r="Y51" s="1"/>
      <c r="Z51" s="1"/>
    </row>
    <row r="52" spans="1:26" ht="15.75" customHeight="1" thickBot="1">
      <c r="A52" s="1"/>
      <c r="B52" s="66"/>
      <c r="C52" s="40" t="s">
        <v>120</v>
      </c>
      <c r="D52" s="67">
        <v>228</v>
      </c>
      <c r="E52" s="67">
        <v>158</v>
      </c>
      <c r="F52" s="67">
        <v>3</v>
      </c>
      <c r="G52" s="50">
        <v>15</v>
      </c>
      <c r="H52" s="68">
        <v>1.79</v>
      </c>
      <c r="I52" s="41">
        <f t="shared" si="21"/>
        <v>1.3157894736842105E-2</v>
      </c>
      <c r="J52" s="67">
        <v>28</v>
      </c>
      <c r="K52" s="67">
        <v>14</v>
      </c>
      <c r="L52" s="67">
        <f t="shared" si="17"/>
        <v>15.64245810055866</v>
      </c>
      <c r="M52" s="67">
        <f t="shared" si="18"/>
        <v>7.8212290502793298</v>
      </c>
      <c r="N52" s="19"/>
      <c r="O52" s="19"/>
      <c r="P52" s="19"/>
      <c r="Q52" s="19"/>
      <c r="R52" s="19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5"/>
      <c r="D53" s="1"/>
      <c r="E53" s="1"/>
      <c r="F53" s="1"/>
      <c r="G53" s="1"/>
      <c r="H53" s="1"/>
      <c r="I53" s="1"/>
      <c r="J53" s="1"/>
      <c r="K53" s="1"/>
      <c r="L53" s="1"/>
      <c r="M53" s="1"/>
      <c r="N53" s="19"/>
      <c r="O53" s="20" t="s">
        <v>121</v>
      </c>
      <c r="P53" s="20" t="s">
        <v>72</v>
      </c>
      <c r="Q53" s="20" t="s">
        <v>82</v>
      </c>
      <c r="R53" s="20" t="s">
        <v>99</v>
      </c>
      <c r="S53" s="20" t="s">
        <v>18</v>
      </c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5"/>
      <c r="D54" s="1"/>
      <c r="E54" s="1"/>
      <c r="F54" s="1"/>
      <c r="G54" s="1"/>
      <c r="H54" s="1"/>
      <c r="I54" s="1"/>
      <c r="J54" s="1"/>
      <c r="K54" s="1"/>
      <c r="L54" s="1"/>
      <c r="M54" s="1"/>
      <c r="N54" s="19"/>
      <c r="O54" s="45" t="s">
        <v>122</v>
      </c>
      <c r="P54" s="52">
        <v>3005</v>
      </c>
      <c r="Q54" s="52">
        <v>2893</v>
      </c>
      <c r="R54" s="49">
        <f t="shared" ref="R54:R55" si="31">P54/$P$57</f>
        <v>0.90023966446974235</v>
      </c>
      <c r="S54" s="49">
        <f t="shared" ref="S54:S55" si="32">(P54/Q54)-1</f>
        <v>3.8714137573453211E-2</v>
      </c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5"/>
      <c r="D55" s="1"/>
      <c r="E55" s="1"/>
      <c r="F55" s="1"/>
      <c r="G55" s="1"/>
      <c r="H55" s="1"/>
      <c r="I55" s="1"/>
      <c r="J55" s="1"/>
      <c r="K55" s="1"/>
      <c r="L55" s="1"/>
      <c r="M55" s="1"/>
      <c r="N55" s="19"/>
      <c r="O55" s="45" t="s">
        <v>123</v>
      </c>
      <c r="P55" s="45">
        <v>333</v>
      </c>
      <c r="Q55" s="45">
        <v>284</v>
      </c>
      <c r="R55" s="49">
        <f t="shared" si="31"/>
        <v>9.9760335530257635E-2</v>
      </c>
      <c r="S55" s="49">
        <f t="shared" si="32"/>
        <v>0.17253521126760574</v>
      </c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63" t="s">
        <v>118</v>
      </c>
      <c r="P57" s="64">
        <f t="shared" ref="P57:Q57" si="33">SUM(P54:P55)</f>
        <v>3338</v>
      </c>
      <c r="Q57" s="64">
        <f t="shared" si="33"/>
        <v>3177</v>
      </c>
      <c r="R57" s="49">
        <f>P57/$P$57</f>
        <v>1</v>
      </c>
      <c r="S57" s="49">
        <f>(P57/Q57)-1</f>
        <v>5.0676739062008203E-2</v>
      </c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5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5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5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5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5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5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5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5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5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5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5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5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5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5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5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5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5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5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5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5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5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5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5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72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73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74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6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5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5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5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5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5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5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5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5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5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5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5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5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5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5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5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5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5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5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5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5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5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5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5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5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5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5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5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5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5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5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5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5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5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5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5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5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5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5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5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5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5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5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5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5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5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5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5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5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5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5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5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5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5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5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5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5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5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5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5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5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5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5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5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5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5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5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5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5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5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5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5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5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5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5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5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5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5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5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5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5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5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5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5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5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5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5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5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5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5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5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5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5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5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5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5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5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5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5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5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5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5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5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5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5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5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5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5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5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5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5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5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5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5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5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5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5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5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5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5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5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5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5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5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5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5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5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5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5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5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5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5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5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5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5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5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5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5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5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5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5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5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5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5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5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5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5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5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5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5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5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5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5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5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5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5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5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5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5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5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5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5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5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5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5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5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5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5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5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5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5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5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5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5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5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5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5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5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5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5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5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5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5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5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5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5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5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5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5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5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5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5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5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5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5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5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5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5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5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5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5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5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5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5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5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5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5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5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5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5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5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5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5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5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5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5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5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5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5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5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5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5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5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5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5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5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5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5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5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5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5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5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5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5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5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5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5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5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5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5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5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5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5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5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5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5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5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5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5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5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5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5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5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5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5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5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5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5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5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5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5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5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5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5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5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5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5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5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5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5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5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5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5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5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5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5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5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5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5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5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5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5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5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5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5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5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5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5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5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5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5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5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5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5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5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5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5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5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5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5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5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5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5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5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5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5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5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5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5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5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5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5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5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5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5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5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5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5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5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5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5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5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5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5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5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5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5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5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5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5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5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5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5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5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5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5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5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5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5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5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5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5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5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5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5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5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5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5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5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5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5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5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5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5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5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5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5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5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5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5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5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5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5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5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5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5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5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5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5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5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5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5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5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5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5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5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5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5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5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5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5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5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5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5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5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5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5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5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5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5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5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5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5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5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5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5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5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5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5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5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5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5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5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5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5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5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5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5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5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5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5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5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5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5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5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5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5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5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5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5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5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5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5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5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5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5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5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5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5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5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5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5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5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5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5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5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5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5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5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5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5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5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5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5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5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5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5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5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5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5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5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5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5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5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5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5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5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5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5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5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5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5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5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5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5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5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5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5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5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5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5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5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5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5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5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5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5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5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5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5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5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5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5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5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5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5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5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5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5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5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5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5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5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5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5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5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5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5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5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5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5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5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5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5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5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5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5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5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5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5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5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5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5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5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5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5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5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5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5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5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5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5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5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5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5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5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5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5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5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5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5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5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5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5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5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5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5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5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5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5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5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5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5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5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5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5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5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5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5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5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5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5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5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5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5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5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5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5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5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5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5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5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5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5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5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5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5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5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5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5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5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5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5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5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5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5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5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5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5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5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5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5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5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5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5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5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5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5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5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5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5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5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5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5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5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5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5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5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5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5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5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5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5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5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5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5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5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5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5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5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5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5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5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5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5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5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5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5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5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5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5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5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5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5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5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5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5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5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5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5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5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5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5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5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5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5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5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5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5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5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5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5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5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5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5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5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5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5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5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5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5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5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5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5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5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5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5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5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5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5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5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5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5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5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5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5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5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5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5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5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5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5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5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5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5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5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5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5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5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5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5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5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5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5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5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5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5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5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5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5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5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5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5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5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5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5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5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5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5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5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5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5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5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5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5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5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5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5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5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5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5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5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5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5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5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5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5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5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5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5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5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5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5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5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5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5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5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5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5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5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5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5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5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5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5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5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5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5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5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5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5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5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5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5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5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5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5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5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5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5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5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5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5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5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5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5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5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5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5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5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5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5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5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5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5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5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5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5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5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5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5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5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5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5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5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5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5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5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5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5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5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5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5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5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5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5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5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5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5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5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5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5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5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5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5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5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5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5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5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5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5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5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5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5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5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5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5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5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5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5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5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5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5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5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5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5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5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5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5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5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5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5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5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5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5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5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5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5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5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5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5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5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5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5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5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5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5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5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5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5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5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5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5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5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5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5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5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5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5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5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5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5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5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5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5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5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5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5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5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5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5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5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5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5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5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5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5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5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5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5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5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5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5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5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5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5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5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5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5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</sheetData>
  <mergeCells count="3">
    <mergeCell ref="B1:Q1"/>
    <mergeCell ref="R16:R18"/>
    <mergeCell ref="B96:Q98"/>
  </mergeCells>
  <conditionalFormatting sqref="D31:D52">
    <cfRule type="colorScale" priority="2">
      <colorScale>
        <cfvo type="min"/>
        <cfvo type="max"/>
        <color rgb="FFFFFFFF"/>
        <color rgb="FF57BB8A"/>
      </colorScale>
    </cfRule>
  </conditionalFormatting>
  <conditionalFormatting sqref="D19:F20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24:H27 J24:K27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31:E52">
    <cfRule type="colorScale" priority="3">
      <colorScale>
        <cfvo type="min"/>
        <cfvo type="max"/>
        <color rgb="FFFFFFFF"/>
        <color rgb="FFE67C73"/>
      </colorScale>
    </cfRule>
  </conditionalFormatting>
  <conditionalFormatting sqref="F31:F52">
    <cfRule type="colorScale" priority="1">
      <colorScale>
        <cfvo type="min"/>
        <cfvo type="max"/>
        <color rgb="FFFFFFFF"/>
        <color rgb="FF57BB8A"/>
      </colorScale>
    </cfRule>
  </conditionalFormatting>
  <conditionalFormatting sqref="G19:G20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4:I27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31:I52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52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24:M27">
    <cfRule type="colorScale" priority="2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O16:Q16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18:Q18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O21:S21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24:S24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25:S25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26:S26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31:R36 W31:W36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41:R48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54:R55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41:S48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54:S55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W31:W37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" footer="0"/>
  <pageSetup orientation="portrait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26C3C-C0FD-4AC5-A578-70F3A94CFDCF}">
  <sheetPr>
    <outlinePr summaryBelow="0" summaryRight="0"/>
  </sheetPr>
  <dimension ref="A1:BP200"/>
  <sheetViews>
    <sheetView showGridLines="0" workbookViewId="0">
      <selection activeCell="D11" sqref="D11"/>
    </sheetView>
  </sheetViews>
  <sheetFormatPr defaultColWidth="14.44140625" defaultRowHeight="15" customHeight="1"/>
  <cols>
    <col min="3" max="3" width="20.109375" customWidth="1"/>
    <col min="6" max="6" width="19.109375" customWidth="1"/>
    <col min="7" max="7" width="19.88671875" customWidth="1"/>
    <col min="8" max="8" width="16.6640625" customWidth="1"/>
    <col min="9" max="9" width="15.88671875" customWidth="1"/>
    <col min="12" max="12" width="16.88671875" customWidth="1"/>
  </cols>
  <sheetData>
    <row r="1" spans="1:68"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</row>
    <row r="2" spans="1:68">
      <c r="B2" s="78" t="s">
        <v>124</v>
      </c>
      <c r="C2" s="70"/>
      <c r="D2" s="70"/>
      <c r="E2" s="70"/>
      <c r="F2" s="70"/>
      <c r="G2" s="70"/>
      <c r="H2" s="70"/>
      <c r="I2" s="70"/>
      <c r="J2" s="70"/>
      <c r="K2" s="70"/>
      <c r="L2" s="71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</row>
    <row r="3" spans="1:68">
      <c r="B3" s="72"/>
      <c r="C3" s="39"/>
      <c r="D3" s="39"/>
      <c r="E3" s="39"/>
      <c r="F3" s="39"/>
      <c r="G3" s="39"/>
      <c r="H3" s="39"/>
      <c r="I3" s="39"/>
      <c r="J3" s="39"/>
      <c r="K3" s="39"/>
      <c r="L3" s="73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</row>
    <row r="4" spans="1:68">
      <c r="B4" s="72"/>
      <c r="C4" s="39"/>
      <c r="D4" s="39"/>
      <c r="E4" s="39"/>
      <c r="F4" s="39"/>
      <c r="G4" s="39"/>
      <c r="H4" s="39"/>
      <c r="I4" s="39"/>
      <c r="J4" s="39"/>
      <c r="K4" s="39"/>
      <c r="L4" s="73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</row>
    <row r="5" spans="1:68">
      <c r="B5" s="74"/>
      <c r="C5" s="75"/>
      <c r="D5" s="75"/>
      <c r="E5" s="75"/>
      <c r="F5" s="75"/>
      <c r="G5" s="75"/>
      <c r="H5" s="75"/>
      <c r="I5" s="75"/>
      <c r="J5" s="75"/>
      <c r="K5" s="75"/>
      <c r="L5" s="76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</row>
    <row r="6" spans="1:68"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</row>
    <row r="7" spans="1:68"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</row>
    <row r="8" spans="1:68"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</row>
    <row r="9" spans="1:68">
      <c r="A9" s="79" t="s">
        <v>125</v>
      </c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</row>
    <row r="10" spans="1:68">
      <c r="B10" s="79" t="s">
        <v>125</v>
      </c>
      <c r="C10" s="79" t="s">
        <v>126</v>
      </c>
      <c r="F10" s="79" t="s">
        <v>125</v>
      </c>
      <c r="G10" s="19" t="s">
        <v>127</v>
      </c>
      <c r="K10" s="79" t="s">
        <v>128</v>
      </c>
      <c r="L10" s="79" t="s">
        <v>129</v>
      </c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</row>
    <row r="11" spans="1:68">
      <c r="B11" s="19" t="s">
        <v>130</v>
      </c>
      <c r="C11" s="19">
        <v>780</v>
      </c>
      <c r="G11" s="79" t="s">
        <v>131</v>
      </c>
      <c r="H11" s="19">
        <v>20000</v>
      </c>
      <c r="K11" s="19" t="s">
        <v>132</v>
      </c>
      <c r="L11" s="46">
        <v>0.46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</row>
    <row r="12" spans="1:68">
      <c r="B12" s="81" t="s">
        <v>133</v>
      </c>
      <c r="C12" s="81">
        <v>561</v>
      </c>
      <c r="G12" s="79" t="s">
        <v>134</v>
      </c>
      <c r="H12" s="19">
        <v>15000</v>
      </c>
      <c r="K12" s="19" t="s">
        <v>135</v>
      </c>
      <c r="L12" s="46">
        <v>0.39</v>
      </c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</row>
    <row r="13" spans="1:68">
      <c r="H13" s="79" t="s">
        <v>136</v>
      </c>
      <c r="I13" s="19">
        <v>10000</v>
      </c>
      <c r="K13" s="19" t="s">
        <v>137</v>
      </c>
      <c r="L13" s="46">
        <v>0.15</v>
      </c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</row>
    <row r="14" spans="1:68">
      <c r="B14" s="82" t="s">
        <v>118</v>
      </c>
      <c r="C14" s="82">
        <f>SUM(C11:C12)</f>
        <v>1341</v>
      </c>
      <c r="H14" s="79" t="s">
        <v>138</v>
      </c>
      <c r="I14" s="19">
        <v>5000</v>
      </c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</row>
    <row r="15" spans="1:68"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</row>
    <row r="16" spans="1:68"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</row>
    <row r="17" spans="1:68"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</row>
    <row r="18" spans="1:68"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</row>
    <row r="19" spans="1:68"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</row>
    <row r="32" spans="1:68">
      <c r="A32" s="79" t="s">
        <v>139</v>
      </c>
    </row>
    <row r="33" spans="2:11">
      <c r="B33" s="84" t="s">
        <v>140</v>
      </c>
      <c r="C33" s="84" t="s">
        <v>141</v>
      </c>
      <c r="F33" s="84" t="s">
        <v>140</v>
      </c>
      <c r="G33" s="84" t="s">
        <v>142</v>
      </c>
      <c r="J33" s="84" t="s">
        <v>140</v>
      </c>
      <c r="K33" s="84" t="s">
        <v>143</v>
      </c>
    </row>
    <row r="34" spans="2:11">
      <c r="B34" s="85" t="s">
        <v>16</v>
      </c>
      <c r="C34" s="80">
        <v>20457</v>
      </c>
      <c r="F34" s="85" t="s">
        <v>16</v>
      </c>
      <c r="G34" s="86">
        <v>4382</v>
      </c>
      <c r="J34" s="85" t="s">
        <v>16</v>
      </c>
      <c r="K34" s="80">
        <v>346</v>
      </c>
    </row>
    <row r="35" spans="2:11">
      <c r="B35" s="85" t="s">
        <v>144</v>
      </c>
      <c r="C35" s="80">
        <v>2615</v>
      </c>
      <c r="F35" s="85" t="s">
        <v>144</v>
      </c>
      <c r="G35" s="86">
        <v>2478</v>
      </c>
      <c r="J35" s="85" t="s">
        <v>144</v>
      </c>
      <c r="K35" s="80">
        <v>67</v>
      </c>
    </row>
    <row r="36" spans="2:11">
      <c r="B36" s="85" t="s">
        <v>145</v>
      </c>
      <c r="C36" s="80">
        <v>819</v>
      </c>
      <c r="F36" s="85" t="s">
        <v>145</v>
      </c>
      <c r="G36" s="86">
        <v>1563</v>
      </c>
      <c r="J36" s="85" t="s">
        <v>145</v>
      </c>
      <c r="K36" s="80">
        <v>-87</v>
      </c>
    </row>
    <row r="37" spans="2:11">
      <c r="B37" s="85" t="s">
        <v>146</v>
      </c>
      <c r="C37" s="80">
        <v>530</v>
      </c>
      <c r="F37" s="85" t="s">
        <v>146</v>
      </c>
      <c r="G37" s="86">
        <v>705</v>
      </c>
      <c r="J37" s="85" t="s">
        <v>146</v>
      </c>
      <c r="K37" s="80">
        <v>22</v>
      </c>
    </row>
    <row r="38" spans="2:11">
      <c r="B38" s="85" t="s">
        <v>147</v>
      </c>
      <c r="C38" s="80">
        <v>503</v>
      </c>
      <c r="F38" s="85" t="s">
        <v>147</v>
      </c>
      <c r="G38" s="86">
        <v>316</v>
      </c>
      <c r="J38" s="85" t="s">
        <v>147</v>
      </c>
      <c r="K38" s="80">
        <v>2.97</v>
      </c>
    </row>
    <row r="39" spans="2:11">
      <c r="B39" s="85" t="s">
        <v>148</v>
      </c>
      <c r="C39" s="80">
        <v>491</v>
      </c>
      <c r="F39" s="85" t="s">
        <v>148</v>
      </c>
      <c r="G39" s="86">
        <v>384</v>
      </c>
      <c r="J39" s="85" t="s">
        <v>148</v>
      </c>
      <c r="K39" s="80">
        <v>-151</v>
      </c>
    </row>
    <row r="40" spans="2:11">
      <c r="B40" s="85" t="s">
        <v>149</v>
      </c>
      <c r="C40" s="80">
        <v>357</v>
      </c>
      <c r="F40" s="85" t="s">
        <v>149</v>
      </c>
      <c r="G40" s="86">
        <v>170</v>
      </c>
      <c r="J40" s="85" t="s">
        <v>149</v>
      </c>
      <c r="K40" s="80">
        <v>7</v>
      </c>
    </row>
    <row r="41" spans="2:11">
      <c r="B41" s="85" t="s">
        <v>150</v>
      </c>
      <c r="C41" s="80">
        <v>83</v>
      </c>
      <c r="F41" s="85" t="s">
        <v>150</v>
      </c>
      <c r="G41" s="86">
        <v>0</v>
      </c>
      <c r="J41" s="85" t="s">
        <v>150</v>
      </c>
      <c r="K41" s="80">
        <v>-16</v>
      </c>
    </row>
    <row r="42" spans="2:11">
      <c r="B42" s="87" t="s">
        <v>151</v>
      </c>
      <c r="C42" s="88">
        <v>44</v>
      </c>
      <c r="F42" s="87" t="s">
        <v>151</v>
      </c>
      <c r="G42" s="89">
        <v>1.97</v>
      </c>
      <c r="J42" s="87" t="s">
        <v>151</v>
      </c>
      <c r="K42" s="88">
        <v>-0.67</v>
      </c>
    </row>
    <row r="44" spans="2:11">
      <c r="B44" s="90" t="s">
        <v>125</v>
      </c>
      <c r="C44" s="91">
        <f>SUM(C34:C42)</f>
        <v>25899</v>
      </c>
      <c r="F44" s="90" t="s">
        <v>125</v>
      </c>
      <c r="G44" s="91">
        <f>SUM(G34:G42)</f>
        <v>9999.9699999999993</v>
      </c>
      <c r="J44" s="90" t="s">
        <v>125</v>
      </c>
      <c r="K44" s="91">
        <f>SUM(K34:K42)</f>
        <v>190.30000000000004</v>
      </c>
    </row>
    <row r="63" spans="1:9">
      <c r="A63" s="79" t="s">
        <v>18</v>
      </c>
    </row>
    <row r="64" spans="1:9">
      <c r="B64" s="84" t="s">
        <v>140</v>
      </c>
      <c r="C64" s="84" t="s">
        <v>152</v>
      </c>
      <c r="H64" s="84" t="s">
        <v>140</v>
      </c>
      <c r="I64" s="84" t="s">
        <v>153</v>
      </c>
    </row>
    <row r="65" spans="1:68">
      <c r="B65" s="85" t="s">
        <v>16</v>
      </c>
      <c r="C65" s="92">
        <v>0.10080038080466114</v>
      </c>
      <c r="H65" s="85" t="s">
        <v>16</v>
      </c>
      <c r="I65" s="93">
        <v>5.04E-2</v>
      </c>
    </row>
    <row r="66" spans="1:68">
      <c r="B66" s="85" t="s">
        <v>144</v>
      </c>
      <c r="C66" s="92">
        <v>7.7265340207721689E-2</v>
      </c>
      <c r="H66" s="85" t="s">
        <v>144</v>
      </c>
      <c r="I66" s="93">
        <v>3.0200000000000001E-2</v>
      </c>
    </row>
    <row r="67" spans="1:68">
      <c r="B67" s="85" t="s">
        <v>145</v>
      </c>
      <c r="C67" s="92">
        <v>5.9449881154982398E-2</v>
      </c>
      <c r="H67" s="85" t="s">
        <v>145</v>
      </c>
      <c r="I67" s="93">
        <v>0</v>
      </c>
    </row>
    <row r="68" spans="1:68">
      <c r="B68" s="85" t="s">
        <v>146</v>
      </c>
      <c r="C68" s="92">
        <v>1.3586320178939459E-2</v>
      </c>
      <c r="H68" s="85" t="s">
        <v>146</v>
      </c>
      <c r="I68" s="93">
        <v>-7.5999999999999998E-2</v>
      </c>
    </row>
    <row r="69" spans="1:68">
      <c r="B69" s="85" t="s">
        <v>147</v>
      </c>
      <c r="C69" s="92">
        <v>7.5109947879521854E-2</v>
      </c>
      <c r="H69" s="85" t="s">
        <v>147</v>
      </c>
      <c r="I69" s="94">
        <f>(316/317)-1</f>
        <v>-3.154574132492094E-3</v>
      </c>
    </row>
    <row r="70" spans="1:68">
      <c r="B70" s="85" t="s">
        <v>148</v>
      </c>
      <c r="C70" s="92">
        <v>-8.8408477207311931E-2</v>
      </c>
      <c r="H70" s="85" t="s">
        <v>148</v>
      </c>
      <c r="I70" s="94">
        <f>(80/81)-1</f>
        <v>-1.2345679012345734E-2</v>
      </c>
    </row>
    <row r="71" spans="1:68">
      <c r="B71" s="85" t="s">
        <v>149</v>
      </c>
      <c r="C71" s="92">
        <v>7.3940923785779322E-2</v>
      </c>
      <c r="H71" s="85" t="s">
        <v>149</v>
      </c>
      <c r="I71" s="94">
        <f>(192/170)-1</f>
        <v>0.12941176470588234</v>
      </c>
    </row>
    <row r="72" spans="1:68">
      <c r="B72" s="85" t="s">
        <v>150</v>
      </c>
      <c r="C72" s="92"/>
      <c r="H72" s="85" t="s">
        <v>150</v>
      </c>
      <c r="I72" s="94"/>
    </row>
    <row r="73" spans="1:68">
      <c r="B73" s="87" t="s">
        <v>151</v>
      </c>
      <c r="C73" s="95">
        <v>0.24447007575593416</v>
      </c>
      <c r="H73" s="87" t="s">
        <v>151</v>
      </c>
      <c r="I73" s="96">
        <f>(1.27/1.97)-1</f>
        <v>-0.35532994923857864</v>
      </c>
    </row>
    <row r="74" spans="1:68">
      <c r="B74" s="85"/>
      <c r="C74" s="85"/>
      <c r="H74" s="85"/>
      <c r="I74" s="94"/>
      <c r="BO74" s="97"/>
      <c r="BP74" s="97"/>
    </row>
    <row r="75" spans="1:68">
      <c r="B75" s="98" t="s">
        <v>125</v>
      </c>
      <c r="C75" s="99">
        <v>6.7946279393862996E-2</v>
      </c>
      <c r="H75" s="98" t="s">
        <v>125</v>
      </c>
      <c r="I75" s="100">
        <v>2.6800000000000001E-2</v>
      </c>
    </row>
    <row r="77" spans="1:68">
      <c r="A77" s="79" t="s">
        <v>20</v>
      </c>
    </row>
    <row r="78" spans="1:68">
      <c r="B78" s="84" t="s">
        <v>140</v>
      </c>
      <c r="C78" s="101" t="s">
        <v>27</v>
      </c>
      <c r="F78" s="84" t="s">
        <v>140</v>
      </c>
      <c r="G78" s="84" t="s">
        <v>28</v>
      </c>
      <c r="J78" s="79" t="s">
        <v>140</v>
      </c>
      <c r="K78" s="79" t="s">
        <v>29</v>
      </c>
    </row>
    <row r="79" spans="1:68">
      <c r="B79" s="85" t="s">
        <v>16</v>
      </c>
      <c r="C79" s="102">
        <v>0.05</v>
      </c>
      <c r="F79" s="85" t="s">
        <v>16</v>
      </c>
      <c r="G79" s="102">
        <v>0.25</v>
      </c>
      <c r="J79" s="103" t="s">
        <v>16</v>
      </c>
      <c r="K79" s="104">
        <v>21</v>
      </c>
    </row>
    <row r="80" spans="1:68">
      <c r="B80" s="85" t="s">
        <v>144</v>
      </c>
      <c r="C80" s="102">
        <v>0.36</v>
      </c>
      <c r="F80" s="85" t="s">
        <v>144</v>
      </c>
      <c r="G80" s="102">
        <v>0.53</v>
      </c>
      <c r="J80" s="103" t="s">
        <v>144</v>
      </c>
      <c r="K80" s="104">
        <v>3</v>
      </c>
    </row>
    <row r="81" spans="2:11">
      <c r="B81" s="85" t="s">
        <v>145</v>
      </c>
      <c r="C81" s="102">
        <v>7.0000000000000007E-2</v>
      </c>
      <c r="F81" s="85" t="s">
        <v>145</v>
      </c>
      <c r="G81" s="102">
        <v>0.25</v>
      </c>
      <c r="J81" s="103" t="s">
        <v>145</v>
      </c>
      <c r="K81" s="104">
        <v>-4</v>
      </c>
    </row>
    <row r="82" spans="2:11">
      <c r="B82" s="87" t="s">
        <v>146</v>
      </c>
      <c r="C82" s="105">
        <v>0.06</v>
      </c>
      <c r="F82" s="87" t="s">
        <v>146</v>
      </c>
      <c r="G82" s="105">
        <v>0.38</v>
      </c>
      <c r="J82" s="103" t="s">
        <v>146</v>
      </c>
      <c r="K82" s="104">
        <v>11</v>
      </c>
    </row>
    <row r="83" spans="2:11">
      <c r="K83" s="38"/>
    </row>
    <row r="84" spans="2:11">
      <c r="B84" s="98" t="s">
        <v>125</v>
      </c>
      <c r="C84" s="106">
        <v>0.11</v>
      </c>
      <c r="F84" s="98" t="s">
        <v>125</v>
      </c>
      <c r="G84" s="106">
        <v>0.33</v>
      </c>
      <c r="J84" s="98" t="s">
        <v>125</v>
      </c>
      <c r="K84" s="91">
        <v>6</v>
      </c>
    </row>
    <row r="103" spans="1:11">
      <c r="A103" s="79" t="s">
        <v>19</v>
      </c>
    </row>
    <row r="104" spans="1:11">
      <c r="B104" s="84" t="s">
        <v>140</v>
      </c>
      <c r="C104" s="84" t="s">
        <v>154</v>
      </c>
      <c r="F104" s="84" t="s">
        <v>140</v>
      </c>
      <c r="G104" s="84" t="s">
        <v>155</v>
      </c>
      <c r="J104" s="84" t="s">
        <v>140</v>
      </c>
      <c r="K104" s="84" t="s">
        <v>156</v>
      </c>
    </row>
    <row r="105" spans="1:11">
      <c r="B105" s="85" t="s">
        <v>16</v>
      </c>
      <c r="C105" s="93">
        <v>7.8959379278868091E-2</v>
      </c>
      <c r="F105" s="85" t="s">
        <v>16</v>
      </c>
      <c r="G105" s="102">
        <v>2.59</v>
      </c>
      <c r="J105" s="85" t="s">
        <v>16</v>
      </c>
      <c r="K105" s="80">
        <v>46</v>
      </c>
    </row>
    <row r="106" spans="1:11">
      <c r="B106" s="85" t="s">
        <v>144</v>
      </c>
      <c r="C106" s="93">
        <v>2.7037933817594836E-2</v>
      </c>
      <c r="F106" s="85" t="s">
        <v>144</v>
      </c>
      <c r="G106" s="102">
        <v>1.1100000000000001</v>
      </c>
      <c r="J106" s="85" t="s">
        <v>144</v>
      </c>
      <c r="K106" s="80">
        <v>39</v>
      </c>
    </row>
    <row r="107" spans="1:11">
      <c r="B107" s="85" t="s">
        <v>145</v>
      </c>
      <c r="C107" s="93">
        <v>-5.5662188099808059E-2</v>
      </c>
      <c r="F107" s="85" t="s">
        <v>145</v>
      </c>
      <c r="G107" s="102">
        <v>2.35</v>
      </c>
      <c r="J107" s="85" t="s">
        <v>145</v>
      </c>
      <c r="K107" s="80">
        <v>91</v>
      </c>
    </row>
    <row r="108" spans="1:11">
      <c r="B108" s="85" t="s">
        <v>146</v>
      </c>
      <c r="C108" s="93">
        <v>3.1205673758865248E-2</v>
      </c>
      <c r="F108" s="87" t="s">
        <v>146</v>
      </c>
      <c r="G108" s="105">
        <v>1.45</v>
      </c>
      <c r="J108" s="87" t="s">
        <v>146</v>
      </c>
      <c r="K108" s="88">
        <v>48</v>
      </c>
    </row>
    <row r="109" spans="1:11">
      <c r="B109" s="85" t="s">
        <v>147</v>
      </c>
      <c r="C109" s="93">
        <v>9.398734177215191E-3</v>
      </c>
    </row>
    <row r="110" spans="1:11">
      <c r="B110" s="85" t="s">
        <v>148</v>
      </c>
      <c r="C110" s="93">
        <v>-0.39322916666666669</v>
      </c>
    </row>
    <row r="111" spans="1:11">
      <c r="B111" s="85" t="s">
        <v>149</v>
      </c>
      <c r="C111" s="93">
        <v>4.1176470588235294E-2</v>
      </c>
    </row>
    <row r="112" spans="1:11">
      <c r="B112" s="85" t="s">
        <v>150</v>
      </c>
      <c r="C112" s="93" t="e">
        <v>#DIV/0!</v>
      </c>
    </row>
    <row r="113" spans="2:11">
      <c r="B113" s="87" t="s">
        <v>151</v>
      </c>
      <c r="C113" s="107">
        <v>-0.34010152284263961</v>
      </c>
    </row>
    <row r="114" spans="2:11">
      <c r="B114" s="85"/>
      <c r="C114" s="85"/>
    </row>
    <row r="115" spans="2:11">
      <c r="B115" s="98" t="s">
        <v>125</v>
      </c>
      <c r="C115" s="108">
        <v>1.9030057090171276E-2</v>
      </c>
      <c r="F115" s="98" t="s">
        <v>125</v>
      </c>
      <c r="G115" s="106">
        <v>1.9</v>
      </c>
      <c r="J115" s="98" t="s">
        <v>125</v>
      </c>
      <c r="K115" s="91">
        <v>52</v>
      </c>
    </row>
    <row r="134" spans="1:8">
      <c r="A134" s="79" t="s">
        <v>157</v>
      </c>
    </row>
    <row r="135" spans="1:8">
      <c r="B135" s="84" t="s">
        <v>140</v>
      </c>
      <c r="C135" s="84" t="s">
        <v>158</v>
      </c>
      <c r="D135" s="84" t="s">
        <v>159</v>
      </c>
      <c r="E135" s="84" t="s">
        <v>160</v>
      </c>
      <c r="F135" s="84" t="s">
        <v>161</v>
      </c>
      <c r="G135" s="84" t="s">
        <v>162</v>
      </c>
      <c r="H135" s="84" t="s">
        <v>163</v>
      </c>
    </row>
    <row r="136" spans="1:8">
      <c r="B136" s="85" t="s">
        <v>16</v>
      </c>
      <c r="C136" s="109">
        <f ca="1">IFERROR(__xludf.DUMMYFUNCTION("GOOGLEFINANCE(""nse:""&amp;B136,""price"")"),1284.5)</f>
        <v>1284.5</v>
      </c>
      <c r="D136" s="19">
        <v>153</v>
      </c>
      <c r="E136" s="19">
        <v>15.8</v>
      </c>
      <c r="F136" s="110">
        <f t="shared" ref="F136:F139" ca="1" si="0">(C136/D136)^(1/10)-1</f>
        <v>0.23709846430101456</v>
      </c>
      <c r="G136" s="46">
        <f t="shared" ref="G136:G139" ca="1" si="1">(C136/E136)^(1/20)-1</f>
        <v>0.24595928569709935</v>
      </c>
      <c r="H136" s="46">
        <f>9/E136</f>
        <v>0.56962025316455689</v>
      </c>
    </row>
    <row r="137" spans="1:8">
      <c r="B137" s="85" t="s">
        <v>144</v>
      </c>
      <c r="C137" s="109">
        <f ca="1">IFERROR(__xludf.DUMMYFUNCTION("GOOGLEFINANCE(""nse:""&amp;B137,""price"")"),633.9)</f>
        <v>633.9</v>
      </c>
      <c r="D137" s="19">
        <v>137</v>
      </c>
      <c r="E137" s="19">
        <v>6.6</v>
      </c>
      <c r="F137" s="110">
        <f t="shared" ca="1" si="0"/>
        <v>0.16554761077624325</v>
      </c>
      <c r="G137" s="46">
        <f t="shared" ca="1" si="1"/>
        <v>0.25638817674179259</v>
      </c>
      <c r="H137" s="46">
        <f>3/E137</f>
        <v>0.45454545454545459</v>
      </c>
    </row>
    <row r="138" spans="1:8">
      <c r="B138" s="85" t="s">
        <v>145</v>
      </c>
      <c r="C138" s="109">
        <f ca="1">IFERROR(__xludf.DUMMYFUNCTION("GOOGLEFINANCE(""nse:""&amp;B138,""price"")"),64.25)</f>
        <v>64.25</v>
      </c>
      <c r="D138" s="19">
        <v>16.399999999999999</v>
      </c>
      <c r="E138" s="19">
        <v>87</v>
      </c>
      <c r="F138" s="110">
        <f t="shared" ca="1" si="0"/>
        <v>0.14631223653775915</v>
      </c>
      <c r="G138" s="46">
        <f t="shared" ca="1" si="1"/>
        <v>-1.504204080770799E-2</v>
      </c>
      <c r="H138" s="19">
        <v>0</v>
      </c>
    </row>
    <row r="139" spans="1:8">
      <c r="B139" s="87" t="s">
        <v>146</v>
      </c>
      <c r="C139" s="111">
        <f ca="1">IFERROR(__xludf.DUMMYFUNCTION("GOOGLEFINANCE(""nse:""&amp;B139,""price"")"),365.3)</f>
        <v>365.3</v>
      </c>
      <c r="D139" s="81">
        <v>52</v>
      </c>
      <c r="E139" s="81">
        <v>74</v>
      </c>
      <c r="F139" s="112">
        <f t="shared" ca="1" si="0"/>
        <v>0.21524721049228823</v>
      </c>
      <c r="G139" s="113">
        <f t="shared" ca="1" si="1"/>
        <v>8.3105840275396581E-2</v>
      </c>
      <c r="H139" s="113">
        <f>1/E139</f>
        <v>1.3513513513513514E-2</v>
      </c>
    </row>
    <row r="157" spans="1:8">
      <c r="A157" s="79" t="s">
        <v>22</v>
      </c>
    </row>
    <row r="158" spans="1:8">
      <c r="B158" s="84" t="s">
        <v>140</v>
      </c>
      <c r="C158" s="84" t="s">
        <v>164</v>
      </c>
      <c r="D158" s="84" t="s">
        <v>35</v>
      </c>
      <c r="G158" s="84" t="s">
        <v>140</v>
      </c>
      <c r="H158" s="84" t="s">
        <v>33</v>
      </c>
    </row>
    <row r="159" spans="1:8">
      <c r="B159" s="85" t="s">
        <v>16</v>
      </c>
      <c r="C159" s="80">
        <v>48</v>
      </c>
      <c r="D159" s="80">
        <v>8</v>
      </c>
      <c r="G159" s="85" t="s">
        <v>16</v>
      </c>
      <c r="H159" s="93">
        <v>2.0899999999999998E-2</v>
      </c>
    </row>
    <row r="160" spans="1:8">
      <c r="B160" s="85" t="s">
        <v>144</v>
      </c>
      <c r="C160" s="80">
        <v>30</v>
      </c>
      <c r="D160" s="80">
        <v>3</v>
      </c>
      <c r="G160" s="85" t="s">
        <v>144</v>
      </c>
      <c r="H160" s="93">
        <v>3.3300000000000003E-2</v>
      </c>
    </row>
    <row r="161" spans="2:8">
      <c r="B161" s="85" t="s">
        <v>145</v>
      </c>
      <c r="C161" s="80">
        <v>-15</v>
      </c>
      <c r="D161" s="80">
        <v>1</v>
      </c>
      <c r="G161" s="85" t="s">
        <v>145</v>
      </c>
      <c r="H161" s="93">
        <v>-6.6699999999999995E-2</v>
      </c>
    </row>
    <row r="162" spans="2:8">
      <c r="B162" s="87" t="s">
        <v>146</v>
      </c>
      <c r="C162" s="88">
        <v>230</v>
      </c>
      <c r="D162" s="88">
        <v>2</v>
      </c>
      <c r="G162" s="87" t="s">
        <v>146</v>
      </c>
      <c r="H162" s="107">
        <v>4.4000000000000003E-3</v>
      </c>
    </row>
    <row r="164" spans="2:8">
      <c r="B164" s="98" t="s">
        <v>125</v>
      </c>
      <c r="C164" s="106">
        <v>39</v>
      </c>
      <c r="D164" s="82">
        <v>8</v>
      </c>
      <c r="G164" s="98" t="s">
        <v>125</v>
      </c>
      <c r="H164" s="114">
        <v>0.02</v>
      </c>
    </row>
    <row r="182" spans="1:41">
      <c r="A182" s="79" t="s">
        <v>80</v>
      </c>
    </row>
    <row r="184" spans="1:41">
      <c r="A184" s="79" t="s">
        <v>165</v>
      </c>
      <c r="B184" s="115" t="s">
        <v>140</v>
      </c>
      <c r="C184" s="115" t="s">
        <v>158</v>
      </c>
      <c r="D184" s="115" t="s">
        <v>141</v>
      </c>
      <c r="E184" s="115" t="s">
        <v>166</v>
      </c>
      <c r="F184" s="115" t="s">
        <v>167</v>
      </c>
      <c r="G184" s="115" t="s">
        <v>168</v>
      </c>
      <c r="H184" s="115" t="s">
        <v>169</v>
      </c>
      <c r="I184" s="115" t="s">
        <v>170</v>
      </c>
      <c r="J184" s="115" t="s">
        <v>171</v>
      </c>
      <c r="K184" s="115" t="s">
        <v>172</v>
      </c>
      <c r="L184" s="115" t="s">
        <v>173</v>
      </c>
      <c r="M184" s="115" t="s">
        <v>6</v>
      </c>
      <c r="N184" s="115" t="s">
        <v>174</v>
      </c>
      <c r="O184" s="115" t="s">
        <v>175</v>
      </c>
      <c r="P184" s="115" t="s">
        <v>176</v>
      </c>
      <c r="Q184" s="115" t="s">
        <v>142</v>
      </c>
      <c r="R184" s="115" t="s">
        <v>143</v>
      </c>
      <c r="S184" s="115" t="s">
        <v>177</v>
      </c>
      <c r="T184" s="115" t="s">
        <v>178</v>
      </c>
      <c r="U184" s="115" t="s">
        <v>179</v>
      </c>
      <c r="V184" s="115" t="s">
        <v>180</v>
      </c>
      <c r="W184" s="116" t="s">
        <v>89</v>
      </c>
      <c r="X184" s="115" t="s">
        <v>181</v>
      </c>
      <c r="Y184" s="117" t="s">
        <v>153</v>
      </c>
      <c r="Z184" s="117" t="s">
        <v>182</v>
      </c>
      <c r="AA184" s="117" t="s">
        <v>152</v>
      </c>
      <c r="AB184" s="117" t="s">
        <v>154</v>
      </c>
      <c r="AC184" s="117" t="s">
        <v>183</v>
      </c>
      <c r="AD184" s="118" t="s">
        <v>29</v>
      </c>
      <c r="AE184" s="117" t="s">
        <v>155</v>
      </c>
      <c r="AF184" s="118" t="s">
        <v>156</v>
      </c>
      <c r="AG184" s="119" t="s">
        <v>27</v>
      </c>
      <c r="AH184" s="117" t="s">
        <v>28</v>
      </c>
      <c r="AI184" s="117" t="s">
        <v>30</v>
      </c>
      <c r="AJ184" s="117" t="s">
        <v>184</v>
      </c>
      <c r="AK184" s="117" t="s">
        <v>31</v>
      </c>
      <c r="AL184" s="117" t="s">
        <v>164</v>
      </c>
      <c r="AM184" s="117" t="s">
        <v>33</v>
      </c>
      <c r="AN184" s="117" t="s">
        <v>34</v>
      </c>
      <c r="AO184" s="117" t="s">
        <v>35</v>
      </c>
    </row>
    <row r="185" spans="1:41">
      <c r="A185" s="120">
        <v>500233</v>
      </c>
      <c r="B185" s="121" t="s">
        <v>16</v>
      </c>
      <c r="C185" s="122">
        <v>1285.5</v>
      </c>
      <c r="D185" s="104">
        <v>20457</v>
      </c>
      <c r="E185" s="122">
        <v>1690.31</v>
      </c>
      <c r="F185" s="122">
        <v>652.62</v>
      </c>
      <c r="G185" s="122">
        <v>3408.05</v>
      </c>
      <c r="H185" s="122">
        <v>841.57</v>
      </c>
      <c r="I185" s="122">
        <v>15.93</v>
      </c>
      <c r="J185" s="122">
        <v>2566.48</v>
      </c>
      <c r="K185" s="122">
        <v>125.02</v>
      </c>
      <c r="L185" s="122">
        <v>556.42999999999995</v>
      </c>
      <c r="M185" s="122">
        <v>1</v>
      </c>
      <c r="N185" s="122">
        <v>26.83</v>
      </c>
      <c r="O185" s="123">
        <v>0.78990000000000005</v>
      </c>
      <c r="P185" s="122">
        <v>2711</v>
      </c>
      <c r="Q185" s="122">
        <v>4382</v>
      </c>
      <c r="R185" s="122">
        <v>346</v>
      </c>
      <c r="S185" s="122">
        <v>3337</v>
      </c>
      <c r="T185" s="122">
        <v>3177</v>
      </c>
      <c r="U185" s="122">
        <v>328</v>
      </c>
      <c r="V185" s="122">
        <v>235</v>
      </c>
      <c r="W185" s="122">
        <v>22</v>
      </c>
      <c r="X185" s="122">
        <v>3945</v>
      </c>
      <c r="Y185" s="123">
        <v>5.04E-2</v>
      </c>
      <c r="Z185" s="123">
        <v>0.3957</v>
      </c>
      <c r="AA185" s="123">
        <f t="shared" ref="AA185:AA193" si="2">(Q185/P185)^(1/5)-1</f>
        <v>0.10080038080466114</v>
      </c>
      <c r="AB185" s="123">
        <f t="shared" ref="AB185:AB193" si="3">R185/Q185</f>
        <v>7.8959379278868091E-2</v>
      </c>
      <c r="AC185" s="123">
        <v>9.8299999999999998E-2</v>
      </c>
      <c r="AD185" s="104">
        <v>21</v>
      </c>
      <c r="AE185" s="124">
        <v>2.59</v>
      </c>
      <c r="AF185" s="104">
        <v>46</v>
      </c>
      <c r="AG185" s="124">
        <v>0.05</v>
      </c>
      <c r="AH185" s="124">
        <v>0.25</v>
      </c>
      <c r="AI185" s="123">
        <v>0.1348</v>
      </c>
      <c r="AJ185" s="104">
        <v>22</v>
      </c>
      <c r="AK185" s="123">
        <v>0.10150000000000001</v>
      </c>
      <c r="AL185" s="104">
        <v>48</v>
      </c>
      <c r="AM185" s="123">
        <v>2.0899999999999998E-2</v>
      </c>
      <c r="AN185" s="104">
        <v>162</v>
      </c>
      <c r="AO185" s="104">
        <v>8</v>
      </c>
    </row>
    <row r="186" spans="1:41">
      <c r="A186" s="120">
        <v>531548</v>
      </c>
      <c r="B186" s="121" t="s">
        <v>144</v>
      </c>
      <c r="C186" s="122">
        <v>638.20000000000005</v>
      </c>
      <c r="D186" s="104">
        <v>2615</v>
      </c>
      <c r="E186" s="122">
        <v>825</v>
      </c>
      <c r="F186" s="122">
        <v>742</v>
      </c>
      <c r="G186" s="122">
        <v>1979</v>
      </c>
      <c r="H186" s="122">
        <v>1058</v>
      </c>
      <c r="I186" s="122">
        <v>8</v>
      </c>
      <c r="J186" s="122">
        <v>920</v>
      </c>
      <c r="K186" s="122">
        <v>327</v>
      </c>
      <c r="L186" s="122">
        <v>267</v>
      </c>
      <c r="M186" s="122">
        <v>2</v>
      </c>
      <c r="N186" s="122">
        <v>21.24</v>
      </c>
      <c r="O186" s="123">
        <v>0.10100000000000001</v>
      </c>
      <c r="P186" s="122">
        <v>1708</v>
      </c>
      <c r="Q186" s="122">
        <v>2478</v>
      </c>
      <c r="R186" s="122">
        <v>67</v>
      </c>
      <c r="S186" s="122">
        <v>1843</v>
      </c>
      <c r="T186" s="122">
        <v>1789</v>
      </c>
      <c r="U186" s="122">
        <v>65</v>
      </c>
      <c r="V186" s="122">
        <v>42</v>
      </c>
      <c r="W186" s="122">
        <v>40</v>
      </c>
      <c r="X186" s="122">
        <v>2398</v>
      </c>
      <c r="Y186" s="123">
        <v>3.0200000000000001E-2</v>
      </c>
      <c r="Z186" s="123">
        <v>0.54759999999999998</v>
      </c>
      <c r="AA186" s="123">
        <f t="shared" si="2"/>
        <v>7.7265340207721689E-2</v>
      </c>
      <c r="AB186" s="123">
        <f t="shared" si="3"/>
        <v>2.7037933817594836E-2</v>
      </c>
      <c r="AC186" s="123">
        <v>3.5299999999999998E-2</v>
      </c>
      <c r="AD186" s="104">
        <v>3</v>
      </c>
      <c r="AE186" s="124">
        <v>1.1100000000000001</v>
      </c>
      <c r="AF186" s="104">
        <v>39</v>
      </c>
      <c r="AG186" s="124">
        <v>0.36</v>
      </c>
      <c r="AH186" s="124">
        <v>0.53</v>
      </c>
      <c r="AI186" s="123">
        <v>7.2800000000000004E-2</v>
      </c>
      <c r="AJ186" s="104">
        <v>8</v>
      </c>
      <c r="AK186" s="123">
        <v>3.39E-2</v>
      </c>
      <c r="AL186" s="104">
        <v>30</v>
      </c>
      <c r="AM186" s="123">
        <v>3.3300000000000003E-2</v>
      </c>
      <c r="AN186" s="104">
        <v>232</v>
      </c>
      <c r="AO186" s="104">
        <v>3</v>
      </c>
    </row>
    <row r="187" spans="1:41">
      <c r="A187" s="120">
        <v>532888</v>
      </c>
      <c r="B187" s="121" t="s">
        <v>145</v>
      </c>
      <c r="C187" s="122">
        <v>64.59</v>
      </c>
      <c r="D187" s="104">
        <v>819</v>
      </c>
      <c r="E187" s="122">
        <v>929</v>
      </c>
      <c r="F187" s="122">
        <v>395</v>
      </c>
      <c r="G187" s="122">
        <v>1687</v>
      </c>
      <c r="H187" s="122">
        <v>427</v>
      </c>
      <c r="I187" s="122">
        <v>127</v>
      </c>
      <c r="J187" s="122">
        <v>1259</v>
      </c>
      <c r="K187" s="122">
        <v>86</v>
      </c>
      <c r="L187" s="122">
        <v>389</v>
      </c>
      <c r="M187" s="122">
        <v>10</v>
      </c>
      <c r="N187" s="122">
        <v>-4.3099999999999996</v>
      </c>
      <c r="O187" s="123">
        <v>3.1600000000000003E-2</v>
      </c>
      <c r="P187" s="122">
        <v>1171</v>
      </c>
      <c r="Q187" s="122">
        <v>1563</v>
      </c>
      <c r="R187" s="122">
        <v>-87</v>
      </c>
      <c r="S187" s="122">
        <v>1106</v>
      </c>
      <c r="T187" s="122">
        <v>1106</v>
      </c>
      <c r="U187" s="122">
        <v>-14</v>
      </c>
      <c r="V187" s="122">
        <v>-38</v>
      </c>
      <c r="W187" s="122">
        <v>27</v>
      </c>
      <c r="X187" s="122">
        <v>1691</v>
      </c>
      <c r="Y187" s="123">
        <v>0</v>
      </c>
      <c r="Z187" s="123">
        <v>0.63</v>
      </c>
      <c r="AA187" s="123">
        <f t="shared" si="2"/>
        <v>5.9449881154982398E-2</v>
      </c>
      <c r="AB187" s="123">
        <f t="shared" si="3"/>
        <v>-5.5662188099808059E-2</v>
      </c>
      <c r="AC187" s="123">
        <v>-1.2699999999999999E-2</v>
      </c>
      <c r="AD187" s="104">
        <v>-4</v>
      </c>
      <c r="AE187" s="124">
        <v>2.35</v>
      </c>
      <c r="AF187" s="104">
        <v>91</v>
      </c>
      <c r="AG187" s="124">
        <v>7.0000000000000007E-2</v>
      </c>
      <c r="AH187" s="124">
        <v>0.25</v>
      </c>
      <c r="AI187" s="123">
        <v>-6.9099999999999995E-2</v>
      </c>
      <c r="AJ187" s="104">
        <v>-1</v>
      </c>
      <c r="AK187" s="123">
        <v>-5.16E-2</v>
      </c>
      <c r="AL187" s="104">
        <v>-15</v>
      </c>
      <c r="AM187" s="123">
        <v>-6.6699999999999995E-2</v>
      </c>
      <c r="AN187" s="104">
        <v>109</v>
      </c>
      <c r="AO187" s="104">
        <v>1</v>
      </c>
    </row>
    <row r="188" spans="1:41">
      <c r="A188" s="120">
        <v>530365</v>
      </c>
      <c r="B188" s="121" t="s">
        <v>146</v>
      </c>
      <c r="C188" s="122">
        <v>365.5</v>
      </c>
      <c r="D188" s="104">
        <v>530</v>
      </c>
      <c r="E188" s="122">
        <v>197</v>
      </c>
      <c r="F188" s="122">
        <v>136</v>
      </c>
      <c r="G188" s="122">
        <v>498</v>
      </c>
      <c r="H188" s="122">
        <v>188</v>
      </c>
      <c r="I188" s="122">
        <v>15</v>
      </c>
      <c r="J188" s="122">
        <v>310</v>
      </c>
      <c r="K188" s="122">
        <v>19</v>
      </c>
      <c r="L188" s="122">
        <v>93</v>
      </c>
      <c r="M188" s="122">
        <v>10</v>
      </c>
      <c r="N188" s="122">
        <v>1.59</v>
      </c>
      <c r="O188" s="123">
        <v>2.0500000000000001E-2</v>
      </c>
      <c r="P188" s="122">
        <v>659</v>
      </c>
      <c r="Q188" s="122">
        <v>705</v>
      </c>
      <c r="R188" s="122">
        <v>22</v>
      </c>
      <c r="S188" s="122">
        <v>462</v>
      </c>
      <c r="T188" s="122">
        <v>500</v>
      </c>
      <c r="U188" s="122">
        <v>-4</v>
      </c>
      <c r="V188" s="122">
        <v>16</v>
      </c>
      <c r="W188" s="122">
        <v>2.5</v>
      </c>
      <c r="X188" s="122">
        <v>681</v>
      </c>
      <c r="Y188" s="123">
        <v>-7.5999999999999998E-2</v>
      </c>
      <c r="Z188" s="123">
        <v>-1.25</v>
      </c>
      <c r="AA188" s="123">
        <f t="shared" si="2"/>
        <v>1.3586320178939459E-2</v>
      </c>
      <c r="AB188" s="123">
        <f t="shared" si="3"/>
        <v>3.1205673758865248E-2</v>
      </c>
      <c r="AC188" s="123">
        <v>-8.6999999999999994E-3</v>
      </c>
      <c r="AD188" s="104">
        <v>11</v>
      </c>
      <c r="AE188" s="124">
        <v>1.45</v>
      </c>
      <c r="AF188" s="104">
        <v>48</v>
      </c>
      <c r="AG188" s="124">
        <v>0.06</v>
      </c>
      <c r="AH188" s="124">
        <v>0.38</v>
      </c>
      <c r="AI188" s="123">
        <v>7.0999999999999994E-2</v>
      </c>
      <c r="AJ188" s="104">
        <v>1</v>
      </c>
      <c r="AK188" s="123">
        <v>4.4200000000000003E-2</v>
      </c>
      <c r="AL188" s="104">
        <v>230</v>
      </c>
      <c r="AM188" s="123">
        <v>4.4000000000000003E-3</v>
      </c>
      <c r="AN188" s="104">
        <v>217</v>
      </c>
      <c r="AO188" s="104">
        <v>2</v>
      </c>
    </row>
    <row r="189" spans="1:41">
      <c r="A189" s="120">
        <v>543327</v>
      </c>
      <c r="B189" s="121" t="s">
        <v>147</v>
      </c>
      <c r="C189" s="122">
        <v>112.45</v>
      </c>
      <c r="D189" s="104">
        <v>503</v>
      </c>
      <c r="E189" s="18"/>
      <c r="F189" s="18"/>
      <c r="G189" s="18"/>
      <c r="H189" s="18"/>
      <c r="I189" s="18"/>
      <c r="J189" s="18"/>
      <c r="K189" s="18"/>
      <c r="L189" s="18"/>
      <c r="M189" s="18"/>
      <c r="N189" s="125"/>
      <c r="O189" s="123">
        <v>1.9400000000000001E-2</v>
      </c>
      <c r="P189" s="18">
        <v>220</v>
      </c>
      <c r="Q189" s="18">
        <v>316</v>
      </c>
      <c r="R189" s="18">
        <v>2.97</v>
      </c>
      <c r="S189" s="18"/>
      <c r="T189" s="18"/>
      <c r="U189" s="18"/>
      <c r="V189" s="18"/>
      <c r="W189" s="18"/>
      <c r="X189" s="18"/>
      <c r="Y189" s="18"/>
      <c r="Z189" s="18"/>
      <c r="AA189" s="123">
        <f t="shared" si="2"/>
        <v>7.5109947879521854E-2</v>
      </c>
      <c r="AB189" s="123">
        <f t="shared" si="3"/>
        <v>9.398734177215191E-3</v>
      </c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</row>
    <row r="190" spans="1:41">
      <c r="A190" s="120">
        <v>532722</v>
      </c>
      <c r="B190" s="121" t="s">
        <v>148</v>
      </c>
      <c r="C190" s="122">
        <v>70</v>
      </c>
      <c r="D190" s="104">
        <v>491</v>
      </c>
      <c r="E190" s="18"/>
      <c r="F190" s="18"/>
      <c r="G190" s="18"/>
      <c r="H190" s="18"/>
      <c r="I190" s="18"/>
      <c r="J190" s="18"/>
      <c r="K190" s="18"/>
      <c r="L190" s="18"/>
      <c r="M190" s="18"/>
      <c r="N190" s="125"/>
      <c r="O190" s="123">
        <v>1.9E-2</v>
      </c>
      <c r="P190" s="18">
        <v>610</v>
      </c>
      <c r="Q190" s="18">
        <v>384</v>
      </c>
      <c r="R190" s="18">
        <v>-151</v>
      </c>
      <c r="S190" s="18"/>
      <c r="T190" s="18"/>
      <c r="U190" s="18"/>
      <c r="V190" s="18"/>
      <c r="W190" s="18"/>
      <c r="X190" s="18"/>
      <c r="Y190" s="18"/>
      <c r="Z190" s="18"/>
      <c r="AA190" s="123">
        <f t="shared" si="2"/>
        <v>-8.8408477207311931E-2</v>
      </c>
      <c r="AB190" s="123">
        <f t="shared" si="3"/>
        <v>-0.39322916666666669</v>
      </c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</row>
    <row r="191" spans="1:41">
      <c r="A191" s="120">
        <v>515037</v>
      </c>
      <c r="B191" s="121" t="s">
        <v>149</v>
      </c>
      <c r="C191" s="122">
        <v>59.02</v>
      </c>
      <c r="D191" s="104">
        <v>357</v>
      </c>
      <c r="E191" s="18"/>
      <c r="F191" s="18"/>
      <c r="G191" s="18"/>
      <c r="H191" s="18"/>
      <c r="I191" s="18"/>
      <c r="J191" s="18"/>
      <c r="K191" s="18"/>
      <c r="L191" s="18"/>
      <c r="M191" s="18"/>
      <c r="N191" s="125"/>
      <c r="O191" s="123">
        <v>1.38E-2</v>
      </c>
      <c r="P191" s="18">
        <v>119</v>
      </c>
      <c r="Q191" s="18">
        <v>170</v>
      </c>
      <c r="R191" s="18">
        <v>7</v>
      </c>
      <c r="S191" s="18"/>
      <c r="T191" s="18"/>
      <c r="U191" s="18"/>
      <c r="V191" s="18"/>
      <c r="W191" s="18"/>
      <c r="X191" s="18"/>
      <c r="Y191" s="18"/>
      <c r="Z191" s="18"/>
      <c r="AA191" s="123">
        <f t="shared" si="2"/>
        <v>7.3940923785779322E-2</v>
      </c>
      <c r="AB191" s="123">
        <f t="shared" si="3"/>
        <v>4.1176470588235294E-2</v>
      </c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</row>
    <row r="192" spans="1:41">
      <c r="A192" s="120">
        <v>515018</v>
      </c>
      <c r="B192" s="121" t="s">
        <v>150</v>
      </c>
      <c r="C192" s="122">
        <v>32.799999999999997</v>
      </c>
      <c r="D192" s="104">
        <v>83</v>
      </c>
      <c r="E192" s="18"/>
      <c r="F192" s="18"/>
      <c r="G192" s="18"/>
      <c r="H192" s="18"/>
      <c r="I192" s="18"/>
      <c r="J192" s="18"/>
      <c r="K192" s="18"/>
      <c r="L192" s="18"/>
      <c r="M192" s="18"/>
      <c r="N192" s="125"/>
      <c r="O192" s="123">
        <v>3.2000000000000002E-3</v>
      </c>
      <c r="P192" s="18">
        <v>0</v>
      </c>
      <c r="Q192" s="18">
        <v>0</v>
      </c>
      <c r="R192" s="18">
        <v>-16</v>
      </c>
      <c r="S192" s="18"/>
      <c r="T192" s="18"/>
      <c r="U192" s="18"/>
      <c r="V192" s="18"/>
      <c r="W192" s="18"/>
      <c r="X192" s="18"/>
      <c r="Y192" s="18"/>
      <c r="Z192" s="18"/>
      <c r="AA192" s="123" t="e">
        <f t="shared" si="2"/>
        <v>#DIV/0!</v>
      </c>
      <c r="AB192" s="123" t="e">
        <f t="shared" si="3"/>
        <v>#DIV/0!</v>
      </c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</row>
    <row r="193" spans="1:66">
      <c r="A193" s="120">
        <v>515085</v>
      </c>
      <c r="B193" s="121" t="s">
        <v>151</v>
      </c>
      <c r="C193" s="122">
        <v>4.4400000000000004</v>
      </c>
      <c r="D193" s="104">
        <v>44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25"/>
      <c r="O193" s="123">
        <v>1.6999999999999999E-3</v>
      </c>
      <c r="P193" s="18">
        <v>0.66</v>
      </c>
      <c r="Q193" s="18">
        <v>1.97</v>
      </c>
      <c r="R193" s="18">
        <v>-0.67</v>
      </c>
      <c r="S193" s="18"/>
      <c r="T193" s="18"/>
      <c r="U193" s="18"/>
      <c r="V193" s="18"/>
      <c r="W193" s="18"/>
      <c r="X193" s="18"/>
      <c r="Y193" s="18"/>
      <c r="Z193" s="18"/>
      <c r="AA193" s="123">
        <f t="shared" si="2"/>
        <v>0.24447007575593416</v>
      </c>
      <c r="AB193" s="123">
        <f t="shared" si="3"/>
        <v>-0.34010152284263961</v>
      </c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</row>
    <row r="194" spans="1:66"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7"/>
      <c r="AV194" s="97"/>
      <c r="AW194" s="97"/>
      <c r="AX194" s="97"/>
      <c r="AY194" s="97"/>
      <c r="AZ194" s="97"/>
      <c r="BA194" s="97"/>
      <c r="BB194" s="97"/>
      <c r="BC194" s="97"/>
      <c r="BD194" s="97"/>
      <c r="BE194" s="97"/>
      <c r="BF194" s="97"/>
      <c r="BG194" s="97"/>
      <c r="BH194" s="97"/>
      <c r="BI194" s="97"/>
      <c r="BJ194" s="97"/>
      <c r="BK194" s="97"/>
      <c r="BL194" s="97"/>
      <c r="BM194" s="97"/>
      <c r="BN194" s="97"/>
    </row>
    <row r="195" spans="1:66">
      <c r="A195" s="126"/>
      <c r="B195" s="127" t="s">
        <v>125</v>
      </c>
      <c r="C195" s="128"/>
      <c r="D195" s="129">
        <f t="shared" ref="D195:L195" si="4">SUM(D185:D193)</f>
        <v>25899</v>
      </c>
      <c r="E195" s="129">
        <f t="shared" si="4"/>
        <v>3641.31</v>
      </c>
      <c r="F195" s="129">
        <f t="shared" si="4"/>
        <v>1925.62</v>
      </c>
      <c r="G195" s="129">
        <f t="shared" si="4"/>
        <v>7572.05</v>
      </c>
      <c r="H195" s="129">
        <f t="shared" si="4"/>
        <v>2514.5700000000002</v>
      </c>
      <c r="I195" s="129">
        <f t="shared" si="4"/>
        <v>165.93</v>
      </c>
      <c r="J195" s="129">
        <f t="shared" si="4"/>
        <v>5055.4799999999996</v>
      </c>
      <c r="K195" s="129">
        <f t="shared" si="4"/>
        <v>557.02</v>
      </c>
      <c r="L195" s="129">
        <f t="shared" si="4"/>
        <v>1305.4299999999998</v>
      </c>
      <c r="M195" s="130"/>
      <c r="N195" s="129">
        <f t="shared" ref="N195:X195" si="5">SUM(N185:N193)</f>
        <v>45.349999999999994</v>
      </c>
      <c r="O195" s="131">
        <f t="shared" si="5"/>
        <v>1.0001</v>
      </c>
      <c r="P195" s="129">
        <f t="shared" si="5"/>
        <v>7198.66</v>
      </c>
      <c r="Q195" s="129">
        <f t="shared" si="5"/>
        <v>9999.9699999999993</v>
      </c>
      <c r="R195" s="129">
        <f t="shared" si="5"/>
        <v>190.30000000000004</v>
      </c>
      <c r="S195" s="129">
        <f t="shared" si="5"/>
        <v>6748</v>
      </c>
      <c r="T195" s="129">
        <f t="shared" si="5"/>
        <v>6572</v>
      </c>
      <c r="U195" s="129">
        <f t="shared" si="5"/>
        <v>375</v>
      </c>
      <c r="V195" s="129">
        <f t="shared" si="5"/>
        <v>255</v>
      </c>
      <c r="W195" s="129">
        <f t="shared" si="5"/>
        <v>91.5</v>
      </c>
      <c r="X195" s="129">
        <f t="shared" si="5"/>
        <v>8715</v>
      </c>
      <c r="Y195" s="132">
        <v>2.6800000000000001E-2</v>
      </c>
      <c r="Z195" s="133"/>
      <c r="AA195" s="123">
        <f>(Q195/P195)^(1/5)-1</f>
        <v>6.7946279393862996E-2</v>
      </c>
      <c r="AB195" s="123">
        <f>R195/Q195</f>
        <v>1.9030057090171276E-2</v>
      </c>
      <c r="AC195" s="132">
        <v>5.5599999999999997E-2</v>
      </c>
      <c r="AD195" s="129">
        <v>6</v>
      </c>
      <c r="AE195" s="134">
        <v>1.89</v>
      </c>
      <c r="AF195" s="129">
        <v>52</v>
      </c>
      <c r="AG195" s="134">
        <v>0.11</v>
      </c>
      <c r="AH195" s="134">
        <v>0.33</v>
      </c>
      <c r="AI195" s="132">
        <v>6.88E-2</v>
      </c>
      <c r="AJ195" s="129">
        <v>2</v>
      </c>
      <c r="AK195" s="132">
        <v>4.5999999999999999E-2</v>
      </c>
      <c r="AL195" s="135">
        <f>MEDIAN(AL185:AL188)</f>
        <v>39</v>
      </c>
      <c r="AM195" s="132">
        <v>2.0899999999999998E-2</v>
      </c>
      <c r="AN195" s="129">
        <v>31</v>
      </c>
      <c r="AO195" s="129">
        <v>8</v>
      </c>
    </row>
    <row r="197" spans="1:66">
      <c r="B197" s="136" t="s">
        <v>185</v>
      </c>
      <c r="C197" s="70"/>
      <c r="D197" s="70"/>
      <c r="E197" s="70"/>
      <c r="F197" s="70"/>
      <c r="G197" s="70"/>
      <c r="H197" s="70"/>
      <c r="I197" s="70"/>
      <c r="J197" s="70"/>
      <c r="K197" s="70"/>
      <c r="L197" s="71"/>
    </row>
    <row r="198" spans="1:66">
      <c r="B198" s="72"/>
      <c r="C198" s="39"/>
      <c r="D198" s="39"/>
      <c r="E198" s="39"/>
      <c r="F198" s="39"/>
      <c r="G198" s="39"/>
      <c r="H198" s="39"/>
      <c r="I198" s="39"/>
      <c r="J198" s="39"/>
      <c r="K198" s="39"/>
      <c r="L198" s="73"/>
    </row>
    <row r="199" spans="1:66">
      <c r="B199" s="72"/>
      <c r="C199" s="39"/>
      <c r="D199" s="39"/>
      <c r="E199" s="39"/>
      <c r="F199" s="39"/>
      <c r="G199" s="39"/>
      <c r="H199" s="39"/>
      <c r="I199" s="39"/>
      <c r="J199" s="39"/>
      <c r="K199" s="39"/>
      <c r="L199" s="73"/>
    </row>
    <row r="200" spans="1:66">
      <c r="B200" s="74"/>
      <c r="C200" s="75"/>
      <c r="D200" s="75"/>
      <c r="E200" s="75"/>
      <c r="F200" s="75"/>
      <c r="G200" s="75"/>
      <c r="H200" s="75"/>
      <c r="I200" s="75"/>
      <c r="J200" s="75"/>
      <c r="K200" s="75"/>
      <c r="L200" s="76"/>
    </row>
  </sheetData>
  <autoFilter ref="A184:AO193" xr:uid="{00000000-0009-0000-0000-000002000000}">
    <sortState xmlns:xlrd2="http://schemas.microsoft.com/office/spreadsheetml/2017/richdata2" ref="A184:AO193">
      <sortCondition descending="1" ref="D184:D193"/>
    </sortState>
  </autoFilter>
  <mergeCells count="2">
    <mergeCell ref="B2:L5"/>
    <mergeCell ref="B197:L200"/>
  </mergeCells>
  <conditionalFormatting sqref="C34:C42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65:C73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79:C82">
    <cfRule type="colorScale" priority="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105:C113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59:C162">
    <cfRule type="colorScale" priority="1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D159:D162">
    <cfRule type="colorScale" priority="1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G34:G42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79:G82">
    <cfRule type="colorScale" priority="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G105:G108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59:H162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65:I73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34:K42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79:K82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05:K108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hyperlinks>
    <hyperlink ref="B197" r:id="rId1" xr:uid="{7D52E242-5C6A-497B-92D5-81A128BE16C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kajariacer</vt:lpstr>
      <vt:lpstr>CERAMICS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2024-03-05T03:10:54Z</dcterms:created>
  <dcterms:modified xsi:type="dcterms:W3CDTF">2024-03-05T03:11:27Z</dcterms:modified>
</cp:coreProperties>
</file>