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2_fy25\"/>
    </mc:Choice>
  </mc:AlternateContent>
  <xr:revisionPtr revIDLastSave="0" documentId="8_{34E81D3E-997A-4816-8BD1-4B56AACDA2F5}" xr6:coauthVersionLast="47" xr6:coauthVersionMax="47" xr10:uidLastSave="{00000000-0000-0000-0000-000000000000}"/>
  <bookViews>
    <workbookView xWindow="-108" yWindow="-108" windowWidth="23256" windowHeight="12456" xr2:uid="{7415B13D-64E6-4325-8211-935FF340A96D}"/>
  </bookViews>
  <sheets>
    <sheet name="TATAELXSI" sheetId="1" r:id="rId1"/>
    <sheet name="Computers_Software &amp; Consulting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7" i="2" l="1"/>
  <c r="D257" i="2"/>
  <c r="F257" i="2" s="1"/>
  <c r="F253" i="2"/>
  <c r="F252" i="2"/>
  <c r="F250" i="2"/>
  <c r="K72" i="2"/>
  <c r="J47" i="2"/>
  <c r="I47" i="2"/>
  <c r="Q20" i="2"/>
  <c r="I20" i="2"/>
  <c r="I19" i="2"/>
  <c r="I18" i="2"/>
  <c r="I17" i="2"/>
  <c r="I16" i="2"/>
  <c r="I15" i="2"/>
  <c r="I14" i="2"/>
  <c r="I13" i="2"/>
  <c r="I12" i="2"/>
  <c r="I11" i="2"/>
  <c r="I10" i="2"/>
  <c r="B10" i="2"/>
  <c r="L8" i="2"/>
  <c r="I8" i="2"/>
  <c r="I6" i="2"/>
  <c r="X64" i="1"/>
  <c r="W64" i="1"/>
  <c r="V64" i="1"/>
  <c r="X62" i="1"/>
  <c r="P62" i="1"/>
  <c r="X61" i="1"/>
  <c r="X60" i="1"/>
  <c r="R60" i="1"/>
  <c r="X59" i="1"/>
  <c r="R59" i="1"/>
  <c r="Q58" i="1"/>
  <c r="R58" i="1" s="1"/>
  <c r="R57" i="1"/>
  <c r="J55" i="1"/>
  <c r="Q54" i="1"/>
  <c r="P54" i="1"/>
  <c r="S54" i="1" s="1"/>
  <c r="S52" i="1"/>
  <c r="R52" i="1"/>
  <c r="S51" i="1"/>
  <c r="Y50" i="1"/>
  <c r="X50" i="1"/>
  <c r="W50" i="1"/>
  <c r="V50" i="1"/>
  <c r="X47" i="1" s="1"/>
  <c r="S50" i="1"/>
  <c r="M50" i="1"/>
  <c r="S49" i="1"/>
  <c r="E49" i="1"/>
  <c r="F49" i="1" s="1"/>
  <c r="C49" i="1"/>
  <c r="D49" i="1" s="1"/>
  <c r="D45" i="1" s="1"/>
  <c r="X48" i="1"/>
  <c r="S48" i="1"/>
  <c r="R48" i="1"/>
  <c r="S47" i="1"/>
  <c r="R47" i="1"/>
  <c r="C46" i="1"/>
  <c r="C50" i="1" s="1"/>
  <c r="Q44" i="1"/>
  <c r="R44" i="1" s="1"/>
  <c r="P44" i="1"/>
  <c r="Q43" i="1"/>
  <c r="P43" i="1"/>
  <c r="R43" i="1" s="1"/>
  <c r="Q42" i="1"/>
  <c r="J42" i="1"/>
  <c r="I42" i="1"/>
  <c r="H42" i="1"/>
  <c r="G42" i="1"/>
  <c r="F42" i="1"/>
  <c r="E42" i="1"/>
  <c r="D42" i="1"/>
  <c r="C42" i="1"/>
  <c r="Q41" i="1"/>
  <c r="J41" i="1"/>
  <c r="I41" i="1"/>
  <c r="G41" i="1"/>
  <c r="F41" i="1"/>
  <c r="E41" i="1"/>
  <c r="D41" i="1"/>
  <c r="C41" i="1"/>
  <c r="R40" i="1"/>
  <c r="J40" i="1"/>
  <c r="I40" i="1"/>
  <c r="G40" i="1"/>
  <c r="F40" i="1"/>
  <c r="E40" i="1"/>
  <c r="D40" i="1"/>
  <c r="C40" i="1"/>
  <c r="AB39" i="1"/>
  <c r="AA39" i="1"/>
  <c r="AC39" i="1" s="1"/>
  <c r="W39" i="1"/>
  <c r="V39" i="1"/>
  <c r="X39" i="1" s="1"/>
  <c r="R39" i="1"/>
  <c r="J39" i="1"/>
  <c r="I39" i="1"/>
  <c r="G39" i="1"/>
  <c r="F39" i="1"/>
  <c r="E39" i="1"/>
  <c r="D39" i="1"/>
  <c r="C39" i="1"/>
  <c r="AC38" i="1"/>
  <c r="AB38" i="1"/>
  <c r="AA38" i="1"/>
  <c r="W38" i="1"/>
  <c r="V38" i="1"/>
  <c r="X38" i="1" s="1"/>
  <c r="R38" i="1"/>
  <c r="AC37" i="1"/>
  <c r="X37" i="1"/>
  <c r="Q37" i="1"/>
  <c r="P37" i="1"/>
  <c r="P42" i="1" s="1"/>
  <c r="R42" i="1" s="1"/>
  <c r="AC36" i="1"/>
  <c r="X36" i="1"/>
  <c r="R36" i="1"/>
  <c r="Q36" i="1"/>
  <c r="P36" i="1"/>
  <c r="P41" i="1" s="1"/>
  <c r="R41" i="1" s="1"/>
  <c r="L36" i="1"/>
  <c r="K36" i="1"/>
  <c r="H36" i="1"/>
  <c r="E36" i="1"/>
  <c r="D36" i="1"/>
  <c r="C36" i="1"/>
  <c r="AC35" i="1"/>
  <c r="X35" i="1"/>
  <c r="R35" i="1"/>
  <c r="L35" i="1"/>
  <c r="L42" i="1" s="1"/>
  <c r="K35" i="1"/>
  <c r="K42" i="1" s="1"/>
  <c r="H35" i="1"/>
  <c r="AC34" i="1"/>
  <c r="X34" i="1"/>
  <c r="R34" i="1"/>
  <c r="L34" i="1"/>
  <c r="K34" i="1"/>
  <c r="H34" i="1"/>
  <c r="AC33" i="1"/>
  <c r="X33" i="1"/>
  <c r="R33" i="1"/>
  <c r="L33" i="1"/>
  <c r="K33" i="1"/>
  <c r="H33" i="1"/>
  <c r="L32" i="1"/>
  <c r="K32" i="1"/>
  <c r="H32" i="1"/>
  <c r="L31" i="1"/>
  <c r="K31" i="1"/>
  <c r="K40" i="1" s="1"/>
  <c r="M40" i="1" s="1"/>
  <c r="H31" i="1"/>
  <c r="L30" i="1"/>
  <c r="L41" i="1" s="1"/>
  <c r="K30" i="1"/>
  <c r="K41" i="1" s="1"/>
  <c r="M41" i="1" s="1"/>
  <c r="H30" i="1"/>
  <c r="H41" i="1" s="1"/>
  <c r="L29" i="1"/>
  <c r="K29" i="1"/>
  <c r="H29" i="1"/>
  <c r="L28" i="1"/>
  <c r="K28" i="1"/>
  <c r="H28" i="1"/>
  <c r="L27" i="1"/>
  <c r="K27" i="1"/>
  <c r="H27" i="1"/>
  <c r="L26" i="1"/>
  <c r="K26" i="1"/>
  <c r="H26" i="1"/>
  <c r="L25" i="1"/>
  <c r="L40" i="1" s="1"/>
  <c r="K25" i="1"/>
  <c r="H25" i="1"/>
  <c r="H40" i="1" s="1"/>
  <c r="L24" i="1"/>
  <c r="K24" i="1"/>
  <c r="H24" i="1"/>
  <c r="L23" i="1"/>
  <c r="K23" i="1"/>
  <c r="H23" i="1"/>
  <c r="L22" i="1"/>
  <c r="K22" i="1"/>
  <c r="H22" i="1"/>
  <c r="L21" i="1"/>
  <c r="K21" i="1"/>
  <c r="H21" i="1"/>
  <c r="L20" i="1"/>
  <c r="K20" i="1"/>
  <c r="H20" i="1"/>
  <c r="L19" i="1"/>
  <c r="K19" i="1"/>
  <c r="H19" i="1"/>
  <c r="L18" i="1"/>
  <c r="K18" i="1"/>
  <c r="H18" i="1"/>
  <c r="L17" i="1"/>
  <c r="L39" i="1" s="1"/>
  <c r="K17" i="1"/>
  <c r="H17" i="1"/>
  <c r="L16" i="1"/>
  <c r="K16" i="1"/>
  <c r="H16" i="1"/>
  <c r="L15" i="1"/>
  <c r="K15" i="1"/>
  <c r="K39" i="1" s="1"/>
  <c r="M39" i="1" s="1"/>
  <c r="H15" i="1"/>
  <c r="H39" i="1" s="1"/>
  <c r="L14" i="1"/>
  <c r="K14" i="1"/>
  <c r="H14" i="1"/>
  <c r="L13" i="1"/>
  <c r="K13" i="1"/>
  <c r="H13" i="1"/>
  <c r="S9" i="1"/>
  <c r="R9" i="1"/>
  <c r="Q9" i="1"/>
  <c r="N9" i="1"/>
  <c r="K9" i="1"/>
  <c r="H9" i="1"/>
  <c r="G9" i="1"/>
  <c r="F9" i="1"/>
  <c r="D9" i="1"/>
  <c r="C9" i="1"/>
  <c r="B9" i="1"/>
  <c r="V5" i="1"/>
  <c r="U5" i="1"/>
  <c r="T5" i="1"/>
  <c r="R5" i="1"/>
  <c r="Q5" i="1"/>
  <c r="P5" i="1"/>
  <c r="O5" i="1"/>
  <c r="L5" i="1"/>
  <c r="K5" i="1"/>
  <c r="J5" i="1"/>
  <c r="H5" i="1"/>
  <c r="G5" i="1"/>
  <c r="F5" i="1"/>
  <c r="X4" i="1"/>
  <c r="S4" i="1"/>
  <c r="R4" i="1"/>
  <c r="N4" i="1"/>
  <c r="I4" i="1"/>
  <c r="F4" i="1"/>
  <c r="E4" i="1"/>
  <c r="X3" i="1"/>
  <c r="S3" i="1"/>
  <c r="S5" i="1" s="1"/>
  <c r="R3" i="1"/>
  <c r="N3" i="1"/>
  <c r="N5" i="1" s="1"/>
  <c r="I3" i="1"/>
  <c r="F3" i="1"/>
  <c r="J9" i="1" s="1"/>
  <c r="E3" i="1"/>
  <c r="E5" i="1" s="1"/>
  <c r="D3" i="1"/>
  <c r="C3" i="1"/>
  <c r="O9" i="1" s="1"/>
  <c r="D4" i="1" l="1"/>
  <c r="D5" i="1" s="1"/>
  <c r="K55" i="1"/>
  <c r="L55" i="1"/>
  <c r="M53" i="1" s="1"/>
  <c r="P9" i="1" s="1"/>
  <c r="M9" i="1"/>
  <c r="M43" i="1"/>
  <c r="M42" i="1"/>
  <c r="C51" i="1"/>
  <c r="F46" i="1"/>
  <c r="D50" i="1" s="1"/>
  <c r="L9" i="1"/>
  <c r="I5" i="1"/>
  <c r="E9" i="1"/>
  <c r="Q62" i="1"/>
  <c r="R62" i="1" s="1"/>
  <c r="R50" i="1"/>
  <c r="C5" i="1"/>
  <c r="R37" i="1"/>
  <c r="R49" i="1"/>
  <c r="R54" i="1"/>
  <c r="R51" i="1"/>
  <c r="I9" i="1"/>
  <c r="E50" i="1" l="1"/>
  <c r="D51" i="1"/>
  <c r="E51" i="1" l="1"/>
  <c r="F51" i="1" s="1"/>
  <c r="F50" i="1"/>
</calcChain>
</file>

<file path=xl/sharedStrings.xml><?xml version="1.0" encoding="utf-8"?>
<sst xmlns="http://schemas.openxmlformats.org/spreadsheetml/2006/main" count="528" uniqueCount="243">
  <si>
    <t>MARKET</t>
  </si>
  <si>
    <t>TRAIL_INCOME</t>
  </si>
  <si>
    <t>BALANCESHEET</t>
  </si>
  <si>
    <t>CASHFLOW</t>
  </si>
  <si>
    <t>Company</t>
  </si>
  <si>
    <t>Price</t>
  </si>
  <si>
    <t>Marketcap in Cr</t>
  </si>
  <si>
    <t>Sales in Cr</t>
  </si>
  <si>
    <t>Profit in Cr</t>
  </si>
  <si>
    <t>Employee</t>
  </si>
  <si>
    <t>ATTRITION RATIO</t>
  </si>
  <si>
    <t>TRAIL_EPS</t>
  </si>
  <si>
    <t>FV</t>
  </si>
  <si>
    <t>Equity</t>
  </si>
  <si>
    <t>Total Equity</t>
  </si>
  <si>
    <t>Debt</t>
  </si>
  <si>
    <t>Lease Cr</t>
  </si>
  <si>
    <t>CUR.ASSETS</t>
  </si>
  <si>
    <t>CUR.LIABILITIES</t>
  </si>
  <si>
    <t>ASSETS</t>
  </si>
  <si>
    <t>LIABILITIES</t>
  </si>
  <si>
    <t>TRADE REC</t>
  </si>
  <si>
    <t>PPE</t>
  </si>
  <si>
    <t>CFO</t>
  </si>
  <si>
    <t>CFI</t>
  </si>
  <si>
    <t>CFF</t>
  </si>
  <si>
    <t>TOTAL</t>
  </si>
  <si>
    <t>TATAELXSI</t>
  </si>
  <si>
    <t>PREV. YEAR_22</t>
  </si>
  <si>
    <t>GROWTH</t>
  </si>
  <si>
    <t>LIQUIDITY</t>
  </si>
  <si>
    <t>SOLVENCY</t>
  </si>
  <si>
    <t>PROFITABILITY</t>
  </si>
  <si>
    <t>VALUATIONS</t>
  </si>
  <si>
    <t>CASHFOW</t>
  </si>
  <si>
    <t>SALES GR</t>
  </si>
  <si>
    <t>P-MARGIN</t>
  </si>
  <si>
    <t>CUR.RATIO</t>
  </si>
  <si>
    <t>TRADE REC.</t>
  </si>
  <si>
    <t>DEBT2EQUITY</t>
  </si>
  <si>
    <t>DEBTRATIO</t>
  </si>
  <si>
    <t>ICR</t>
  </si>
  <si>
    <t>ROE</t>
  </si>
  <si>
    <t>ROPE</t>
  </si>
  <si>
    <t>ROA</t>
  </si>
  <si>
    <t>TRAIL_PE</t>
  </si>
  <si>
    <t>YIELD_23</t>
  </si>
  <si>
    <t>BOOKVALUE</t>
  </si>
  <si>
    <t>PBV</t>
  </si>
  <si>
    <t>PEG</t>
  </si>
  <si>
    <t>OCFR</t>
  </si>
  <si>
    <t>CFD</t>
  </si>
  <si>
    <t>FCF (INC R)</t>
  </si>
  <si>
    <t>YEAR</t>
  </si>
  <si>
    <t>Income</t>
  </si>
  <si>
    <t>COST</t>
  </si>
  <si>
    <t>PROFIT</t>
  </si>
  <si>
    <t>EPS</t>
  </si>
  <si>
    <t>NPM %</t>
  </si>
  <si>
    <t>H Price</t>
  </si>
  <si>
    <t>L Price</t>
  </si>
  <si>
    <t>HIGH P/E</t>
  </si>
  <si>
    <t>LOW P/E</t>
  </si>
  <si>
    <t>C/A</t>
  </si>
  <si>
    <t>FY_2000</t>
  </si>
  <si>
    <t>FY_2002</t>
  </si>
  <si>
    <t>FY_2003</t>
  </si>
  <si>
    <t>FY_2004</t>
  </si>
  <si>
    <t>FY_2005</t>
  </si>
  <si>
    <t>FY_2006</t>
  </si>
  <si>
    <t>FY_2007</t>
  </si>
  <si>
    <t>FY_2008</t>
  </si>
  <si>
    <t>FY_2009</t>
  </si>
  <si>
    <t>FY_2010</t>
  </si>
  <si>
    <t>FY_2011</t>
  </si>
  <si>
    <t>FY_2012</t>
  </si>
  <si>
    <t>FY_2013</t>
  </si>
  <si>
    <t>FY_2014</t>
  </si>
  <si>
    <t>FY_2015</t>
  </si>
  <si>
    <t>FY_2016</t>
  </si>
  <si>
    <t>FY_2017</t>
  </si>
  <si>
    <t>BONUS 1:1</t>
  </si>
  <si>
    <t>FY_2018</t>
  </si>
  <si>
    <t>FY_2019</t>
  </si>
  <si>
    <t>CCGROWTH</t>
  </si>
  <si>
    <t>FY_2020</t>
  </si>
  <si>
    <t>FY_2021</t>
  </si>
  <si>
    <t>RESULTS</t>
  </si>
  <si>
    <t>H1_FY25</t>
  </si>
  <si>
    <t>H1_FY24</t>
  </si>
  <si>
    <t>Growth</t>
  </si>
  <si>
    <t>Q1_FY25</t>
  </si>
  <si>
    <t>Q1_FY24</t>
  </si>
  <si>
    <t>FY_24</t>
  </si>
  <si>
    <t>FY_23</t>
  </si>
  <si>
    <t>FY_2022</t>
  </si>
  <si>
    <t>Sales</t>
  </si>
  <si>
    <t>FY_2023</t>
  </si>
  <si>
    <t>Exp</t>
  </si>
  <si>
    <t>FY_2024</t>
  </si>
  <si>
    <t>Fin</t>
  </si>
  <si>
    <t>Trail_fy25</t>
  </si>
  <si>
    <t>EBITDA</t>
  </si>
  <si>
    <t>Profit</t>
  </si>
  <si>
    <t>EBIT</t>
  </si>
  <si>
    <t>EQUITY</t>
  </si>
  <si>
    <t>FAIR PE</t>
  </si>
  <si>
    <t>PBT</t>
  </si>
  <si>
    <t>Margin</t>
  </si>
  <si>
    <t>CAGR 20Y</t>
  </si>
  <si>
    <t>CAGR 10Y</t>
  </si>
  <si>
    <t>CAGR 5Y</t>
  </si>
  <si>
    <t>Gross Margin%</t>
  </si>
  <si>
    <t>PY Trend</t>
  </si>
  <si>
    <t>EBIT%</t>
  </si>
  <si>
    <t>Year</t>
  </si>
  <si>
    <t>MARGIN</t>
  </si>
  <si>
    <t>TREND</t>
  </si>
  <si>
    <t>9M_FY_24</t>
  </si>
  <si>
    <t>EST_FY_25</t>
  </si>
  <si>
    <t>EST_2025</t>
  </si>
  <si>
    <t>EST_2030</t>
  </si>
  <si>
    <t>MAJORCOST</t>
  </si>
  <si>
    <t>Share</t>
  </si>
  <si>
    <t>SEGMENT</t>
  </si>
  <si>
    <t>SOFTWARE DEV</t>
  </si>
  <si>
    <t>T.Income</t>
  </si>
  <si>
    <t>FairValue</t>
  </si>
  <si>
    <t>Other Cost</t>
  </si>
  <si>
    <t>SYSTEM INT</t>
  </si>
  <si>
    <t>EPS_24</t>
  </si>
  <si>
    <t>Q3</t>
  </si>
  <si>
    <t>Q4</t>
  </si>
  <si>
    <t>Q2_FY25</t>
  </si>
  <si>
    <t>Material</t>
  </si>
  <si>
    <t>D&amp;A</t>
  </si>
  <si>
    <t>EST_2035</t>
  </si>
  <si>
    <t>Finance</t>
  </si>
  <si>
    <t>F_EPS_25</t>
  </si>
  <si>
    <t>F_PEG</t>
  </si>
  <si>
    <t>Inventories</t>
  </si>
  <si>
    <t>SDS_SEGMENT</t>
  </si>
  <si>
    <t>Transportation</t>
  </si>
  <si>
    <t>PE_24</t>
  </si>
  <si>
    <t>F_PE_25</t>
  </si>
  <si>
    <t>Total</t>
  </si>
  <si>
    <t>Media and Communications</t>
  </si>
  <si>
    <t>Healthcare &amp; Life Sciences</t>
  </si>
  <si>
    <t>SHP</t>
  </si>
  <si>
    <t>Others</t>
  </si>
  <si>
    <t>PROMOTER</t>
  </si>
  <si>
    <t>MF,AIF,INSURANCE</t>
  </si>
  <si>
    <t>REGION</t>
  </si>
  <si>
    <t>Q2_FY24</t>
  </si>
  <si>
    <t>CHANGE</t>
  </si>
  <si>
    <t>FII</t>
  </si>
  <si>
    <t>EUROPE</t>
  </si>
  <si>
    <t>RETAIL</t>
  </si>
  <si>
    <t>AMERICA</t>
  </si>
  <si>
    <t>INDIA</t>
  </si>
  <si>
    <t>ROW</t>
  </si>
  <si>
    <t>Computers_Software &amp; Consulting</t>
  </si>
  <si>
    <t>Company Name</t>
  </si>
  <si>
    <t>Market Cap</t>
  </si>
  <si>
    <t>LEADERSHIP</t>
  </si>
  <si>
    <t>MARKETCAP CR</t>
  </si>
  <si>
    <t>Market cap</t>
  </si>
  <si>
    <t>INDUSTRY</t>
  </si>
  <si>
    <t>SALES</t>
  </si>
  <si>
    <t>Tata Consultancy Services Ltd.</t>
  </si>
  <si>
    <t>TCS</t>
  </si>
  <si>
    <t>Infosys Ltd.</t>
  </si>
  <si>
    <t>INFY</t>
  </si>
  <si>
    <t>FY_2031</t>
  </si>
  <si>
    <t>HCL Technologies Ltd.</t>
  </si>
  <si>
    <t>HCLTECH</t>
  </si>
  <si>
    <t>Wipro Ltd.</t>
  </si>
  <si>
    <t>TOP MCAP</t>
  </si>
  <si>
    <t>WIPRO</t>
  </si>
  <si>
    <t>LTIMindtree Ltd.</t>
  </si>
  <si>
    <t>LTIM</t>
  </si>
  <si>
    <t>Tech Mahindra Ltd.</t>
  </si>
  <si>
    <t>TECHM</t>
  </si>
  <si>
    <t>Oracle Financial Services Software Ltd.</t>
  </si>
  <si>
    <t>OFSS</t>
  </si>
  <si>
    <t>Persistent Systems Ltd.</t>
  </si>
  <si>
    <t>PERSISTENT</t>
  </si>
  <si>
    <t>L&amp;T Technology Services Ltd.</t>
  </si>
  <si>
    <t>LTTS</t>
  </si>
  <si>
    <t>MphasiS Ltd.</t>
  </si>
  <si>
    <t>MPHASIS</t>
  </si>
  <si>
    <t>KPIT Technologies Ltd.</t>
  </si>
  <si>
    <t>KPITTECH</t>
  </si>
  <si>
    <t>Tata Elxsi Ltd.</t>
  </si>
  <si>
    <t>Coforge Ltd.</t>
  </si>
  <si>
    <t>COFORGE</t>
  </si>
  <si>
    <t>Tata Technologies Ltd.</t>
  </si>
  <si>
    <t>TATATECH</t>
  </si>
  <si>
    <t>Affle (India) Ltd.</t>
  </si>
  <si>
    <t>SALES CR</t>
  </si>
  <si>
    <t>AFFLE</t>
  </si>
  <si>
    <t>IT INDUSTRRY</t>
  </si>
  <si>
    <t>OTHERS</t>
  </si>
  <si>
    <t>Growth 19 yrs</t>
  </si>
  <si>
    <t>Growth 14 yrs</t>
  </si>
  <si>
    <t>Growth 9 yrs</t>
  </si>
  <si>
    <t>Growth 4 yrs</t>
  </si>
  <si>
    <t>Growth LY</t>
  </si>
  <si>
    <t>Security Name</t>
  </si>
  <si>
    <t>Sales 2024</t>
  </si>
  <si>
    <t>Sales 2023</t>
  </si>
  <si>
    <t>Growth CY</t>
  </si>
  <si>
    <t>PROFIT CR</t>
  </si>
  <si>
    <t>PROFIT_2024</t>
  </si>
  <si>
    <t>PROFIT_2023</t>
  </si>
  <si>
    <t>PROFIT_2022</t>
  </si>
  <si>
    <t>PROFIT_2020</t>
  </si>
  <si>
    <t>PROFIT_2015</t>
  </si>
  <si>
    <t>PROFIT_2010</t>
  </si>
  <si>
    <t>PROFIT_2005</t>
  </si>
  <si>
    <t>PROFIT_2000</t>
  </si>
  <si>
    <t>Profit 2023</t>
  </si>
  <si>
    <t>PROFIT MARGIN</t>
  </si>
  <si>
    <t>MARGIN %</t>
  </si>
  <si>
    <t>MARGIN_24</t>
  </si>
  <si>
    <t>MARGIN_23</t>
  </si>
  <si>
    <t>MARGIN_22</t>
  </si>
  <si>
    <t>MARGIN_15</t>
  </si>
  <si>
    <t>MARGIN_10</t>
  </si>
  <si>
    <t>EST_2000</t>
  </si>
  <si>
    <t>Symbol</t>
  </si>
  <si>
    <t>MARGIN 2024</t>
  </si>
  <si>
    <t>CYIENT</t>
  </si>
  <si>
    <t>NEWGEN</t>
  </si>
  <si>
    <t>SONATSOFTW</t>
  </si>
  <si>
    <t>BSOFT</t>
  </si>
  <si>
    <t>ZENSARTECH</t>
  </si>
  <si>
    <t>CURRENT RATIO</t>
  </si>
  <si>
    <t>TRADE DAYS</t>
  </si>
  <si>
    <t>DEBT RATIO</t>
  </si>
  <si>
    <r>
      <rPr>
        <b/>
        <sz val="21"/>
        <color rgb="FFCCCCCC"/>
        <rFont val="Calibri"/>
        <scheme val="minor"/>
      </rPr>
      <t xml:space="preserve">BY </t>
    </r>
    <r>
      <rPr>
        <b/>
        <u/>
        <sz val="21"/>
        <color rgb="FFCCCCCC"/>
        <rFont val="Calibri"/>
        <scheme val="minor"/>
      </rPr>
      <t>WWW.PROFITFROMIT.IN</t>
    </r>
  </si>
  <si>
    <t>Q1_FY_24</t>
  </si>
  <si>
    <t>Q1_FY_23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</si>
</sst>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_ ;_ * \-#,##0.0_ ;_ * &quot;-&quot;??_ ;_ @_ "/>
    <numFmt numFmtId="165" formatCode="0.0%"/>
    <numFmt numFmtId="166" formatCode="0.0"/>
    <numFmt numFmtId="167" formatCode="#,##0.0"/>
    <numFmt numFmtId="168" formatCode="#,##0;\(#,##0\)"/>
  </numFmts>
  <fonts count="28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8"/>
      <color rgb="FFFFFFFF"/>
      <name val="Calibri"/>
      <scheme val="minor"/>
    </font>
    <font>
      <sz val="8"/>
      <color theme="1"/>
      <name val="Calibri"/>
      <scheme val="minor"/>
    </font>
    <font>
      <b/>
      <sz val="11"/>
      <color rgb="FFFFFFFF"/>
      <name val="Calibri"/>
      <scheme val="minor"/>
    </font>
    <font>
      <sz val="11"/>
      <color theme="1"/>
      <name val="Calibri"/>
    </font>
    <font>
      <b/>
      <i/>
      <sz val="11"/>
      <color theme="1"/>
      <name val="Calibri"/>
      <scheme val="minor"/>
    </font>
    <font>
      <b/>
      <sz val="10"/>
      <color rgb="FFFFFFFF"/>
      <name val="Calibri"/>
      <scheme val="minor"/>
    </font>
    <font>
      <b/>
      <sz val="11"/>
      <color rgb="FFFFFFFF"/>
      <name val="Calibri"/>
    </font>
    <font>
      <sz val="11"/>
      <color rgb="FF006100"/>
      <name val="Calibri"/>
    </font>
    <font>
      <sz val="11"/>
      <color rgb="FF9C0006"/>
      <name val="Calibri"/>
    </font>
    <font>
      <b/>
      <i/>
      <u/>
      <sz val="11"/>
      <color theme="1"/>
      <name val="Calibri"/>
      <scheme val="minor"/>
    </font>
    <font>
      <b/>
      <i/>
      <u/>
      <sz val="11"/>
      <color theme="1"/>
      <name val="Calibri"/>
    </font>
    <font>
      <sz val="11"/>
      <color rgb="FFFFFFFF"/>
      <name val="Arial"/>
    </font>
    <font>
      <sz val="11"/>
      <color theme="1"/>
      <name val="Arial"/>
    </font>
    <font>
      <sz val="33"/>
      <color theme="1"/>
      <name val="Calibri"/>
    </font>
    <font>
      <b/>
      <sz val="11"/>
      <color theme="1"/>
      <name val="Calibri"/>
      <scheme val="minor"/>
    </font>
    <font>
      <b/>
      <sz val="11"/>
      <color theme="1"/>
      <name val="Calibri"/>
    </font>
    <font>
      <b/>
      <sz val="21"/>
      <color rgb="FFFFFFFF"/>
      <name val="&quot;Google Sans&quot;"/>
    </font>
    <font>
      <sz val="11"/>
      <color rgb="FFFFFFFF"/>
      <name val="Calibri"/>
      <scheme val="minor"/>
    </font>
    <font>
      <sz val="11"/>
      <color rgb="FFFFFFFF"/>
      <name val="Calibri"/>
    </font>
    <font>
      <sz val="11"/>
      <color rgb="FF000000"/>
      <name val="Calibri"/>
      <scheme val="minor"/>
    </font>
    <font>
      <sz val="11"/>
      <color rgb="FF000000"/>
      <name val="Calibri"/>
    </font>
    <font>
      <b/>
      <sz val="11"/>
      <color theme="1"/>
      <name val="Arial"/>
    </font>
    <font>
      <b/>
      <u/>
      <sz val="21"/>
      <color rgb="FFCCCCCC"/>
      <name val="&quot;Google Sans&quot;"/>
    </font>
    <font>
      <b/>
      <sz val="21"/>
      <color rgb="FFCCCCCC"/>
      <name val="Calibri"/>
      <scheme val="minor"/>
    </font>
    <font>
      <b/>
      <u/>
      <sz val="21"/>
      <color rgb="FFCCCCCC"/>
      <name val="Calibri"/>
      <scheme val="minor"/>
    </font>
    <font>
      <b/>
      <sz val="12"/>
      <color theme="1"/>
      <name val="Calibri"/>
    </font>
  </fonts>
  <fills count="1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999999"/>
        <bgColor rgb="FF999999"/>
      </patternFill>
    </fill>
    <fill>
      <patternFill patternType="solid">
        <fgColor rgb="FF4F81BD"/>
        <bgColor rgb="FF4F81BD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D9EAD3"/>
        <bgColor rgb="FFD9EAD3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20124D"/>
        <bgColor rgb="FF20124D"/>
      </patternFill>
    </fill>
    <fill>
      <patternFill patternType="solid">
        <fgColor rgb="FFE67C73"/>
        <bgColor rgb="FFE67C73"/>
      </patternFill>
    </fill>
    <fill>
      <patternFill patternType="solid">
        <fgColor rgb="FF57BB8A"/>
        <bgColor rgb="FF57BB8A"/>
      </patternFill>
    </fill>
    <fill>
      <patternFill patternType="solid">
        <fgColor rgb="FFFFD666"/>
        <bgColor rgb="FFFFD666"/>
      </patternFill>
    </fill>
    <fill>
      <patternFill patternType="solid">
        <fgColor rgb="FF6D9EEB"/>
        <bgColor rgb="FF6D9EEB"/>
      </patternFill>
    </fill>
    <fill>
      <patternFill patternType="solid">
        <fgColor rgb="FF073763"/>
        <bgColor rgb="FF07376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2" xfId="0" applyFont="1" applyBorder="1"/>
    <xf numFmtId="1" fontId="5" fillId="0" borderId="2" xfId="0" applyNumberFormat="1" applyFont="1" applyBorder="1" applyAlignment="1">
      <alignment horizontal="right"/>
    </xf>
    <xf numFmtId="0" fontId="1" fillId="0" borderId="2" xfId="0" applyFont="1" applyBorder="1"/>
    <xf numFmtId="10" fontId="1" fillId="0" borderId="0" xfId="0" applyNumberFormat="1" applyFont="1"/>
    <xf numFmtId="164" fontId="5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1" fontId="1" fillId="0" borderId="2" xfId="0" applyNumberFormat="1" applyFont="1" applyBorder="1"/>
    <xf numFmtId="10" fontId="1" fillId="0" borderId="2" xfId="0" applyNumberFormat="1" applyFont="1" applyBorder="1"/>
    <xf numFmtId="0" fontId="0" fillId="3" borderId="2" xfId="0" applyFill="1" applyBorder="1"/>
    <xf numFmtId="0" fontId="6" fillId="4" borderId="2" xfId="0" applyFont="1" applyFill="1" applyBorder="1"/>
    <xf numFmtId="9" fontId="6" fillId="4" borderId="2" xfId="0" applyNumberFormat="1" applyFont="1" applyFill="1" applyBorder="1"/>
    <xf numFmtId="3" fontId="6" fillId="4" borderId="2" xfId="0" applyNumberFormat="1" applyFont="1" applyFill="1" applyBorder="1"/>
    <xf numFmtId="165" fontId="6" fillId="4" borderId="2" xfId="0" applyNumberFormat="1" applyFont="1" applyFill="1" applyBorder="1"/>
    <xf numFmtId="0" fontId="1" fillId="0" borderId="0" xfId="0" applyFont="1"/>
    <xf numFmtId="0" fontId="0" fillId="3" borderId="0" xfId="0" applyFill="1"/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9" fontId="1" fillId="0" borderId="2" xfId="0" applyNumberFormat="1" applyFont="1" applyBorder="1"/>
    <xf numFmtId="3" fontId="1" fillId="0" borderId="2" xfId="0" applyNumberFormat="1" applyFont="1" applyBorder="1"/>
    <xf numFmtId="165" fontId="1" fillId="0" borderId="2" xfId="0" applyNumberFormat="1" applyFont="1" applyBorder="1"/>
    <xf numFmtId="166" fontId="1" fillId="0" borderId="2" xfId="0" applyNumberFormat="1" applyFont="1" applyBorder="1"/>
    <xf numFmtId="0" fontId="8" fillId="5" borderId="0" xfId="0" applyFont="1" applyFill="1"/>
    <xf numFmtId="0" fontId="8" fillId="5" borderId="2" xfId="0" applyFont="1" applyFill="1" applyBorder="1"/>
    <xf numFmtId="0" fontId="5" fillId="6" borderId="2" xfId="0" applyFont="1" applyFill="1" applyBorder="1" applyAlignment="1">
      <alignment horizontal="right"/>
    </xf>
    <xf numFmtId="1" fontId="9" fillId="7" borderId="2" xfId="0" applyNumberFormat="1" applyFont="1" applyFill="1" applyBorder="1" applyAlignment="1">
      <alignment horizontal="right"/>
    </xf>
    <xf numFmtId="1" fontId="5" fillId="6" borderId="2" xfId="0" applyNumberFormat="1" applyFont="1" applyFill="1" applyBorder="1" applyAlignment="1">
      <alignment horizontal="right"/>
    </xf>
    <xf numFmtId="9" fontId="5" fillId="6" borderId="2" xfId="0" applyNumberFormat="1" applyFont="1" applyFill="1" applyBorder="1" applyAlignment="1">
      <alignment horizontal="right"/>
    </xf>
    <xf numFmtId="1" fontId="10" fillId="8" borderId="2" xfId="0" applyNumberFormat="1" applyFont="1" applyFill="1" applyBorder="1" applyAlignment="1">
      <alignment horizontal="right"/>
    </xf>
    <xf numFmtId="1" fontId="5" fillId="9" borderId="2" xfId="0" applyNumberFormat="1" applyFont="1" applyFill="1" applyBorder="1" applyAlignment="1">
      <alignment horizontal="right"/>
    </xf>
    <xf numFmtId="0" fontId="5" fillId="6" borderId="2" xfId="0" applyFont="1" applyFill="1" applyBorder="1"/>
    <xf numFmtId="165" fontId="5" fillId="6" borderId="2" xfId="0" applyNumberFormat="1" applyFont="1" applyFill="1" applyBorder="1" applyAlignment="1">
      <alignment horizontal="right"/>
    </xf>
    <xf numFmtId="166" fontId="5" fillId="6" borderId="2" xfId="0" applyNumberFormat="1" applyFont="1" applyFill="1" applyBorder="1" applyAlignment="1">
      <alignment horizontal="right"/>
    </xf>
    <xf numFmtId="3" fontId="5" fillId="6" borderId="2" xfId="0" applyNumberFormat="1" applyFont="1" applyFill="1" applyBorder="1" applyAlignment="1">
      <alignment horizontal="right"/>
    </xf>
    <xf numFmtId="167" fontId="5" fillId="6" borderId="2" xfId="0" applyNumberFormat="1" applyFont="1" applyFill="1" applyBorder="1" applyAlignment="1">
      <alignment horizontal="right"/>
    </xf>
    <xf numFmtId="1" fontId="5" fillId="6" borderId="2" xfId="0" applyNumberFormat="1" applyFont="1" applyFill="1" applyBorder="1"/>
    <xf numFmtId="3" fontId="1" fillId="0" borderId="0" xfId="0" applyNumberFormat="1" applyFont="1"/>
    <xf numFmtId="0" fontId="8" fillId="5" borderId="2" xfId="0" applyFont="1" applyFill="1" applyBorder="1" applyAlignment="1">
      <alignment horizontal="left"/>
    </xf>
    <xf numFmtId="1" fontId="5" fillId="10" borderId="2" xfId="0" applyNumberFormat="1" applyFont="1" applyFill="1" applyBorder="1" applyAlignment="1">
      <alignment horizontal="right"/>
    </xf>
    <xf numFmtId="3" fontId="5" fillId="10" borderId="2" xfId="0" applyNumberFormat="1" applyFont="1" applyFill="1" applyBorder="1" applyAlignment="1">
      <alignment horizontal="right"/>
    </xf>
    <xf numFmtId="0" fontId="11" fillId="11" borderId="3" xfId="0" applyFont="1" applyFill="1" applyBorder="1"/>
    <xf numFmtId="9" fontId="11" fillId="11" borderId="2" xfId="0" applyNumberFormat="1" applyFont="1" applyFill="1" applyBorder="1"/>
    <xf numFmtId="9" fontId="12" fillId="11" borderId="2" xfId="0" applyNumberFormat="1" applyFont="1" applyFill="1" applyBorder="1" applyAlignment="1">
      <alignment horizontal="right"/>
    </xf>
    <xf numFmtId="0" fontId="13" fillId="12" borderId="4" xfId="0" applyFont="1" applyFill="1" applyBorder="1" applyAlignment="1">
      <alignment horizontal="center"/>
    </xf>
    <xf numFmtId="0" fontId="13" fillId="12" borderId="0" xfId="0" applyFont="1" applyFill="1" applyAlignment="1">
      <alignment horizontal="center"/>
    </xf>
    <xf numFmtId="1" fontId="1" fillId="0" borderId="0" xfId="0" applyNumberFormat="1" applyFont="1"/>
    <xf numFmtId="1" fontId="5" fillId="6" borderId="5" xfId="0" applyNumberFormat="1" applyFont="1" applyFill="1" applyBorder="1" applyAlignment="1">
      <alignment horizontal="center"/>
    </xf>
    <xf numFmtId="1" fontId="14" fillId="13" borderId="6" xfId="0" applyNumberFormat="1" applyFont="1" applyFill="1" applyBorder="1" applyAlignment="1">
      <alignment horizontal="center"/>
    </xf>
    <xf numFmtId="1" fontId="14" fillId="14" borderId="6" xfId="0" applyNumberFormat="1" applyFont="1" applyFill="1" applyBorder="1" applyAlignment="1">
      <alignment horizontal="center"/>
    </xf>
    <xf numFmtId="1" fontId="15" fillId="4" borderId="0" xfId="0" applyNumberFormat="1" applyFont="1" applyFill="1" applyAlignment="1">
      <alignment horizontal="center" vertical="center"/>
    </xf>
    <xf numFmtId="165" fontId="1" fillId="0" borderId="0" xfId="0" applyNumberFormat="1" applyFont="1"/>
    <xf numFmtId="0" fontId="0" fillId="0" borderId="0" xfId="0"/>
    <xf numFmtId="3" fontId="11" fillId="4" borderId="3" xfId="0" applyNumberFormat="1" applyFont="1" applyFill="1" applyBorder="1"/>
    <xf numFmtId="9" fontId="11" fillId="4" borderId="3" xfId="0" applyNumberFormat="1" applyFont="1" applyFill="1" applyBorder="1"/>
    <xf numFmtId="9" fontId="12" fillId="4" borderId="2" xfId="0" applyNumberFormat="1" applyFont="1" applyFill="1" applyBorder="1" applyAlignment="1">
      <alignment horizontal="right"/>
    </xf>
    <xf numFmtId="1" fontId="5" fillId="14" borderId="5" xfId="0" applyNumberFormat="1" applyFont="1" applyFill="1" applyBorder="1" applyAlignment="1">
      <alignment horizontal="center"/>
    </xf>
    <xf numFmtId="1" fontId="14" fillId="15" borderId="6" xfId="0" applyNumberFormat="1" applyFont="1" applyFill="1" applyBorder="1" applyAlignment="1">
      <alignment horizontal="center"/>
    </xf>
    <xf numFmtId="10" fontId="5" fillId="6" borderId="2" xfId="0" applyNumberFormat="1" applyFont="1" applyFill="1" applyBorder="1" applyAlignment="1">
      <alignment horizontal="right"/>
    </xf>
    <xf numFmtId="0" fontId="16" fillId="4" borderId="3" xfId="0" applyFont="1" applyFill="1" applyBorder="1"/>
    <xf numFmtId="1" fontId="16" fillId="4" borderId="3" xfId="0" applyNumberFormat="1" applyFont="1" applyFill="1" applyBorder="1"/>
    <xf numFmtId="165" fontId="17" fillId="4" borderId="2" xfId="0" applyNumberFormat="1" applyFont="1" applyFill="1" applyBorder="1" applyAlignment="1">
      <alignment horizontal="right"/>
    </xf>
    <xf numFmtId="0" fontId="11" fillId="4" borderId="3" xfId="0" applyFont="1" applyFill="1" applyBorder="1"/>
    <xf numFmtId="9" fontId="5" fillId="4" borderId="2" xfId="0" applyNumberFormat="1" applyFont="1" applyFill="1" applyBorder="1" applyAlignment="1">
      <alignment horizontal="right"/>
    </xf>
    <xf numFmtId="9" fontId="1" fillId="0" borderId="0" xfId="0" applyNumberFormat="1" applyFont="1"/>
    <xf numFmtId="0" fontId="18" fillId="12" borderId="0" xfId="0" applyFont="1" applyFill="1" applyAlignment="1">
      <alignment horizontal="center" vertical="center"/>
    </xf>
    <xf numFmtId="0" fontId="17" fillId="16" borderId="7" xfId="0" applyFont="1" applyFill="1" applyBorder="1"/>
    <xf numFmtId="0" fontId="19" fillId="17" borderId="0" xfId="0" applyFont="1" applyFill="1"/>
    <xf numFmtId="0" fontId="19" fillId="12" borderId="0" xfId="0" applyFont="1" applyFill="1"/>
    <xf numFmtId="0" fontId="19" fillId="12" borderId="2" xfId="0" applyFont="1" applyFill="1" applyBorder="1"/>
    <xf numFmtId="1" fontId="14" fillId="0" borderId="2" xfId="0" applyNumberFormat="1" applyFont="1" applyBorder="1" applyAlignment="1">
      <alignment horizontal="right"/>
    </xf>
    <xf numFmtId="0" fontId="20" fillId="17" borderId="2" xfId="0" applyFont="1" applyFill="1" applyBorder="1"/>
    <xf numFmtId="0" fontId="21" fillId="6" borderId="2" xfId="0" applyFont="1" applyFill="1" applyBorder="1"/>
    <xf numFmtId="0" fontId="19" fillId="17" borderId="2" xfId="0" applyFont="1" applyFill="1" applyBorder="1"/>
    <xf numFmtId="0" fontId="14" fillId="0" borderId="2" xfId="0" applyFont="1" applyBorder="1" applyAlignment="1">
      <alignment horizontal="right"/>
    </xf>
    <xf numFmtId="0" fontId="22" fillId="0" borderId="2" xfId="0" applyFont="1" applyBorder="1"/>
    <xf numFmtId="168" fontId="1" fillId="0" borderId="2" xfId="0" applyNumberFormat="1" applyFont="1" applyBorder="1"/>
    <xf numFmtId="0" fontId="23" fillId="16" borderId="7" xfId="0" applyFont="1" applyFill="1" applyBorder="1"/>
    <xf numFmtId="10" fontId="14" fillId="0" borderId="2" xfId="0" applyNumberFormat="1" applyFont="1" applyBorder="1" applyAlignment="1">
      <alignment horizontal="right"/>
    </xf>
    <xf numFmtId="2" fontId="19" fillId="12" borderId="2" xfId="0" applyNumberFormat="1" applyFont="1" applyFill="1" applyBorder="1"/>
    <xf numFmtId="2" fontId="1" fillId="0" borderId="2" xfId="0" applyNumberFormat="1" applyFont="1" applyBorder="1"/>
    <xf numFmtId="1" fontId="19" fillId="12" borderId="2" xfId="0" applyNumberFormat="1" applyFont="1" applyFill="1" applyBorder="1"/>
    <xf numFmtId="3" fontId="13" fillId="12" borderId="2" xfId="0" applyNumberFormat="1" applyFont="1" applyFill="1" applyBorder="1"/>
    <xf numFmtId="167" fontId="1" fillId="0" borderId="2" xfId="0" applyNumberFormat="1" applyFont="1" applyBorder="1"/>
    <xf numFmtId="3" fontId="13" fillId="12" borderId="8" xfId="0" applyNumberFormat="1" applyFont="1" applyFill="1" applyBorder="1"/>
    <xf numFmtId="3" fontId="13" fillId="12" borderId="9" xfId="0" applyNumberFormat="1" applyFont="1" applyFill="1" applyBorder="1"/>
    <xf numFmtId="3" fontId="5" fillId="0" borderId="2" xfId="0" applyNumberFormat="1" applyFont="1" applyBorder="1" applyAlignment="1">
      <alignment horizontal="right"/>
    </xf>
    <xf numFmtId="0" fontId="24" fillId="12" borderId="0" xfId="0" applyFont="1" applyFill="1" applyAlignment="1">
      <alignment horizontal="center" vertical="center"/>
    </xf>
    <xf numFmtId="0" fontId="27" fillId="6" borderId="2" xfId="0" applyFont="1" applyFill="1" applyBorder="1" applyAlignment="1">
      <alignment horizontal="right"/>
    </xf>
    <xf numFmtId="165" fontId="27" fillId="6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 TOTAL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[1]GROWTH!$C$2:$J$2</c:f>
              <c:strCache>
                <c:ptCount val="8"/>
                <c:pt idx="0">
                  <c:v>MARKETCAP</c:v>
                </c:pt>
                <c:pt idx="1">
                  <c:v>SALES_2023</c:v>
                </c:pt>
                <c:pt idx="2">
                  <c:v>SALES_2022</c:v>
                </c:pt>
                <c:pt idx="3">
                  <c:v>SALES_2020</c:v>
                </c:pt>
                <c:pt idx="4">
                  <c:v>SALES_2015</c:v>
                </c:pt>
                <c:pt idx="5">
                  <c:v>SALES_2010</c:v>
                </c:pt>
                <c:pt idx="6">
                  <c:v>SALES_2005</c:v>
                </c:pt>
                <c:pt idx="7">
                  <c:v>SALES_2000</c:v>
                </c:pt>
              </c:strCache>
            </c:strRef>
          </c:cat>
          <c:val>
            <c:numRef>
              <c:f>[1]GROWTH!$C$3:$J$3</c:f>
              <c:numCache>
                <c:formatCode>0</c:formatCode>
                <c:ptCount val="8"/>
                <c:pt idx="0">
                  <c:v>2805362.6594965011</c:v>
                </c:pt>
                <c:pt idx="1">
                  <c:v>751681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E8D-4F6D-A419-620D5105B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4674601"/>
        <c:axId val="1027007153"/>
      </c:barChart>
      <c:catAx>
        <c:axId val="18346746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COMUPTER_SOFTWARE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27007153"/>
        <c:crosses val="autoZero"/>
        <c:auto val="1"/>
        <c:lblAlgn val="ctr"/>
        <c:lblOffset val="100"/>
        <c:noMultiLvlLbl val="1"/>
      </c:catAx>
      <c:valAx>
        <c:axId val="102700715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3467460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 RATIO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Consulting'!$K$148</c:f>
              <c:strCache>
                <c:ptCount val="1"/>
                <c:pt idx="0">
                  <c:v>DEBT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Consulting'!$J$149:$J$159</c:f>
              <c:strCache>
                <c:ptCount val="11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PERSISTENT</c:v>
                </c:pt>
                <c:pt idx="9">
                  <c:v>COFORGE</c:v>
                </c:pt>
                <c:pt idx="10">
                  <c:v>KPITTECH</c:v>
                </c:pt>
              </c:strCache>
            </c:strRef>
          </c:cat>
          <c:val>
            <c:numRef>
              <c:f>'Computers_Software &amp; Consulting'!$K$149:$K$159</c:f>
              <c:numCache>
                <c:formatCode>0.0</c:formatCode>
                <c:ptCount val="11"/>
                <c:pt idx="0">
                  <c:v>0.47560533236601071</c:v>
                </c:pt>
                <c:pt idx="1">
                  <c:v>0.39757264576842372</c:v>
                </c:pt>
                <c:pt idx="2">
                  <c:v>0.29988973461369645</c:v>
                </c:pt>
                <c:pt idx="3">
                  <c:v>0.33642099152245736</c:v>
                </c:pt>
                <c:pt idx="4">
                  <c:v>0.29353932584269665</c:v>
                </c:pt>
                <c:pt idx="5">
                  <c:v>0.35811323207592138</c:v>
                </c:pt>
                <c:pt idx="6">
                  <c:v>0.24538545059717698</c:v>
                </c:pt>
                <c:pt idx="7">
                  <c:v>0.31647859419415969</c:v>
                </c:pt>
                <c:pt idx="8">
                  <c:v>0.40096691343103186</c:v>
                </c:pt>
                <c:pt idx="9">
                  <c:v>0.44219602322716872</c:v>
                </c:pt>
                <c:pt idx="10">
                  <c:v>0.51088235294117645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D16-4B31-87FE-F2072100A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445738"/>
        <c:axId val="2075669689"/>
      </c:barChart>
      <c:catAx>
        <c:axId val="1384457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75669689"/>
        <c:crosses val="autoZero"/>
        <c:auto val="1"/>
        <c:lblAlgn val="ctr"/>
        <c:lblOffset val="100"/>
        <c:noMultiLvlLbl val="1"/>
      </c:catAx>
      <c:valAx>
        <c:axId val="207566968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844573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OCFR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Consulting'!$K$175</c:f>
              <c:strCache>
                <c:ptCount val="1"/>
                <c:pt idx="0">
                  <c:v>OCFR</c:v>
                </c:pt>
              </c:strCache>
            </c:strRef>
          </c:tx>
          <c:spPr>
            <a:solidFill>
              <a:srgbClr val="1C4587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C16-465C-8446-C23CE0D5A4EF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5C16-465C-8446-C23CE0D5A4EF}"/>
              </c:ext>
            </c:extLst>
          </c:dPt>
          <c:dPt>
            <c:idx val="6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5C16-465C-8446-C23CE0D5A4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Consulting'!$J$176:$J$186</c:f>
              <c:strCache>
                <c:ptCount val="11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PERSISTENT</c:v>
                </c:pt>
                <c:pt idx="9">
                  <c:v>COFORGE</c:v>
                </c:pt>
                <c:pt idx="10">
                  <c:v>KPITTECH</c:v>
                </c:pt>
              </c:strCache>
            </c:strRef>
          </c:cat>
          <c:val>
            <c:numRef>
              <c:f>'Computers_Software &amp; Consulting'!$K$176:$K$186</c:f>
              <c:numCache>
                <c:formatCode>#,##0.0</c:formatCode>
                <c:ptCount val="11"/>
                <c:pt idx="0">
                  <c:v>0.96342807291427524</c:v>
                </c:pt>
                <c:pt idx="1">
                  <c:v>0.57334252028785793</c:v>
                </c:pt>
                <c:pt idx="2">
                  <c:v>0.84032476319350469</c:v>
                </c:pt>
                <c:pt idx="3">
                  <c:v>0.48776844070961717</c:v>
                </c:pt>
                <c:pt idx="4">
                  <c:v>0.56447200437716583</c:v>
                </c:pt>
                <c:pt idx="5">
                  <c:v>0.41828691539674201</c:v>
                </c:pt>
                <c:pt idx="6">
                  <c:v>1.0167014613778707</c:v>
                </c:pt>
                <c:pt idx="7">
                  <c:v>0.52234537003932791</c:v>
                </c:pt>
                <c:pt idx="8">
                  <c:v>0.48774259448416751</c:v>
                </c:pt>
                <c:pt idx="9">
                  <c:v>0.54629097182288666</c:v>
                </c:pt>
                <c:pt idx="10">
                  <c:v>0.39554794520547948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5C16-465C-8446-C23CE0D5A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7893241"/>
        <c:axId val="1171238055"/>
      </c:barChart>
      <c:catAx>
        <c:axId val="20878932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71238055"/>
        <c:crosses val="autoZero"/>
        <c:auto val="1"/>
        <c:lblAlgn val="ctr"/>
        <c:lblOffset val="100"/>
        <c:noMultiLvlLbl val="1"/>
      </c:catAx>
      <c:valAx>
        <c:axId val="11712380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OCFR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8789324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CFD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Consulting'!$K$188</c:f>
              <c:strCache>
                <c:ptCount val="1"/>
                <c:pt idx="0">
                  <c:v>CFD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4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187-486F-81D6-46D8D42E8A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Consulting'!$J$189:$J$199</c:f>
              <c:strCache>
                <c:ptCount val="11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PERSISTENT</c:v>
                </c:pt>
                <c:pt idx="9">
                  <c:v>COFORGE</c:v>
                </c:pt>
                <c:pt idx="10">
                  <c:v>KPITTECH</c:v>
                </c:pt>
              </c:strCache>
            </c:strRef>
          </c:cat>
          <c:val>
            <c:numRef>
              <c:f>'Computers_Software &amp; Consulting'!$K$189:$K$199</c:f>
              <c:numCache>
                <c:formatCode>#,##0</c:formatCode>
                <c:ptCount val="11"/>
                <c:pt idx="2">
                  <c:v>8.0004442470013331</c:v>
                </c:pt>
                <c:pt idx="3">
                  <c:v>0.87014457991871541</c:v>
                </c:pt>
                <c:pt idx="4">
                  <c:v>24.76</c:v>
                </c:pt>
                <c:pt idx="5">
                  <c:v>3.5310519645120406</c:v>
                </c:pt>
                <c:pt idx="7">
                  <c:v>7.3787878787878789</c:v>
                </c:pt>
                <c:pt idx="8">
                  <c:v>2.2313084112149535</c:v>
                </c:pt>
                <c:pt idx="9">
                  <c:v>2.8106508875739644</c:v>
                </c:pt>
                <c:pt idx="10">
                  <c:v>9.390243902439023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C187-486F-81D6-46D8D42E8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798553"/>
        <c:axId val="1631376396"/>
      </c:barChart>
      <c:catAx>
        <c:axId val="11957985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31376396"/>
        <c:crosses val="autoZero"/>
        <c:auto val="1"/>
        <c:lblAlgn val="ctr"/>
        <c:lblOffset val="100"/>
        <c:noMultiLvlLbl val="1"/>
      </c:catAx>
      <c:valAx>
        <c:axId val="16313763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CFD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9579855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FCF (INC R)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Consulting'!$K$201</c:f>
              <c:strCache>
                <c:ptCount val="1"/>
                <c:pt idx="0">
                  <c:v>FCF (INC R)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433-4048-B56B-18D00E1A839D}"/>
              </c:ext>
            </c:extLst>
          </c:dPt>
          <c:dPt>
            <c:idx val="7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433-4048-B56B-18D00E1A83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Consulting'!$J$202:$J$212</c:f>
              <c:strCache>
                <c:ptCount val="11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PERSISTENT</c:v>
                </c:pt>
                <c:pt idx="9">
                  <c:v>COFORGE</c:v>
                </c:pt>
                <c:pt idx="10">
                  <c:v>KPITTECH</c:v>
                </c:pt>
              </c:strCache>
            </c:strRef>
          </c:cat>
          <c:val>
            <c:numRef>
              <c:f>'Computers_Software &amp; Consulting'!$K$202:$K$212</c:f>
              <c:numCache>
                <c:formatCode>#,##0</c:formatCode>
                <c:ptCount val="11"/>
                <c:pt idx="0">
                  <c:v>4.102150537634409</c:v>
                </c:pt>
                <c:pt idx="1">
                  <c:v>1.6834257455417354</c:v>
                </c:pt>
                <c:pt idx="2">
                  <c:v>3.3530068888475144</c:v>
                </c:pt>
                <c:pt idx="3">
                  <c:v>1.5861834434512241</c:v>
                </c:pt>
                <c:pt idx="4">
                  <c:v>3.1917087759100751</c:v>
                </c:pt>
                <c:pt idx="5">
                  <c:v>1.9468902865129281</c:v>
                </c:pt>
                <c:pt idx="6">
                  <c:v>3.0437500000000002</c:v>
                </c:pt>
                <c:pt idx="7">
                  <c:v>6.5223214285714288</c:v>
                </c:pt>
                <c:pt idx="8">
                  <c:v>1.9690721649484537</c:v>
                </c:pt>
                <c:pt idx="9">
                  <c:v>2.1348314606741572</c:v>
                </c:pt>
                <c:pt idx="10">
                  <c:v>2.1588785046728973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4433-4048-B56B-18D00E1A8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043602"/>
        <c:axId val="1247471024"/>
      </c:barChart>
      <c:catAx>
        <c:axId val="3650436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47471024"/>
        <c:crosses val="autoZero"/>
        <c:auto val="1"/>
        <c:lblAlgn val="ctr"/>
        <c:lblOffset val="100"/>
        <c:noMultiLvlLbl val="1"/>
      </c:catAx>
      <c:valAx>
        <c:axId val="12474710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FCF (INC R)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650436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ROE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'Computers_Software &amp; Consulting'!$K$214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64A-42D1-A630-C2C9B024599E}"/>
              </c:ext>
            </c:extLst>
          </c:dPt>
          <c:dPt>
            <c:idx val="5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64A-42D1-A630-C2C9B024599E}"/>
              </c:ext>
            </c:extLst>
          </c:dPt>
          <c:dPt>
            <c:idx val="6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64A-42D1-A630-C2C9B024599E}"/>
              </c:ext>
            </c:extLst>
          </c:dPt>
          <c:dPt>
            <c:idx val="7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6-064A-42D1-A630-C2C9B024599E}"/>
              </c:ext>
            </c:extLst>
          </c:dPt>
          <c:cat>
            <c:strRef>
              <c:f>'Computers_Software &amp; Consulting'!$J$215:$J$225</c:f>
              <c:strCache>
                <c:ptCount val="11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PERSISTENT</c:v>
                </c:pt>
                <c:pt idx="9">
                  <c:v>COFORGE</c:v>
                </c:pt>
                <c:pt idx="10">
                  <c:v>KPITTECH</c:v>
                </c:pt>
              </c:strCache>
            </c:strRef>
          </c:cat>
          <c:val>
            <c:numRef>
              <c:f>'Computers_Software &amp; Consulting'!$K$215:$K$225</c:f>
              <c:numCache>
                <c:formatCode>0.0%</c:formatCode>
                <c:ptCount val="11"/>
                <c:pt idx="0">
                  <c:v>0.46381816985724622</c:v>
                </c:pt>
                <c:pt idx="1">
                  <c:v>0.31806847417375816</c:v>
                </c:pt>
                <c:pt idx="2">
                  <c:v>0.22699470931832777</c:v>
                </c:pt>
                <c:pt idx="3">
                  <c:v>0.14623163420219745</c:v>
                </c:pt>
                <c:pt idx="4">
                  <c:v>0.26567865534068319</c:v>
                </c:pt>
                <c:pt idx="5">
                  <c:v>1.7105304863231519E-2</c:v>
                </c:pt>
                <c:pt idx="6">
                  <c:v>0.36193672099712371</c:v>
                </c:pt>
                <c:pt idx="7">
                  <c:v>0.20645323922359465</c:v>
                </c:pt>
                <c:pt idx="8">
                  <c:v>0.23228247162673393</c:v>
                </c:pt>
                <c:pt idx="9">
                  <c:v>0.23508993373303883</c:v>
                </c:pt>
                <c:pt idx="10">
                  <c:v>0.23211064341551413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064A-42D1-A630-C2C9B0245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50118"/>
        <c:axId val="1458495876"/>
      </c:barChart>
      <c:catAx>
        <c:axId val="7985011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58495876"/>
        <c:crosses val="autoZero"/>
        <c:auto val="1"/>
        <c:lblAlgn val="ctr"/>
        <c:lblOffset val="100"/>
        <c:noMultiLvlLbl val="1"/>
      </c:catAx>
      <c:valAx>
        <c:axId val="145849587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ROE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9850118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ROA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Consulting'!$K$227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F64-4F3E-8D26-EE3D95BB8660}"/>
              </c:ext>
            </c:extLst>
          </c:dPt>
          <c:dPt>
            <c:idx val="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F64-4F3E-8D26-EE3D95BB86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Consulting'!$J$228:$J$238</c:f>
              <c:strCache>
                <c:ptCount val="11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PERSISTENT</c:v>
                </c:pt>
                <c:pt idx="9">
                  <c:v>COFORGE</c:v>
                </c:pt>
                <c:pt idx="10">
                  <c:v>KPITTECH</c:v>
                </c:pt>
              </c:strCache>
            </c:strRef>
          </c:cat>
          <c:val>
            <c:numRef>
              <c:f>'Computers_Software &amp; Consulting'!$K$228:$K$238</c:f>
              <c:numCache>
                <c:formatCode>0.0%</c:formatCode>
                <c:ptCount val="11"/>
                <c:pt idx="0">
                  <c:v>0.38363108733109641</c:v>
                </c:pt>
                <c:pt idx="1">
                  <c:v>0.19161314936097157</c:v>
                </c:pt>
                <c:pt idx="2">
                  <c:v>0.15892132618214128</c:v>
                </c:pt>
                <c:pt idx="3">
                  <c:v>9.7034994408066039E-2</c:v>
                </c:pt>
                <c:pt idx="4">
                  <c:v>0.18769152196118488</c:v>
                </c:pt>
                <c:pt idx="5">
                  <c:v>0.10523692934370464</c:v>
                </c:pt>
                <c:pt idx="6">
                  <c:v>0.27325370973579444</c:v>
                </c:pt>
                <c:pt idx="7">
                  <c:v>0.14109742441209405</c:v>
                </c:pt>
                <c:pt idx="8">
                  <c:v>0.1391448859344312</c:v>
                </c:pt>
                <c:pt idx="9">
                  <c:v>0.13109273271159599</c:v>
                </c:pt>
                <c:pt idx="10">
                  <c:v>0.11352941176470588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7F64-4F3E-8D26-EE3D95BB8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490557"/>
        <c:axId val="437158648"/>
      </c:barChart>
      <c:catAx>
        <c:axId val="12734905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37158648"/>
        <c:crosses val="autoZero"/>
        <c:auto val="1"/>
        <c:lblAlgn val="ctr"/>
        <c:lblOffset val="100"/>
        <c:noMultiLvlLbl val="1"/>
      </c:catAx>
      <c:valAx>
        <c:axId val="4371586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7349055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TOTAL INDUSTRY 11% GR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Consulting'!$L$5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Consulting'!$K$6:$K$7</c:f>
              <c:strCache>
                <c:ptCount val="2"/>
                <c:pt idx="0">
                  <c:v>FY_2021</c:v>
                </c:pt>
                <c:pt idx="1">
                  <c:v>FY_2031</c:v>
                </c:pt>
              </c:strCache>
            </c:strRef>
          </c:cat>
          <c:val>
            <c:numRef>
              <c:f>'Computers_Software &amp; Consulting'!$L$6:$L$7</c:f>
              <c:numCache>
                <c:formatCode>0</c:formatCode>
                <c:ptCount val="2"/>
                <c:pt idx="0">
                  <c:v>2000000</c:v>
                </c:pt>
                <c:pt idx="1">
                  <c:v>5500000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DE5-4F20-B932-2F9C06E92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2203689"/>
        <c:axId val="1887321471"/>
      </c:barChart>
      <c:catAx>
        <c:axId val="20122036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INDUSTRY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87321471"/>
        <c:crosses val="autoZero"/>
        <c:auto val="1"/>
        <c:lblAlgn val="ctr"/>
        <c:lblOffset val="100"/>
        <c:noMultiLvlLbl val="1"/>
      </c:catAx>
      <c:valAx>
        <c:axId val="18873214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SALES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1220368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ICR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Consulting'!$K$161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93A-47D4-B956-BAE6671903EA}"/>
              </c:ext>
            </c:extLst>
          </c:dPt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93A-47D4-B956-BAE6671903EA}"/>
              </c:ext>
            </c:extLst>
          </c:dPt>
          <c:dPt>
            <c:idx val="6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93A-47D4-B956-BAE6671903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Consulting'!$J$162:$J$172</c:f>
              <c:strCache>
                <c:ptCount val="11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PERSISTENT</c:v>
                </c:pt>
                <c:pt idx="9">
                  <c:v>COFORGE</c:v>
                </c:pt>
                <c:pt idx="10">
                  <c:v>KPITTECH</c:v>
                </c:pt>
              </c:strCache>
            </c:strRef>
          </c:cat>
          <c:val>
            <c:numRef>
              <c:f>'Computers_Software &amp; Consulting'!$K$162:$K$172</c:f>
              <c:numCache>
                <c:formatCode>0</c:formatCode>
                <c:ptCount val="11"/>
                <c:pt idx="0">
                  <c:v>69.623876765083438</c:v>
                </c:pt>
                <c:pt idx="1">
                  <c:v>108.82042253521126</c:v>
                </c:pt>
                <c:pt idx="2">
                  <c:v>52.359773371104815</c:v>
                </c:pt>
                <c:pt idx="3">
                  <c:v>13.420059582919563</c:v>
                </c:pt>
                <c:pt idx="4">
                  <c:v>35.9</c:v>
                </c:pt>
                <c:pt idx="5">
                  <c:v>17.953846153846154</c:v>
                </c:pt>
                <c:pt idx="6">
                  <c:v>54.9375</c:v>
                </c:pt>
                <c:pt idx="7">
                  <c:v>21.68930041152263</c:v>
                </c:pt>
                <c:pt idx="8">
                  <c:v>26.391120507399577</c:v>
                </c:pt>
                <c:pt idx="9">
                  <c:v>12.687344913151366</c:v>
                </c:pt>
                <c:pt idx="10">
                  <c:v>15.21875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793A-47D4-B956-BAE667190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316463"/>
        <c:axId val="1476946570"/>
      </c:barChart>
      <c:catAx>
        <c:axId val="2833164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76946570"/>
        <c:crosses val="autoZero"/>
        <c:auto val="1"/>
        <c:lblAlgn val="ctr"/>
        <c:lblOffset val="100"/>
        <c:noMultiLvlLbl val="1"/>
      </c:catAx>
      <c:valAx>
        <c:axId val="14769465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8331646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IT INDUSTRRY vs GROWTH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[1]GROWTH!$Y$3</c:f>
              <c:strCache>
                <c:ptCount val="1"/>
                <c:pt idx="0">
                  <c:v>IT INDUSTRRY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[1]GROWTH!$Z$2:$AD$2</c:f>
              <c:strCache>
                <c:ptCount val="5"/>
                <c:pt idx="0">
                  <c:v>Growth 19 yrs</c:v>
                </c:pt>
                <c:pt idx="1">
                  <c:v>Growth 14 yrs</c:v>
                </c:pt>
                <c:pt idx="2">
                  <c:v>Growth 9 yrs</c:v>
                </c:pt>
                <c:pt idx="3">
                  <c:v>Growth 4 yrs</c:v>
                </c:pt>
                <c:pt idx="4">
                  <c:v>Growth CY</c:v>
                </c:pt>
              </c:strCache>
            </c:strRef>
          </c:cat>
          <c:val>
            <c:numRef>
              <c:f>[1]GROWTH!$Z$3:$AD$3</c:f>
              <c:numCache>
                <c:formatCode>0.00%</c:formatCode>
                <c:ptCount val="5"/>
                <c:pt idx="0">
                  <c:v>0.1980126979937944</c:v>
                </c:pt>
                <c:pt idx="1">
                  <c:v>0.17301711667288933</c:v>
                </c:pt>
                <c:pt idx="2">
                  <c:v>0.15656331013154201</c:v>
                </c:pt>
                <c:pt idx="3">
                  <c:v>0.12878937005184654</c:v>
                </c:pt>
                <c:pt idx="4">
                  <c:v>4.9483482468840601E-2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8A6-4F83-82DE-3D453D623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3076854"/>
        <c:axId val="264147669"/>
      </c:barChart>
      <c:catAx>
        <c:axId val="15530768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GROWTH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64147669"/>
        <c:crosses val="autoZero"/>
        <c:auto val="1"/>
        <c:lblAlgn val="ctr"/>
        <c:lblOffset val="100"/>
        <c:noMultiLvlLbl val="1"/>
      </c:catAx>
      <c:valAx>
        <c:axId val="26414766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IT INDUSTRRY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5307685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 cap vs Company Name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'Computers_Software &amp; Consulting'!$I$5</c:f>
              <c:strCache>
                <c:ptCount val="1"/>
                <c:pt idx="0">
                  <c:v>Market 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D8A2-4B2C-A96C-18A92BD4E9C5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D8A2-4B2C-A96C-18A92BD4E9C5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D8A2-4B2C-A96C-18A92BD4E9C5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D8A2-4B2C-A96C-18A92BD4E9C5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D8A2-4B2C-A96C-18A92BD4E9C5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D8A2-4B2C-A96C-18A92BD4E9C5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D8A2-4B2C-A96C-18A92BD4E9C5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D8A2-4B2C-A96C-18A92BD4E9C5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D8A2-4B2C-A96C-18A92BD4E9C5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D8A2-4B2C-A96C-18A92BD4E9C5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D8A2-4B2C-A96C-18A92BD4E9C5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D8A2-4B2C-A96C-18A92BD4E9C5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D8A2-4B2C-A96C-18A92BD4E9C5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D8A2-4B2C-A96C-18A92BD4E9C5}"/>
              </c:ext>
            </c:extLst>
          </c:dPt>
          <c:dPt>
            <c:idx val="14"/>
            <c:bubble3D val="0"/>
            <c:spPr>
              <a:solidFill>
                <a:srgbClr val="FDE49B"/>
              </a:solidFill>
            </c:spPr>
            <c:extLst>
              <c:ext xmlns:c16="http://schemas.microsoft.com/office/drawing/2014/chart" uri="{C3380CC4-5D6E-409C-BE32-E72D297353CC}">
                <c16:uniqueId val="{0000001D-D8A2-4B2C-A96C-18A92BD4E9C5}"/>
              </c:ext>
            </c:extLst>
          </c:dPt>
          <c:dPt>
            <c:idx val="15"/>
            <c:bubble3D val="0"/>
            <c:spPr>
              <a:solidFill>
                <a:srgbClr val="AEDCBA"/>
              </a:solidFill>
            </c:spPr>
            <c:extLst>
              <c:ext xmlns:c16="http://schemas.microsoft.com/office/drawing/2014/chart" uri="{C3380CC4-5D6E-409C-BE32-E72D297353CC}">
                <c16:uniqueId val="{0000001F-D8A2-4B2C-A96C-18A92BD4E9C5}"/>
              </c:ext>
            </c:extLst>
          </c:dPt>
          <c:cat>
            <c:strRef>
              <c:f>'Computers_Software &amp; Consulting'!$H$6:$H$21</c:f>
              <c:strCache>
                <c:ptCount val="16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OFSS</c:v>
                </c:pt>
                <c:pt idx="7">
                  <c:v>PERSISTENT</c:v>
                </c:pt>
                <c:pt idx="8">
                  <c:v>LTTS</c:v>
                </c:pt>
                <c:pt idx="9">
                  <c:v>MPHASIS</c:v>
                </c:pt>
                <c:pt idx="10">
                  <c:v>KPITTECH</c:v>
                </c:pt>
                <c:pt idx="11">
                  <c:v>TATAELXSI</c:v>
                </c:pt>
                <c:pt idx="12">
                  <c:v>COFORGE</c:v>
                </c:pt>
                <c:pt idx="13">
                  <c:v>TATATECH</c:v>
                </c:pt>
                <c:pt idx="14">
                  <c:v>AFFLE</c:v>
                </c:pt>
                <c:pt idx="15">
                  <c:v>OTHERS</c:v>
                </c:pt>
              </c:strCache>
            </c:strRef>
          </c:cat>
          <c:val>
            <c:numRef>
              <c:f>'Computers_Software &amp; Consulting'!$I$6:$I$21</c:f>
              <c:numCache>
                <c:formatCode>0</c:formatCode>
                <c:ptCount val="16"/>
                <c:pt idx="0">
                  <c:v>1501367.9341845</c:v>
                </c:pt>
                <c:pt idx="1">
                  <c:v>803440</c:v>
                </c:pt>
                <c:pt idx="2">
                  <c:v>497435.30407359998</c:v>
                </c:pt>
                <c:pt idx="3">
                  <c:v>276714</c:v>
                </c:pt>
                <c:pt idx="4">
                  <c:v>189817.2</c:v>
                </c:pt>
                <c:pt idx="5">
                  <c:v>160952.27635500001</c:v>
                </c:pt>
                <c:pt idx="6">
                  <c:v>100245.2</c:v>
                </c:pt>
                <c:pt idx="7">
                  <c:v>83627.340358400004</c:v>
                </c:pt>
                <c:pt idx="8">
                  <c:v>55226.0075</c:v>
                </c:pt>
                <c:pt idx="9">
                  <c:v>54425.43</c:v>
                </c:pt>
                <c:pt idx="10">
                  <c:v>48756.852108899999</c:v>
                </c:pt>
                <c:pt idx="11">
                  <c:v>47789.848161200003</c:v>
                </c:pt>
                <c:pt idx="12">
                  <c:v>45479.199018699997</c:v>
                </c:pt>
                <c:pt idx="13">
                  <c:v>42763.282205000003</c:v>
                </c:pt>
                <c:pt idx="14">
                  <c:v>22673.268088699999</c:v>
                </c:pt>
                <c:pt idx="15" formatCode="General">
                  <c:v>199024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8A2-4B2C-A96C-18A92BD4E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 2023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'Computers_Software &amp; Consulting'!$I$35</c:f>
              <c:strCache>
                <c:ptCount val="1"/>
                <c:pt idx="0">
                  <c:v>Sales 2024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EB16-4B1D-A26A-93129335E4A5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EB16-4B1D-A26A-93129335E4A5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EB16-4B1D-A26A-93129335E4A5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EB16-4B1D-A26A-93129335E4A5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EB16-4B1D-A26A-93129335E4A5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EB16-4B1D-A26A-93129335E4A5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EB16-4B1D-A26A-93129335E4A5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EB16-4B1D-A26A-93129335E4A5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EB16-4B1D-A26A-93129335E4A5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EB16-4B1D-A26A-93129335E4A5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EB16-4B1D-A26A-93129335E4A5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EB16-4B1D-A26A-93129335E4A5}"/>
              </c:ext>
            </c:extLst>
          </c:dPt>
          <c:cat>
            <c:strRef>
              <c:f>'Computers_Software &amp; Consulting'!$H$36:$H$47</c:f>
              <c:strCache>
                <c:ptCount val="12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PERSISTENT</c:v>
                </c:pt>
                <c:pt idx="9">
                  <c:v>COFORGE</c:v>
                </c:pt>
                <c:pt idx="10">
                  <c:v>TATATECH</c:v>
                </c:pt>
                <c:pt idx="11">
                  <c:v>OTHERS</c:v>
                </c:pt>
              </c:strCache>
            </c:strRef>
          </c:cat>
          <c:val>
            <c:numRef>
              <c:f>'Computers_Software &amp; Consulting'!$I$36:$I$47</c:f>
              <c:numCache>
                <c:formatCode>General</c:formatCode>
                <c:ptCount val="12"/>
                <c:pt idx="0">
                  <c:v>240893</c:v>
                </c:pt>
                <c:pt idx="1">
                  <c:v>153670</c:v>
                </c:pt>
                <c:pt idx="2">
                  <c:v>109913</c:v>
                </c:pt>
                <c:pt idx="3">
                  <c:v>89760</c:v>
                </c:pt>
                <c:pt idx="4">
                  <c:v>35517</c:v>
                </c:pt>
                <c:pt idx="5">
                  <c:v>51996</c:v>
                </c:pt>
                <c:pt idx="6">
                  <c:v>3674</c:v>
                </c:pt>
                <c:pt idx="7">
                  <c:v>13278</c:v>
                </c:pt>
                <c:pt idx="8">
                  <c:v>9950</c:v>
                </c:pt>
                <c:pt idx="9">
                  <c:v>9179</c:v>
                </c:pt>
                <c:pt idx="10">
                  <c:v>5117</c:v>
                </c:pt>
                <c:pt idx="11" formatCode="0">
                  <c:v>33851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B16-4B1D-A26A-93129335E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 CR vs YEAR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Consulting'!$K$50</c:f>
              <c:strCache>
                <c:ptCount val="1"/>
                <c:pt idx="0">
                  <c:v>PROFIT 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Consulting'!$J$51:$J$58</c:f>
              <c:strCache>
                <c:ptCount val="8"/>
                <c:pt idx="0">
                  <c:v>PROFIT_2024</c:v>
                </c:pt>
                <c:pt idx="1">
                  <c:v>PROFIT_2023</c:v>
                </c:pt>
                <c:pt idx="2">
                  <c:v>PROFIT_2022</c:v>
                </c:pt>
                <c:pt idx="3">
                  <c:v>PROFIT_2020</c:v>
                </c:pt>
                <c:pt idx="4">
                  <c:v>PROFIT_2015</c:v>
                </c:pt>
                <c:pt idx="5">
                  <c:v>PROFIT_2010</c:v>
                </c:pt>
                <c:pt idx="6">
                  <c:v>PROFIT_2005</c:v>
                </c:pt>
                <c:pt idx="7">
                  <c:v>PROFIT_2000</c:v>
                </c:pt>
              </c:strCache>
            </c:strRef>
          </c:cat>
          <c:val>
            <c:numRef>
              <c:f>'Computers_Software &amp; Consulting'!$K$51:$K$58</c:f>
              <c:numCache>
                <c:formatCode>#,##0;\(#,##0\)</c:formatCode>
                <c:ptCount val="8"/>
                <c:pt idx="0">
                  <c:v>110776</c:v>
                </c:pt>
                <c:pt idx="1">
                  <c:v>108751</c:v>
                </c:pt>
                <c:pt idx="2">
                  <c:v>100456</c:v>
                </c:pt>
                <c:pt idx="3">
                  <c:v>79060.7</c:v>
                </c:pt>
                <c:pt idx="4">
                  <c:v>45209</c:v>
                </c:pt>
                <c:pt idx="5">
                  <c:v>19013</c:v>
                </c:pt>
                <c:pt idx="6">
                  <c:v>5593</c:v>
                </c:pt>
                <c:pt idx="7">
                  <c:v>1582.07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6B6-4ABC-89B3-B88773B98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320574"/>
        <c:axId val="1596284531"/>
      </c:barChart>
      <c:catAx>
        <c:axId val="20843205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96284531"/>
        <c:crosses val="autoZero"/>
        <c:auto val="1"/>
        <c:lblAlgn val="ctr"/>
        <c:lblOffset val="100"/>
        <c:noMultiLvlLbl val="1"/>
      </c:catAx>
      <c:valAx>
        <c:axId val="15962845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PROFIT CR</a:t>
                </a:r>
              </a:p>
            </c:rich>
          </c:tx>
          <c:overlay val="0"/>
        </c:title>
        <c:numFmt formatCode="#,##0;\(#,##0\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8432057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Profit 2023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'Computers_Software &amp; Consulting'!$K$63</c:f>
              <c:strCache>
                <c:ptCount val="1"/>
                <c:pt idx="0">
                  <c:v>Profit 2023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DE9B-435A-BB71-4B156FBE0A64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DE9B-435A-BB71-4B156FBE0A64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DE9B-435A-BB71-4B156FBE0A64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DE9B-435A-BB71-4B156FBE0A64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DE9B-435A-BB71-4B156FBE0A64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DE9B-435A-BB71-4B156FBE0A64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DE9B-435A-BB71-4B156FBE0A64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DE9B-435A-BB71-4B156FBE0A64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DE9B-435A-BB71-4B156FBE0A6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'Computers_Software &amp; Consulting'!$J$64:$J$72</c:f>
              <c:strCache>
                <c:ptCount val="9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OTHERS</c:v>
                </c:pt>
              </c:strCache>
            </c:strRef>
          </c:cat>
          <c:val>
            <c:numRef>
              <c:f>'Computers_Software &amp; Consulting'!$K$64:$K$72</c:f>
              <c:numCache>
                <c:formatCode>General</c:formatCode>
                <c:ptCount val="9"/>
                <c:pt idx="0">
                  <c:v>42303</c:v>
                </c:pt>
                <c:pt idx="1">
                  <c:v>24108</c:v>
                </c:pt>
                <c:pt idx="2">
                  <c:v>14845</c:v>
                </c:pt>
                <c:pt idx="3">
                  <c:v>11366</c:v>
                </c:pt>
                <c:pt idx="4">
                  <c:v>4410</c:v>
                </c:pt>
                <c:pt idx="5">
                  <c:v>4857</c:v>
                </c:pt>
                <c:pt idx="6">
                  <c:v>755</c:v>
                </c:pt>
                <c:pt idx="7">
                  <c:v>1638</c:v>
                </c:pt>
                <c:pt idx="8" formatCode="#,##0;\(#,##0\)">
                  <c:v>6494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E9B-435A-BB71-4B156FBE0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 % OF INDUSTRY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Consulting'!$K$74</c:f>
              <c:strCache>
                <c:ptCount val="1"/>
                <c:pt idx="0">
                  <c:v>MARGIN %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Consulting'!$J$75:$J$80</c:f>
              <c:strCache>
                <c:ptCount val="6"/>
                <c:pt idx="0">
                  <c:v>MARGIN_24</c:v>
                </c:pt>
                <c:pt idx="1">
                  <c:v>MARGIN_23</c:v>
                </c:pt>
                <c:pt idx="2">
                  <c:v>MARGIN_22</c:v>
                </c:pt>
                <c:pt idx="3">
                  <c:v>MARGIN_15</c:v>
                </c:pt>
                <c:pt idx="4">
                  <c:v>MARGIN_10</c:v>
                </c:pt>
                <c:pt idx="5">
                  <c:v>EST_2000</c:v>
                </c:pt>
              </c:strCache>
            </c:strRef>
          </c:cat>
          <c:val>
            <c:numRef>
              <c:f>'Computers_Software &amp; Consulting'!$K$75:$K$80</c:f>
              <c:numCache>
                <c:formatCode>0.0%</c:formatCode>
                <c:ptCount val="6"/>
                <c:pt idx="0">
                  <c:v>0.13900000000000001</c:v>
                </c:pt>
                <c:pt idx="1">
                  <c:v>0.15183618875822177</c:v>
                </c:pt>
                <c:pt idx="2">
                  <c:v>0.17070795813529052</c:v>
                </c:pt>
                <c:pt idx="3">
                  <c:v>0.22269785129503561</c:v>
                </c:pt>
                <c:pt idx="4">
                  <c:v>0.23619895224216947</c:v>
                </c:pt>
                <c:pt idx="5">
                  <c:v>0.26425087689994986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E4A-46EF-A46C-27678A857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2215822"/>
        <c:axId val="1315860184"/>
      </c:barChart>
      <c:catAx>
        <c:axId val="12522158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INDUSTRY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15860184"/>
        <c:crosses val="autoZero"/>
        <c:auto val="1"/>
        <c:lblAlgn val="ctr"/>
        <c:lblOffset val="100"/>
        <c:noMultiLvlLbl val="1"/>
      </c:catAx>
      <c:valAx>
        <c:axId val="13158601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MARGIN %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221582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MARGIN_FY23 INDUSTRY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Consulting'!$K$87</c:f>
              <c:strCache>
                <c:ptCount val="1"/>
                <c:pt idx="0">
                  <c:v>MARGIN 2024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501-40E5-8F5C-1C8E28D94C4F}"/>
              </c:ext>
            </c:extLst>
          </c:dPt>
          <c:dPt>
            <c:idx val="6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501-40E5-8F5C-1C8E28D94C4F}"/>
              </c:ext>
            </c:extLst>
          </c:dPt>
          <c:dPt>
            <c:idx val="16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501-40E5-8F5C-1C8E28D94C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Consulting'!$J$88:$J$107</c:f>
              <c:strCache>
                <c:ptCount val="20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OFSS</c:v>
                </c:pt>
                <c:pt idx="7">
                  <c:v>PERSISTENT</c:v>
                </c:pt>
                <c:pt idx="8">
                  <c:v>LTTS</c:v>
                </c:pt>
                <c:pt idx="9">
                  <c:v>MPHASIS</c:v>
                </c:pt>
                <c:pt idx="10">
                  <c:v>KPITTECH</c:v>
                </c:pt>
                <c:pt idx="11">
                  <c:v>TATAELXSI</c:v>
                </c:pt>
                <c:pt idx="12">
                  <c:v>COFORGE</c:v>
                </c:pt>
                <c:pt idx="13">
                  <c:v>TATATECH</c:v>
                </c:pt>
                <c:pt idx="14">
                  <c:v>AFFLE</c:v>
                </c:pt>
                <c:pt idx="15">
                  <c:v>CYIENT</c:v>
                </c:pt>
                <c:pt idx="16">
                  <c:v>NEWGEN</c:v>
                </c:pt>
                <c:pt idx="17">
                  <c:v>SONATSOFTW</c:v>
                </c:pt>
                <c:pt idx="18">
                  <c:v>BSOFT</c:v>
                </c:pt>
                <c:pt idx="19">
                  <c:v>ZENSARTECH</c:v>
                </c:pt>
              </c:strCache>
            </c:strRef>
          </c:cat>
          <c:val>
            <c:numRef>
              <c:f>'Computers_Software &amp; Consulting'!$K$88:$K$107</c:f>
              <c:numCache>
                <c:formatCode>0.00%</c:formatCode>
                <c:ptCount val="20"/>
                <c:pt idx="0">
                  <c:v>0.19139999999999999</c:v>
                </c:pt>
                <c:pt idx="1">
                  <c:v>0.17080000000000001</c:v>
                </c:pt>
                <c:pt idx="2">
                  <c:v>0.1429</c:v>
                </c:pt>
                <c:pt idx="3">
                  <c:v>1.24E-2</c:v>
                </c:pt>
                <c:pt idx="4">
                  <c:v>0.12909999999999999</c:v>
                </c:pt>
                <c:pt idx="5">
                  <c:v>4.6100000000000002E-2</c:v>
                </c:pt>
                <c:pt idx="6">
                  <c:v>0.34820000000000001</c:v>
                </c:pt>
                <c:pt idx="7">
                  <c:v>0.10979999999999999</c:v>
                </c:pt>
                <c:pt idx="8">
                  <c:v>0.13539999999999999</c:v>
                </c:pt>
                <c:pt idx="9">
                  <c:v>0.1171</c:v>
                </c:pt>
                <c:pt idx="10">
                  <c:v>0.1229</c:v>
                </c:pt>
                <c:pt idx="11">
                  <c:v>0.21560000000000001</c:v>
                </c:pt>
                <c:pt idx="12">
                  <c:v>9.11E-2</c:v>
                </c:pt>
                <c:pt idx="13">
                  <c:v>0.13270000000000001</c:v>
                </c:pt>
                <c:pt idx="14">
                  <c:v>0.16120000000000001</c:v>
                </c:pt>
                <c:pt idx="15" formatCode="0.0%">
                  <c:v>9.8400000000000001E-2</c:v>
                </c:pt>
                <c:pt idx="16" formatCode="0.0%">
                  <c:v>0.2019</c:v>
                </c:pt>
                <c:pt idx="17" formatCode="0.0%">
                  <c:v>3.5900000000000001E-2</c:v>
                </c:pt>
                <c:pt idx="18" formatCode="0.0%">
                  <c:v>0.1182</c:v>
                </c:pt>
                <c:pt idx="19" formatCode="0.0%">
                  <c:v>0.13139999999999999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9501-40E5-8F5C-1C8E28D94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3250922"/>
        <c:axId val="1841053865"/>
      </c:barChart>
      <c:catAx>
        <c:axId val="6232509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41053865"/>
        <c:crosses val="autoZero"/>
        <c:auto val="1"/>
        <c:lblAlgn val="ctr"/>
        <c:lblOffset val="100"/>
        <c:noMultiLvlLbl val="1"/>
      </c:catAx>
      <c:valAx>
        <c:axId val="18410538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MARGIN_FY23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2325092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CURRENT RATIO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Consulting'!$K$109</c:f>
              <c:strCache>
                <c:ptCount val="1"/>
                <c:pt idx="0">
                  <c:v>CURRENT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4F1-40ED-B3FC-25C642443C0F}"/>
              </c:ext>
            </c:extLst>
          </c:dPt>
          <c:dPt>
            <c:idx val="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4F1-40ED-B3FC-25C642443C0F}"/>
              </c:ext>
            </c:extLst>
          </c:dPt>
          <c:dPt>
            <c:idx val="3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4F1-40ED-B3FC-25C642443C0F}"/>
              </c:ext>
            </c:extLst>
          </c:dPt>
          <c:dPt>
            <c:idx val="4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4F1-40ED-B3FC-25C642443C0F}"/>
              </c:ext>
            </c:extLst>
          </c:dPt>
          <c:dPt>
            <c:idx val="6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4F1-40ED-B3FC-25C642443C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Consulting'!$J$110:$J$120</c:f>
              <c:strCache>
                <c:ptCount val="11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PERSISTENT</c:v>
                </c:pt>
                <c:pt idx="9">
                  <c:v>COFORGE</c:v>
                </c:pt>
                <c:pt idx="10">
                  <c:v>KPITTECH</c:v>
                </c:pt>
              </c:strCache>
            </c:strRef>
          </c:cat>
          <c:val>
            <c:numRef>
              <c:f>'Computers_Software &amp; Consulting'!$K$110:$K$120</c:f>
              <c:numCache>
                <c:formatCode>0.0</c:formatCode>
                <c:ptCount val="11"/>
                <c:pt idx="0">
                  <c:v>2.5</c:v>
                </c:pt>
                <c:pt idx="1">
                  <c:v>1.8088347879344664</c:v>
                </c:pt>
                <c:pt idx="2">
                  <c:v>2.4999766693108114</c:v>
                </c:pt>
                <c:pt idx="3">
                  <c:v>2.4690569561157796</c:v>
                </c:pt>
                <c:pt idx="4">
                  <c:v>3.1342330840780597</c:v>
                </c:pt>
                <c:pt idx="5">
                  <c:v>1.8340965392988515</c:v>
                </c:pt>
                <c:pt idx="6">
                  <c:v>4.8288100208768263</c:v>
                </c:pt>
                <c:pt idx="7">
                  <c:v>2.1283518055058992</c:v>
                </c:pt>
                <c:pt idx="8">
                  <c:v>1.7962206332992849</c:v>
                </c:pt>
                <c:pt idx="9">
                  <c:v>1.4985623921794136</c:v>
                </c:pt>
                <c:pt idx="10">
                  <c:v>1.2851027397260273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14F1-40ED-B3FC-25C642443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6936863"/>
        <c:axId val="984027473"/>
      </c:barChart>
      <c:catAx>
        <c:axId val="13969368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84027473"/>
        <c:crosses val="autoZero"/>
        <c:auto val="1"/>
        <c:lblAlgn val="ctr"/>
        <c:lblOffset val="100"/>
        <c:noMultiLvlLbl val="1"/>
      </c:catAx>
      <c:valAx>
        <c:axId val="9840274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CURRENT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9693686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TRADE DAYS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'Computers_Software &amp; Consulting'!$K$122</c:f>
              <c:strCache>
                <c:ptCount val="1"/>
                <c:pt idx="0">
                  <c:v>TRADE 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A0E-4F89-823D-4759F3BACB4A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A0E-4F89-823D-4759F3BACB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'Computers_Software &amp; Consulting'!$J$123:$J$133</c:f>
              <c:strCache>
                <c:ptCount val="11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PERSISTENT</c:v>
                </c:pt>
                <c:pt idx="9">
                  <c:v>COFORGE</c:v>
                </c:pt>
                <c:pt idx="10">
                  <c:v>KPITTECH</c:v>
                </c:pt>
              </c:strCache>
            </c:strRef>
          </c:cat>
          <c:val>
            <c:numRef>
              <c:f>'Computers_Software &amp; Consulting'!$K$123:$K$133</c:f>
              <c:numCache>
                <c:formatCode>0.0</c:formatCode>
                <c:ptCount val="11"/>
                <c:pt idx="0">
                  <c:v>81.435256233977057</c:v>
                </c:pt>
                <c:pt idx="1">
                  <c:v>63.227837320378555</c:v>
                </c:pt>
                <c:pt idx="2">
                  <c:v>94.210840167166054</c:v>
                </c:pt>
                <c:pt idx="3">
                  <c:v>51.312494474405447</c:v>
                </c:pt>
                <c:pt idx="4">
                  <c:v>61.893695567007192</c:v>
                </c:pt>
                <c:pt idx="5">
                  <c:v>88.232876712328761</c:v>
                </c:pt>
                <c:pt idx="6">
                  <c:v>113.30788804071247</c:v>
                </c:pt>
                <c:pt idx="7">
                  <c:v>70.180098565009416</c:v>
                </c:pt>
                <c:pt idx="8">
                  <c:v>68.620524488085266</c:v>
                </c:pt>
                <c:pt idx="9">
                  <c:v>73.455396132252019</c:v>
                </c:pt>
                <c:pt idx="10">
                  <c:v>83.955423476968789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DA0E-4F89-823D-4759F3BAC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270472"/>
        <c:axId val="2051002091"/>
      </c:barChart>
      <c:catAx>
        <c:axId val="229270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51002091"/>
        <c:crosses val="autoZero"/>
        <c:auto val="1"/>
        <c:lblAlgn val="ctr"/>
        <c:lblOffset val="100"/>
        <c:noMultiLvlLbl val="1"/>
      </c:catAx>
      <c:valAx>
        <c:axId val="205100209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TRADE DAYS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2927047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DEBT2EQUITY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'Computers_Software &amp; Consulting'!$K$135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E6E-4244-B297-AC86D688AECE}"/>
              </c:ext>
            </c:extLst>
          </c:dPt>
          <c:cat>
            <c:strRef>
              <c:f>'Computers_Software &amp; Consulting'!$J$136:$J$146</c:f>
              <c:strCache>
                <c:ptCount val="11"/>
                <c:pt idx="0">
                  <c:v>TCS</c:v>
                </c:pt>
                <c:pt idx="1">
                  <c:v>INFY</c:v>
                </c:pt>
                <c:pt idx="2">
                  <c:v>HCLTECH</c:v>
                </c:pt>
                <c:pt idx="3">
                  <c:v>WIPRO</c:v>
                </c:pt>
                <c:pt idx="4">
                  <c:v>LTIM</c:v>
                </c:pt>
                <c:pt idx="5">
                  <c:v>TECHM</c:v>
                </c:pt>
                <c:pt idx="6">
                  <c:v>TATAELXSI</c:v>
                </c:pt>
                <c:pt idx="7">
                  <c:v>MPHASIS</c:v>
                </c:pt>
                <c:pt idx="8">
                  <c:v>PERSISTENT</c:v>
                </c:pt>
                <c:pt idx="9">
                  <c:v>COFORGE</c:v>
                </c:pt>
                <c:pt idx="10">
                  <c:v>KPITTECH</c:v>
                </c:pt>
              </c:strCache>
            </c:strRef>
          </c:cat>
          <c:val>
            <c:numRef>
              <c:f>'Computers_Software &amp; Consulting'!$K$136:$K$146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3.4420012844429491E-2</c:v>
                </c:pt>
                <c:pt idx="3">
                  <c:v>0.19310140750842703</c:v>
                </c:pt>
                <c:pt idx="4">
                  <c:v>7.5305741309717456E-3</c:v>
                </c:pt>
                <c:pt idx="5">
                  <c:v>5.5573751439529206E-3</c:v>
                </c:pt>
                <c:pt idx="6">
                  <c:v>0</c:v>
                </c:pt>
                <c:pt idx="7">
                  <c:v>2.4955886059994957E-2</c:v>
                </c:pt>
                <c:pt idx="8">
                  <c:v>0.10794451450189155</c:v>
                </c:pt>
                <c:pt idx="9">
                  <c:v>0.10665825181445251</c:v>
                </c:pt>
                <c:pt idx="10">
                  <c:v>2.9585087191822009E-2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DE6E-4244-B297-AC86D688A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953285"/>
        <c:axId val="106885673"/>
      </c:barChart>
      <c:catAx>
        <c:axId val="94895328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6885673"/>
        <c:crosses val="autoZero"/>
        <c:auto val="1"/>
        <c:lblAlgn val="ctr"/>
        <c:lblOffset val="100"/>
        <c:noMultiLvlLbl val="1"/>
      </c:catAx>
      <c:valAx>
        <c:axId val="10688567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48953285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52</xdr:row>
      <xdr:rowOff>-104775</xdr:rowOff>
    </xdr:from>
    <xdr:ext cx="5524500" cy="5524500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829CD5C5-E5D1-49B8-B12F-7A3921A3CE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9496425"/>
          <a:ext cx="5524500" cy="5524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76200</xdr:colOff>
      <xdr:row>19</xdr:row>
      <xdr:rowOff>0</xdr:rowOff>
    </xdr:from>
    <xdr:ext cx="4295775" cy="2657475"/>
    <xdr:graphicFrame macro="">
      <xdr:nvGraphicFramePr>
        <xdr:cNvPr id="2" name="Chart 21" title="Chart">
          <a:extLst>
            <a:ext uri="{FF2B5EF4-FFF2-40B4-BE49-F238E27FC236}">
              <a16:creationId xmlns:a16="http://schemas.microsoft.com/office/drawing/2014/main" id="{67611731-74D0-4961-879F-65B3E4AAE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76200</xdr:colOff>
      <xdr:row>33</xdr:row>
      <xdr:rowOff>76200</xdr:rowOff>
    </xdr:from>
    <xdr:ext cx="4295775" cy="2657475"/>
    <xdr:graphicFrame macro="">
      <xdr:nvGraphicFramePr>
        <xdr:cNvPr id="3" name="Chart 22" title="Chart">
          <a:extLst>
            <a:ext uri="{FF2B5EF4-FFF2-40B4-BE49-F238E27FC236}">
              <a16:creationId xmlns:a16="http://schemas.microsoft.com/office/drawing/2014/main" id="{FFE70E05-2643-41DE-80E2-93CA1DCE0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</xdr:col>
      <xdr:colOff>76200</xdr:colOff>
      <xdr:row>48</xdr:row>
      <xdr:rowOff>95250</xdr:rowOff>
    </xdr:from>
    <xdr:ext cx="6419850" cy="2343150"/>
    <xdr:graphicFrame macro="">
      <xdr:nvGraphicFramePr>
        <xdr:cNvPr id="4" name="Chart 23" title="Chart">
          <a:extLst>
            <a:ext uri="{FF2B5EF4-FFF2-40B4-BE49-F238E27FC236}">
              <a16:creationId xmlns:a16="http://schemas.microsoft.com/office/drawing/2014/main" id="{81BAD876-1605-471A-9571-60CDD20588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2</xdr:col>
      <xdr:colOff>76200</xdr:colOff>
      <xdr:row>61</xdr:row>
      <xdr:rowOff>9525</xdr:rowOff>
    </xdr:from>
    <xdr:ext cx="6419850" cy="2124075"/>
    <xdr:graphicFrame macro="">
      <xdr:nvGraphicFramePr>
        <xdr:cNvPr id="5" name="Chart 24" title="Chart">
          <a:extLst>
            <a:ext uri="{FF2B5EF4-FFF2-40B4-BE49-F238E27FC236}">
              <a16:creationId xmlns:a16="http://schemas.microsoft.com/office/drawing/2014/main" id="{FFB2A662-7949-4A56-AFDD-EEEC3DBCC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2</xdr:col>
      <xdr:colOff>76200</xdr:colOff>
      <xdr:row>72</xdr:row>
      <xdr:rowOff>85725</xdr:rowOff>
    </xdr:from>
    <xdr:ext cx="6467475" cy="2438400"/>
    <xdr:graphicFrame macro="">
      <xdr:nvGraphicFramePr>
        <xdr:cNvPr id="6" name="Chart 25" title="Chart">
          <a:extLst>
            <a:ext uri="{FF2B5EF4-FFF2-40B4-BE49-F238E27FC236}">
              <a16:creationId xmlns:a16="http://schemas.microsoft.com/office/drawing/2014/main" id="{02E4C1BB-4A02-47C5-A63A-C16083571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2</xdr:col>
      <xdr:colOff>76200</xdr:colOff>
      <xdr:row>85</xdr:row>
      <xdr:rowOff>95250</xdr:rowOff>
    </xdr:from>
    <xdr:ext cx="6467475" cy="4105275"/>
    <xdr:graphicFrame macro="">
      <xdr:nvGraphicFramePr>
        <xdr:cNvPr id="7" name="Chart 26" title="Chart">
          <a:extLst>
            <a:ext uri="{FF2B5EF4-FFF2-40B4-BE49-F238E27FC236}">
              <a16:creationId xmlns:a16="http://schemas.microsoft.com/office/drawing/2014/main" id="{CC2F046C-F70E-4223-A891-B3146E0F2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2</xdr:col>
      <xdr:colOff>76200</xdr:colOff>
      <xdr:row>107</xdr:row>
      <xdr:rowOff>57150</xdr:rowOff>
    </xdr:from>
    <xdr:ext cx="6467475" cy="2438400"/>
    <xdr:graphicFrame macro="">
      <xdr:nvGraphicFramePr>
        <xdr:cNvPr id="8" name="Chart 27" title="Chart">
          <a:extLst>
            <a:ext uri="{FF2B5EF4-FFF2-40B4-BE49-F238E27FC236}">
              <a16:creationId xmlns:a16="http://schemas.microsoft.com/office/drawing/2014/main" id="{FAE19013-52D9-494B-9D24-4840D14F9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2</xdr:col>
      <xdr:colOff>76200</xdr:colOff>
      <xdr:row>120</xdr:row>
      <xdr:rowOff>66675</xdr:rowOff>
    </xdr:from>
    <xdr:ext cx="6467475" cy="2438400"/>
    <xdr:graphicFrame macro="">
      <xdr:nvGraphicFramePr>
        <xdr:cNvPr id="9" name="Chart 28" title="Chart">
          <a:extLst>
            <a:ext uri="{FF2B5EF4-FFF2-40B4-BE49-F238E27FC236}">
              <a16:creationId xmlns:a16="http://schemas.microsoft.com/office/drawing/2014/main" id="{6823A8B3-B264-45A0-B5BE-A6135D34EE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2</xdr:col>
      <xdr:colOff>76200</xdr:colOff>
      <xdr:row>133</xdr:row>
      <xdr:rowOff>76200</xdr:rowOff>
    </xdr:from>
    <xdr:ext cx="6467475" cy="2438400"/>
    <xdr:graphicFrame macro="">
      <xdr:nvGraphicFramePr>
        <xdr:cNvPr id="10" name="Chart 29" title="Chart">
          <a:extLst>
            <a:ext uri="{FF2B5EF4-FFF2-40B4-BE49-F238E27FC236}">
              <a16:creationId xmlns:a16="http://schemas.microsoft.com/office/drawing/2014/main" id="{00EF99FF-6E01-4D72-8B25-4618F0F88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2</xdr:col>
      <xdr:colOff>76200</xdr:colOff>
      <xdr:row>146</xdr:row>
      <xdr:rowOff>85725</xdr:rowOff>
    </xdr:from>
    <xdr:ext cx="6467475" cy="2438400"/>
    <xdr:graphicFrame macro="">
      <xdr:nvGraphicFramePr>
        <xdr:cNvPr id="11" name="Chart 30" title="Chart">
          <a:extLst>
            <a:ext uri="{FF2B5EF4-FFF2-40B4-BE49-F238E27FC236}">
              <a16:creationId xmlns:a16="http://schemas.microsoft.com/office/drawing/2014/main" id="{A5CDEAE0-EAB7-45D0-866C-6B9EC962D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2</xdr:col>
      <xdr:colOff>76200</xdr:colOff>
      <xdr:row>173</xdr:row>
      <xdr:rowOff>95250</xdr:rowOff>
    </xdr:from>
    <xdr:ext cx="6467475" cy="2438400"/>
    <xdr:graphicFrame macro="">
      <xdr:nvGraphicFramePr>
        <xdr:cNvPr id="12" name="Chart 31" title="Chart">
          <a:extLst>
            <a:ext uri="{FF2B5EF4-FFF2-40B4-BE49-F238E27FC236}">
              <a16:creationId xmlns:a16="http://schemas.microsoft.com/office/drawing/2014/main" id="{81C1900B-7C9D-49EF-B825-4EE4C69A7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2</xdr:col>
      <xdr:colOff>76200</xdr:colOff>
      <xdr:row>186</xdr:row>
      <xdr:rowOff>104775</xdr:rowOff>
    </xdr:from>
    <xdr:ext cx="6467475" cy="2371725"/>
    <xdr:graphicFrame macro="">
      <xdr:nvGraphicFramePr>
        <xdr:cNvPr id="13" name="Chart 32" title="Chart">
          <a:extLst>
            <a:ext uri="{FF2B5EF4-FFF2-40B4-BE49-F238E27FC236}">
              <a16:creationId xmlns:a16="http://schemas.microsoft.com/office/drawing/2014/main" id="{8740BF4F-57D1-4EC1-A1BD-4E786D100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2</xdr:col>
      <xdr:colOff>76200</xdr:colOff>
      <xdr:row>199</xdr:row>
      <xdr:rowOff>114300</xdr:rowOff>
    </xdr:from>
    <xdr:ext cx="6467475" cy="2371725"/>
    <xdr:graphicFrame macro="">
      <xdr:nvGraphicFramePr>
        <xdr:cNvPr id="14" name="Chart 33" title="Chart">
          <a:extLst>
            <a:ext uri="{FF2B5EF4-FFF2-40B4-BE49-F238E27FC236}">
              <a16:creationId xmlns:a16="http://schemas.microsoft.com/office/drawing/2014/main" id="{615B4A0C-C141-4F37-BAAE-256A57F5F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2</xdr:col>
      <xdr:colOff>76200</xdr:colOff>
      <xdr:row>212</xdr:row>
      <xdr:rowOff>123825</xdr:rowOff>
    </xdr:from>
    <xdr:ext cx="6467475" cy="2371725"/>
    <xdr:graphicFrame macro="">
      <xdr:nvGraphicFramePr>
        <xdr:cNvPr id="15" name="Chart 34" title="Chart">
          <a:extLst>
            <a:ext uri="{FF2B5EF4-FFF2-40B4-BE49-F238E27FC236}">
              <a16:creationId xmlns:a16="http://schemas.microsoft.com/office/drawing/2014/main" id="{D1372FC6-88AE-4DFE-88BA-BE197B2FE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2</xdr:col>
      <xdr:colOff>76200</xdr:colOff>
      <xdr:row>225</xdr:row>
      <xdr:rowOff>66675</xdr:rowOff>
    </xdr:from>
    <xdr:ext cx="6467475" cy="2438400"/>
    <xdr:graphicFrame macro="">
      <xdr:nvGraphicFramePr>
        <xdr:cNvPr id="16" name="Chart 35" title="Chart">
          <a:extLst>
            <a:ext uri="{FF2B5EF4-FFF2-40B4-BE49-F238E27FC236}">
              <a16:creationId xmlns:a16="http://schemas.microsoft.com/office/drawing/2014/main" id="{D7A7F9F4-F157-48DB-AF69-E5CAE0DB0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9</xdr:col>
      <xdr:colOff>885825</xdr:colOff>
      <xdr:row>8</xdr:row>
      <xdr:rowOff>47625</xdr:rowOff>
    </xdr:from>
    <xdr:ext cx="2895600" cy="1495425"/>
    <xdr:graphicFrame macro="">
      <xdr:nvGraphicFramePr>
        <xdr:cNvPr id="17" name="Chart 36" title="Chart">
          <a:extLst>
            <a:ext uri="{FF2B5EF4-FFF2-40B4-BE49-F238E27FC236}">
              <a16:creationId xmlns:a16="http://schemas.microsoft.com/office/drawing/2014/main" id="{8B7F43A4-2D54-48EE-B2F1-301910FBC6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2</xdr:col>
      <xdr:colOff>76200</xdr:colOff>
      <xdr:row>159</xdr:row>
      <xdr:rowOff>95250</xdr:rowOff>
    </xdr:from>
    <xdr:ext cx="6467475" cy="2371725"/>
    <xdr:graphicFrame macro="">
      <xdr:nvGraphicFramePr>
        <xdr:cNvPr id="18" name="Chart 37" title="Chart">
          <a:extLst>
            <a:ext uri="{FF2B5EF4-FFF2-40B4-BE49-F238E27FC236}">
              <a16:creationId xmlns:a16="http://schemas.microsoft.com/office/drawing/2014/main" id="{99B06D87-C15A-4F7C-A260-AA198AB78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6</xdr:col>
      <xdr:colOff>647700</xdr:colOff>
      <xdr:row>21</xdr:row>
      <xdr:rowOff>9525</xdr:rowOff>
    </xdr:from>
    <xdr:ext cx="3638550" cy="2266950"/>
    <xdr:graphicFrame macro="">
      <xdr:nvGraphicFramePr>
        <xdr:cNvPr id="19" name="Chart 38" title="Chart">
          <a:extLst>
            <a:ext uri="{FF2B5EF4-FFF2-40B4-BE49-F238E27FC236}">
              <a16:creationId xmlns:a16="http://schemas.microsoft.com/office/drawing/2014/main" id="{4EAE1B2C-E700-4A80-B354-E80B456AB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oneCellAnchor>
  <xdr:oneCellAnchor>
    <xdr:from>
      <xdr:col>2</xdr:col>
      <xdr:colOff>76200</xdr:colOff>
      <xdr:row>3</xdr:row>
      <xdr:rowOff>95250</xdr:rowOff>
    </xdr:from>
    <xdr:ext cx="4629150" cy="2867025"/>
    <xdr:graphicFrame macro="">
      <xdr:nvGraphicFramePr>
        <xdr:cNvPr id="20" name="Chart 39" title="Chart">
          <a:extLst>
            <a:ext uri="{FF2B5EF4-FFF2-40B4-BE49-F238E27FC236}">
              <a16:creationId xmlns:a16="http://schemas.microsoft.com/office/drawing/2014/main" id="{1D48F965-67B4-41CA-B15D-D2407492B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Computers%20-%20Software%20&amp;%20Consulting%20%20(8).xlsx" TargetMode="External"/><Relationship Id="rId1" Type="http://schemas.openxmlformats.org/officeDocument/2006/relationships/externalLinkPath" Target="/Users/profi/Downloads/Computers%20-%20Software%20&amp;%20Consulting%20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ustry"/>
      <sheetName val="Computers-Software &amp; Consulting"/>
      <sheetName val="Computers_Software &amp; Consulting"/>
      <sheetName val="TCS"/>
      <sheetName val="GROWTH"/>
      <sheetName val="QUALITY"/>
      <sheetName val="GROWTH totalmarket"/>
      <sheetName val="QUALITY TOTAL MARKET"/>
      <sheetName val="Dashboard"/>
      <sheetName val="PivotTable"/>
      <sheetName val="TATAELXSI"/>
      <sheetName val="IT Consulting &amp; Software"/>
      <sheetName val="Computers - Software &amp; Consulti"/>
      <sheetName val="IT TRIO"/>
      <sheetName val="LTI Itrinsic"/>
      <sheetName val="LTI"/>
      <sheetName val="infosys"/>
      <sheetName val="TCS DASHBOARD"/>
      <sheetName val="TECHM"/>
      <sheetName val="PERSISTENT"/>
      <sheetName val="WIPRO"/>
      <sheetName val="INFY"/>
      <sheetName val="HCLTECH"/>
      <sheetName val="NewGen"/>
      <sheetName val="MPHASIS"/>
      <sheetName val="MINDTREE"/>
      <sheetName val="NIITTECH"/>
      <sheetName val="CYIENT"/>
      <sheetName val="SONATSOFTW"/>
      <sheetName val="63MOONS"/>
      <sheetName val="Sheet2"/>
    </sheetNames>
    <sheetDataSet>
      <sheetData sheetId="0"/>
      <sheetData sheetId="1"/>
      <sheetData sheetId="2">
        <row r="5">
          <cell r="I5" t="str">
            <v>Market cap</v>
          </cell>
          <cell r="L5" t="str">
            <v>SALES</v>
          </cell>
        </row>
        <row r="6">
          <cell r="H6" t="str">
            <v>TCS</v>
          </cell>
          <cell r="I6">
            <v>1501367.9341845</v>
          </cell>
          <cell r="K6" t="str">
            <v>FY_2021</v>
          </cell>
          <cell r="L6">
            <v>2000000</v>
          </cell>
        </row>
        <row r="7">
          <cell r="H7" t="str">
            <v>INFY</v>
          </cell>
          <cell r="I7">
            <v>803440</v>
          </cell>
          <cell r="K7" t="str">
            <v>FY_2031</v>
          </cell>
          <cell r="L7">
            <v>5500000</v>
          </cell>
        </row>
        <row r="8">
          <cell r="H8" t="str">
            <v>HCLTECH</v>
          </cell>
          <cell r="I8">
            <v>497435.30407359998</v>
          </cell>
        </row>
        <row r="9">
          <cell r="H9" t="str">
            <v>WIPRO</v>
          </cell>
          <cell r="I9">
            <v>276714</v>
          </cell>
        </row>
        <row r="10">
          <cell r="H10" t="str">
            <v>LTIM</v>
          </cell>
          <cell r="I10">
            <v>189817.2</v>
          </cell>
        </row>
        <row r="11">
          <cell r="H11" t="str">
            <v>TECHM</v>
          </cell>
          <cell r="I11">
            <v>160952.27635500001</v>
          </cell>
        </row>
        <row r="12">
          <cell r="H12" t="str">
            <v>OFSS</v>
          </cell>
          <cell r="I12">
            <v>100245.2</v>
          </cell>
        </row>
        <row r="13">
          <cell r="H13" t="str">
            <v>PERSISTENT</v>
          </cell>
          <cell r="I13">
            <v>83627.340358400004</v>
          </cell>
        </row>
        <row r="14">
          <cell r="H14" t="str">
            <v>LTTS</v>
          </cell>
          <cell r="I14">
            <v>55226.0075</v>
          </cell>
        </row>
        <row r="15">
          <cell r="H15" t="str">
            <v>MPHASIS</v>
          </cell>
          <cell r="I15">
            <v>54425.43</v>
          </cell>
        </row>
        <row r="16">
          <cell r="H16" t="str">
            <v>KPITTECH</v>
          </cell>
          <cell r="I16">
            <v>48756.852108899999</v>
          </cell>
        </row>
        <row r="17">
          <cell r="H17" t="str">
            <v>TATAELXSI</v>
          </cell>
          <cell r="I17">
            <v>47789.848161200003</v>
          </cell>
        </row>
        <row r="18">
          <cell r="H18" t="str">
            <v>COFORGE</v>
          </cell>
          <cell r="I18">
            <v>45479.199018699997</v>
          </cell>
        </row>
        <row r="19">
          <cell r="H19" t="str">
            <v>TATATECH</v>
          </cell>
          <cell r="I19">
            <v>42763.282205000003</v>
          </cell>
        </row>
        <row r="20">
          <cell r="H20" t="str">
            <v>AFFLE</v>
          </cell>
          <cell r="I20">
            <v>22673.268088699999</v>
          </cell>
        </row>
        <row r="21">
          <cell r="H21" t="str">
            <v>OTHERS</v>
          </cell>
          <cell r="I21">
            <v>199024</v>
          </cell>
        </row>
        <row r="35">
          <cell r="I35" t="str">
            <v>Sales 2024</v>
          </cell>
        </row>
        <row r="36">
          <cell r="H36" t="str">
            <v>TCS</v>
          </cell>
          <cell r="I36">
            <v>240893</v>
          </cell>
        </row>
        <row r="37">
          <cell r="H37" t="str">
            <v>INFY</v>
          </cell>
          <cell r="I37">
            <v>153670</v>
          </cell>
        </row>
        <row r="38">
          <cell r="H38" t="str">
            <v>HCLTECH</v>
          </cell>
          <cell r="I38">
            <v>109913</v>
          </cell>
        </row>
        <row r="39">
          <cell r="H39" t="str">
            <v>WIPRO</v>
          </cell>
          <cell r="I39">
            <v>89760</v>
          </cell>
        </row>
        <row r="40">
          <cell r="H40" t="str">
            <v>LTIM</v>
          </cell>
          <cell r="I40">
            <v>35517</v>
          </cell>
        </row>
        <row r="41">
          <cell r="H41" t="str">
            <v>TECHM</v>
          </cell>
          <cell r="I41">
            <v>51996</v>
          </cell>
        </row>
        <row r="42">
          <cell r="H42" t="str">
            <v>TATAELXSI</v>
          </cell>
          <cell r="I42">
            <v>3674</v>
          </cell>
        </row>
        <row r="43">
          <cell r="H43" t="str">
            <v>MPHASIS</v>
          </cell>
          <cell r="I43">
            <v>13278</v>
          </cell>
        </row>
        <row r="44">
          <cell r="H44" t="str">
            <v>PERSISTENT</v>
          </cell>
          <cell r="I44">
            <v>9950</v>
          </cell>
        </row>
        <row r="45">
          <cell r="H45" t="str">
            <v>COFORGE</v>
          </cell>
          <cell r="I45">
            <v>9179</v>
          </cell>
        </row>
        <row r="46">
          <cell r="H46" t="str">
            <v>TATATECH</v>
          </cell>
          <cell r="I46">
            <v>5117</v>
          </cell>
        </row>
        <row r="47">
          <cell r="H47" t="str">
            <v>OTHERS</v>
          </cell>
          <cell r="I47">
            <v>33851</v>
          </cell>
        </row>
        <row r="50">
          <cell r="K50" t="str">
            <v>PROFIT CR</v>
          </cell>
        </row>
        <row r="51">
          <cell r="J51" t="str">
            <v>PROFIT_2024</v>
          </cell>
          <cell r="K51">
            <v>110776</v>
          </cell>
        </row>
        <row r="52">
          <cell r="J52" t="str">
            <v>PROFIT_2023</v>
          </cell>
          <cell r="K52">
            <v>108751</v>
          </cell>
        </row>
        <row r="53">
          <cell r="J53" t="str">
            <v>PROFIT_2022</v>
          </cell>
          <cell r="K53">
            <v>100456</v>
          </cell>
        </row>
        <row r="54">
          <cell r="J54" t="str">
            <v>PROFIT_2020</v>
          </cell>
          <cell r="K54">
            <v>79060.7</v>
          </cell>
        </row>
        <row r="55">
          <cell r="J55" t="str">
            <v>PROFIT_2015</v>
          </cell>
          <cell r="K55">
            <v>45209</v>
          </cell>
        </row>
        <row r="56">
          <cell r="J56" t="str">
            <v>PROFIT_2010</v>
          </cell>
          <cell r="K56">
            <v>19013</v>
          </cell>
        </row>
        <row r="57">
          <cell r="J57" t="str">
            <v>PROFIT_2005</v>
          </cell>
          <cell r="K57">
            <v>5593</v>
          </cell>
        </row>
        <row r="58">
          <cell r="J58" t="str">
            <v>PROFIT_2000</v>
          </cell>
          <cell r="K58">
            <v>1582.07</v>
          </cell>
        </row>
        <row r="63">
          <cell r="K63" t="str">
            <v>Profit 2023</v>
          </cell>
        </row>
        <row r="64">
          <cell r="J64" t="str">
            <v>TCS</v>
          </cell>
          <cell r="K64">
            <v>42303</v>
          </cell>
        </row>
        <row r="65">
          <cell r="J65" t="str">
            <v>INFY</v>
          </cell>
          <cell r="K65">
            <v>24108</v>
          </cell>
        </row>
        <row r="66">
          <cell r="J66" t="str">
            <v>HCLTECH</v>
          </cell>
          <cell r="K66">
            <v>14845</v>
          </cell>
        </row>
        <row r="67">
          <cell r="J67" t="str">
            <v>WIPRO</v>
          </cell>
          <cell r="K67">
            <v>11366</v>
          </cell>
        </row>
        <row r="68">
          <cell r="J68" t="str">
            <v>LTIM</v>
          </cell>
          <cell r="K68">
            <v>4410</v>
          </cell>
        </row>
        <row r="69">
          <cell r="J69" t="str">
            <v>TECHM</v>
          </cell>
          <cell r="K69">
            <v>4857</v>
          </cell>
        </row>
        <row r="70">
          <cell r="J70" t="str">
            <v>TATAELXSI</v>
          </cell>
          <cell r="K70">
            <v>755</v>
          </cell>
        </row>
        <row r="71">
          <cell r="J71" t="str">
            <v>MPHASIS</v>
          </cell>
          <cell r="K71">
            <v>1638</v>
          </cell>
        </row>
        <row r="72">
          <cell r="J72" t="str">
            <v>OTHERS</v>
          </cell>
          <cell r="K72">
            <v>6494</v>
          </cell>
        </row>
        <row r="74">
          <cell r="K74" t="str">
            <v>MARGIN %</v>
          </cell>
        </row>
        <row r="75">
          <cell r="J75" t="str">
            <v>MARGIN_24</v>
          </cell>
          <cell r="K75">
            <v>0.13900000000000001</v>
          </cell>
        </row>
        <row r="76">
          <cell r="J76" t="str">
            <v>MARGIN_23</v>
          </cell>
          <cell r="K76">
            <v>0.15183618875822177</v>
          </cell>
        </row>
        <row r="77">
          <cell r="J77" t="str">
            <v>MARGIN_22</v>
          </cell>
          <cell r="K77">
            <v>0.17070795813529052</v>
          </cell>
        </row>
        <row r="78">
          <cell r="J78" t="str">
            <v>MARGIN_15</v>
          </cell>
          <cell r="K78">
            <v>0.22269785129503561</v>
          </cell>
        </row>
        <row r="79">
          <cell r="J79" t="str">
            <v>MARGIN_10</v>
          </cell>
          <cell r="K79">
            <v>0.23619895224216947</v>
          </cell>
        </row>
        <row r="80">
          <cell r="J80" t="str">
            <v>EST_2000</v>
          </cell>
          <cell r="K80">
            <v>0.26425087689994986</v>
          </cell>
        </row>
        <row r="87">
          <cell r="K87" t="str">
            <v>MARGIN 2024</v>
          </cell>
        </row>
        <row r="88">
          <cell r="J88" t="str">
            <v>TCS</v>
          </cell>
          <cell r="K88">
            <v>0.19139999999999999</v>
          </cell>
        </row>
        <row r="89">
          <cell r="J89" t="str">
            <v>INFY</v>
          </cell>
          <cell r="K89">
            <v>0.17080000000000001</v>
          </cell>
        </row>
        <row r="90">
          <cell r="J90" t="str">
            <v>HCLTECH</v>
          </cell>
          <cell r="K90">
            <v>0.1429</v>
          </cell>
        </row>
        <row r="91">
          <cell r="J91" t="str">
            <v>WIPRO</v>
          </cell>
          <cell r="K91">
            <v>1.24E-2</v>
          </cell>
        </row>
        <row r="92">
          <cell r="J92" t="str">
            <v>LTIM</v>
          </cell>
          <cell r="K92">
            <v>0.12909999999999999</v>
          </cell>
        </row>
        <row r="93">
          <cell r="J93" t="str">
            <v>TECHM</v>
          </cell>
          <cell r="K93">
            <v>4.6100000000000002E-2</v>
          </cell>
        </row>
        <row r="94">
          <cell r="J94" t="str">
            <v>OFSS</v>
          </cell>
          <cell r="K94">
            <v>0.34820000000000001</v>
          </cell>
        </row>
        <row r="95">
          <cell r="J95" t="str">
            <v>PERSISTENT</v>
          </cell>
          <cell r="K95">
            <v>0.10979999999999999</v>
          </cell>
        </row>
        <row r="96">
          <cell r="J96" t="str">
            <v>LTTS</v>
          </cell>
          <cell r="K96">
            <v>0.13539999999999999</v>
          </cell>
        </row>
        <row r="97">
          <cell r="J97" t="str">
            <v>MPHASIS</v>
          </cell>
          <cell r="K97">
            <v>0.1171</v>
          </cell>
        </row>
        <row r="98">
          <cell r="J98" t="str">
            <v>KPITTECH</v>
          </cell>
          <cell r="K98">
            <v>0.1229</v>
          </cell>
        </row>
        <row r="99">
          <cell r="J99" t="str">
            <v>TATAELXSI</v>
          </cell>
          <cell r="K99">
            <v>0.21560000000000001</v>
          </cell>
        </row>
        <row r="100">
          <cell r="J100" t="str">
            <v>COFORGE</v>
          </cell>
          <cell r="K100">
            <v>9.11E-2</v>
          </cell>
        </row>
        <row r="101">
          <cell r="J101" t="str">
            <v>TATATECH</v>
          </cell>
          <cell r="K101">
            <v>0.13270000000000001</v>
          </cell>
        </row>
        <row r="102">
          <cell r="J102" t="str">
            <v>AFFLE</v>
          </cell>
          <cell r="K102">
            <v>0.16120000000000001</v>
          </cell>
        </row>
        <row r="103">
          <cell r="J103" t="str">
            <v>CYIENT</v>
          </cell>
          <cell r="K103">
            <v>9.8400000000000001E-2</v>
          </cell>
        </row>
        <row r="104">
          <cell r="J104" t="str">
            <v>NEWGEN</v>
          </cell>
          <cell r="K104">
            <v>0.2019</v>
          </cell>
        </row>
        <row r="105">
          <cell r="J105" t="str">
            <v>SONATSOFTW</v>
          </cell>
          <cell r="K105">
            <v>3.5900000000000001E-2</v>
          </cell>
        </row>
        <row r="106">
          <cell r="J106" t="str">
            <v>BSOFT</v>
          </cell>
          <cell r="K106">
            <v>0.1182</v>
          </cell>
        </row>
        <row r="107">
          <cell r="J107" t="str">
            <v>ZENSARTECH</v>
          </cell>
          <cell r="K107">
            <v>0.13139999999999999</v>
          </cell>
        </row>
        <row r="109">
          <cell r="K109" t="str">
            <v>CURRENT RATIO</v>
          </cell>
        </row>
        <row r="110">
          <cell r="J110" t="str">
            <v>TCS</v>
          </cell>
          <cell r="K110">
            <v>2.5</v>
          </cell>
        </row>
        <row r="111">
          <cell r="J111" t="str">
            <v>INFY</v>
          </cell>
          <cell r="K111">
            <v>1.8088347879344664</v>
          </cell>
        </row>
        <row r="112">
          <cell r="J112" t="str">
            <v>HCLTECH</v>
          </cell>
          <cell r="K112">
            <v>2.4999766693108114</v>
          </cell>
        </row>
        <row r="113">
          <cell r="J113" t="str">
            <v>WIPRO</v>
          </cell>
          <cell r="K113">
            <v>2.4690569561157796</v>
          </cell>
        </row>
        <row r="114">
          <cell r="J114" t="str">
            <v>LTIM</v>
          </cell>
          <cell r="K114">
            <v>3.1342330840780597</v>
          </cell>
        </row>
        <row r="115">
          <cell r="J115" t="str">
            <v>TECHM</v>
          </cell>
          <cell r="K115">
            <v>1.8340965392988515</v>
          </cell>
        </row>
        <row r="116">
          <cell r="J116" t="str">
            <v>TATAELXSI</v>
          </cell>
          <cell r="K116">
            <v>4.8288100208768263</v>
          </cell>
        </row>
        <row r="117">
          <cell r="J117" t="str">
            <v>MPHASIS</v>
          </cell>
          <cell r="K117">
            <v>2.1283518055058992</v>
          </cell>
        </row>
        <row r="118">
          <cell r="J118" t="str">
            <v>PERSISTENT</v>
          </cell>
          <cell r="K118">
            <v>1.7962206332992849</v>
          </cell>
        </row>
        <row r="119">
          <cell r="J119" t="str">
            <v>COFORGE</v>
          </cell>
          <cell r="K119">
            <v>1.4985623921794136</v>
          </cell>
        </row>
        <row r="120">
          <cell r="J120" t="str">
            <v>KPITTECH</v>
          </cell>
          <cell r="K120">
            <v>1.2851027397260273</v>
          </cell>
        </row>
        <row r="122">
          <cell r="K122" t="str">
            <v>TRADE DAYS</v>
          </cell>
        </row>
        <row r="123">
          <cell r="J123" t="str">
            <v>TCS</v>
          </cell>
          <cell r="K123">
            <v>81.435256233977057</v>
          </cell>
        </row>
        <row r="124">
          <cell r="J124" t="str">
            <v>INFY</v>
          </cell>
          <cell r="K124">
            <v>63.227837320378555</v>
          </cell>
        </row>
        <row r="125">
          <cell r="J125" t="str">
            <v>HCLTECH</v>
          </cell>
          <cell r="K125">
            <v>94.210840167166054</v>
          </cell>
        </row>
        <row r="126">
          <cell r="J126" t="str">
            <v>WIPRO</v>
          </cell>
          <cell r="K126">
            <v>51.312494474405447</v>
          </cell>
        </row>
        <row r="127">
          <cell r="J127" t="str">
            <v>LTIM</v>
          </cell>
          <cell r="K127">
            <v>61.893695567007192</v>
          </cell>
        </row>
        <row r="128">
          <cell r="J128" t="str">
            <v>TECHM</v>
          </cell>
          <cell r="K128">
            <v>88.232876712328761</v>
          </cell>
        </row>
        <row r="129">
          <cell r="J129" t="str">
            <v>TATAELXSI</v>
          </cell>
          <cell r="K129">
            <v>113.30788804071247</v>
          </cell>
        </row>
        <row r="130">
          <cell r="J130" t="str">
            <v>MPHASIS</v>
          </cell>
          <cell r="K130">
            <v>70.180098565009416</v>
          </cell>
        </row>
        <row r="131">
          <cell r="J131" t="str">
            <v>PERSISTENT</v>
          </cell>
          <cell r="K131">
            <v>68.620524488085266</v>
          </cell>
        </row>
        <row r="132">
          <cell r="J132" t="str">
            <v>COFORGE</v>
          </cell>
          <cell r="K132">
            <v>73.455396132252019</v>
          </cell>
        </row>
        <row r="133">
          <cell r="J133" t="str">
            <v>KPITTECH</v>
          </cell>
          <cell r="K133">
            <v>83.955423476968789</v>
          </cell>
        </row>
        <row r="135">
          <cell r="K135" t="str">
            <v>DEBT2EQUITY</v>
          </cell>
        </row>
        <row r="136">
          <cell r="J136" t="str">
            <v>TCS</v>
          </cell>
          <cell r="K136">
            <v>0</v>
          </cell>
        </row>
        <row r="137">
          <cell r="J137" t="str">
            <v>INFY</v>
          </cell>
          <cell r="K137">
            <v>0</v>
          </cell>
        </row>
        <row r="138">
          <cell r="J138" t="str">
            <v>HCLTECH</v>
          </cell>
          <cell r="K138">
            <v>3.4420012844429491E-2</v>
          </cell>
        </row>
        <row r="139">
          <cell r="J139" t="str">
            <v>WIPRO</v>
          </cell>
          <cell r="K139">
            <v>0.19310140750842703</v>
          </cell>
        </row>
        <row r="140">
          <cell r="J140" t="str">
            <v>LTIM</v>
          </cell>
          <cell r="K140">
            <v>7.5305741309717456E-3</v>
          </cell>
        </row>
        <row r="141">
          <cell r="J141" t="str">
            <v>TECHM</v>
          </cell>
          <cell r="K141">
            <v>5.5573751439529206E-3</v>
          </cell>
        </row>
        <row r="142">
          <cell r="J142" t="str">
            <v>TATAELXSI</v>
          </cell>
          <cell r="K142">
            <v>0</v>
          </cell>
        </row>
        <row r="143">
          <cell r="J143" t="str">
            <v>MPHASIS</v>
          </cell>
          <cell r="K143">
            <v>2.4955886059994957E-2</v>
          </cell>
        </row>
        <row r="144">
          <cell r="J144" t="str">
            <v>PERSISTENT</v>
          </cell>
          <cell r="K144">
            <v>0.10794451450189155</v>
          </cell>
        </row>
        <row r="145">
          <cell r="J145" t="str">
            <v>COFORGE</v>
          </cell>
          <cell r="K145">
            <v>0.10665825181445251</v>
          </cell>
        </row>
        <row r="146">
          <cell r="J146" t="str">
            <v>KPITTECH</v>
          </cell>
          <cell r="K146">
            <v>2.9585087191822009E-2</v>
          </cell>
        </row>
        <row r="148">
          <cell r="K148" t="str">
            <v>DEBT RATIO</v>
          </cell>
        </row>
        <row r="149">
          <cell r="J149" t="str">
            <v>TCS</v>
          </cell>
          <cell r="K149">
            <v>0.47560533236601071</v>
          </cell>
        </row>
        <row r="150">
          <cell r="J150" t="str">
            <v>INFY</v>
          </cell>
          <cell r="K150">
            <v>0.39757264576842372</v>
          </cell>
        </row>
        <row r="151">
          <cell r="J151" t="str">
            <v>HCLTECH</v>
          </cell>
          <cell r="K151">
            <v>0.29988973461369645</v>
          </cell>
        </row>
        <row r="152">
          <cell r="J152" t="str">
            <v>WIPRO</v>
          </cell>
          <cell r="K152">
            <v>0.33642099152245736</v>
          </cell>
        </row>
        <row r="153">
          <cell r="J153" t="str">
            <v>LTIM</v>
          </cell>
          <cell r="K153">
            <v>0.29353932584269665</v>
          </cell>
        </row>
        <row r="154">
          <cell r="J154" t="str">
            <v>TECHM</v>
          </cell>
          <cell r="K154">
            <v>0.35811323207592138</v>
          </cell>
        </row>
        <row r="155">
          <cell r="J155" t="str">
            <v>TATAELXSI</v>
          </cell>
          <cell r="K155">
            <v>0.24538545059717698</v>
          </cell>
        </row>
        <row r="156">
          <cell r="J156" t="str">
            <v>MPHASIS</v>
          </cell>
          <cell r="K156">
            <v>0.31647859419415969</v>
          </cell>
        </row>
        <row r="157">
          <cell r="J157" t="str">
            <v>PERSISTENT</v>
          </cell>
          <cell r="K157">
            <v>0.40096691343103186</v>
          </cell>
        </row>
        <row r="158">
          <cell r="J158" t="str">
            <v>COFORGE</v>
          </cell>
          <cell r="K158">
            <v>0.44219602322716872</v>
          </cell>
        </row>
        <row r="159">
          <cell r="J159" t="str">
            <v>KPITTECH</v>
          </cell>
          <cell r="K159">
            <v>0.51088235294117645</v>
          </cell>
        </row>
        <row r="161">
          <cell r="K161" t="str">
            <v>ICR</v>
          </cell>
        </row>
        <row r="162">
          <cell r="J162" t="str">
            <v>TCS</v>
          </cell>
          <cell r="K162">
            <v>69.623876765083438</v>
          </cell>
        </row>
        <row r="163">
          <cell r="J163" t="str">
            <v>INFY</v>
          </cell>
          <cell r="K163">
            <v>108.82042253521126</v>
          </cell>
        </row>
        <row r="164">
          <cell r="J164" t="str">
            <v>HCLTECH</v>
          </cell>
          <cell r="K164">
            <v>52.359773371104815</v>
          </cell>
        </row>
        <row r="165">
          <cell r="J165" t="str">
            <v>WIPRO</v>
          </cell>
          <cell r="K165">
            <v>13.420059582919563</v>
          </cell>
        </row>
        <row r="166">
          <cell r="J166" t="str">
            <v>LTIM</v>
          </cell>
          <cell r="K166">
            <v>35.9</v>
          </cell>
        </row>
        <row r="167">
          <cell r="J167" t="str">
            <v>TECHM</v>
          </cell>
          <cell r="K167">
            <v>17.953846153846154</v>
          </cell>
        </row>
        <row r="168">
          <cell r="J168" t="str">
            <v>TATAELXSI</v>
          </cell>
          <cell r="K168">
            <v>54.9375</v>
          </cell>
        </row>
        <row r="169">
          <cell r="J169" t="str">
            <v>MPHASIS</v>
          </cell>
          <cell r="K169">
            <v>21.68930041152263</v>
          </cell>
        </row>
        <row r="170">
          <cell r="J170" t="str">
            <v>PERSISTENT</v>
          </cell>
          <cell r="K170">
            <v>26.391120507399577</v>
          </cell>
        </row>
        <row r="171">
          <cell r="J171" t="str">
            <v>COFORGE</v>
          </cell>
          <cell r="K171">
            <v>12.687344913151366</v>
          </cell>
        </row>
        <row r="172">
          <cell r="J172" t="str">
            <v>KPITTECH</v>
          </cell>
          <cell r="K172">
            <v>15.21875</v>
          </cell>
        </row>
        <row r="175">
          <cell r="K175" t="str">
            <v>OCFR</v>
          </cell>
        </row>
        <row r="176">
          <cell r="J176" t="str">
            <v>TCS</v>
          </cell>
          <cell r="K176">
            <v>0.96342807291427524</v>
          </cell>
        </row>
        <row r="177">
          <cell r="J177" t="str">
            <v>INFY</v>
          </cell>
          <cell r="K177">
            <v>0.57334252028785793</v>
          </cell>
        </row>
        <row r="178">
          <cell r="J178" t="str">
            <v>HCLTECH</v>
          </cell>
          <cell r="K178">
            <v>0.84032476319350469</v>
          </cell>
        </row>
        <row r="179">
          <cell r="J179" t="str">
            <v>WIPRO</v>
          </cell>
          <cell r="K179">
            <v>0.48776844070961717</v>
          </cell>
        </row>
        <row r="180">
          <cell r="J180" t="str">
            <v>LTIM</v>
          </cell>
          <cell r="K180">
            <v>0.56447200437716583</v>
          </cell>
        </row>
        <row r="181">
          <cell r="J181" t="str">
            <v>TECHM</v>
          </cell>
          <cell r="K181">
            <v>0.41828691539674201</v>
          </cell>
        </row>
        <row r="182">
          <cell r="J182" t="str">
            <v>TATAELXSI</v>
          </cell>
          <cell r="K182">
            <v>1.0167014613778707</v>
          </cell>
        </row>
        <row r="183">
          <cell r="J183" t="str">
            <v>MPHASIS</v>
          </cell>
          <cell r="K183">
            <v>0.52234537003932791</v>
          </cell>
        </row>
        <row r="184">
          <cell r="J184" t="str">
            <v>PERSISTENT</v>
          </cell>
          <cell r="K184">
            <v>0.48774259448416751</v>
          </cell>
        </row>
        <row r="185">
          <cell r="J185" t="str">
            <v>COFORGE</v>
          </cell>
          <cell r="K185">
            <v>0.54629097182288666</v>
          </cell>
        </row>
        <row r="186">
          <cell r="J186" t="str">
            <v>KPITTECH</v>
          </cell>
          <cell r="K186">
            <v>0.39554794520547948</v>
          </cell>
        </row>
        <row r="188">
          <cell r="K188" t="str">
            <v>CFD</v>
          </cell>
        </row>
        <row r="189">
          <cell r="J189" t="str">
            <v>TCS</v>
          </cell>
        </row>
        <row r="190">
          <cell r="J190" t="str">
            <v>INFY</v>
          </cell>
        </row>
        <row r="191">
          <cell r="J191" t="str">
            <v>HCLTECH</v>
          </cell>
          <cell r="K191">
            <v>8.0004442470013331</v>
          </cell>
        </row>
        <row r="192">
          <cell r="J192" t="str">
            <v>WIPRO</v>
          </cell>
          <cell r="K192">
            <v>0.87014457991871541</v>
          </cell>
        </row>
        <row r="193">
          <cell r="J193" t="str">
            <v>LTIM</v>
          </cell>
          <cell r="K193">
            <v>24.76</v>
          </cell>
        </row>
        <row r="194">
          <cell r="J194" t="str">
            <v>TECHM</v>
          </cell>
          <cell r="K194">
            <v>3.5310519645120406</v>
          </cell>
        </row>
        <row r="195">
          <cell r="J195" t="str">
            <v>TATAELXSI</v>
          </cell>
        </row>
        <row r="196">
          <cell r="J196" t="str">
            <v>MPHASIS</v>
          </cell>
          <cell r="K196">
            <v>7.3787878787878789</v>
          </cell>
        </row>
        <row r="197">
          <cell r="J197" t="str">
            <v>PERSISTENT</v>
          </cell>
          <cell r="K197">
            <v>2.2313084112149535</v>
          </cell>
        </row>
        <row r="198">
          <cell r="J198" t="str">
            <v>COFORGE</v>
          </cell>
          <cell r="K198">
            <v>2.8106508875739644</v>
          </cell>
        </row>
        <row r="199">
          <cell r="J199" t="str">
            <v>KPITTECH</v>
          </cell>
          <cell r="K199">
            <v>9.390243902439023</v>
          </cell>
        </row>
        <row r="201">
          <cell r="K201" t="str">
            <v>FCF (INC R)</v>
          </cell>
        </row>
        <row r="202">
          <cell r="J202" t="str">
            <v>TCS</v>
          </cell>
          <cell r="K202">
            <v>4.102150537634409</v>
          </cell>
        </row>
        <row r="203">
          <cell r="J203" t="str">
            <v>INFY</v>
          </cell>
          <cell r="K203">
            <v>1.6834257455417354</v>
          </cell>
        </row>
        <row r="204">
          <cell r="J204" t="str">
            <v>HCLTECH</v>
          </cell>
          <cell r="K204">
            <v>3.3530068888475144</v>
          </cell>
        </row>
        <row r="205">
          <cell r="J205" t="str">
            <v>WIPRO</v>
          </cell>
          <cell r="K205">
            <v>1.5861834434512241</v>
          </cell>
        </row>
        <row r="206">
          <cell r="J206" t="str">
            <v>LTIM</v>
          </cell>
          <cell r="K206">
            <v>3.1917087759100751</v>
          </cell>
        </row>
        <row r="207">
          <cell r="J207" t="str">
            <v>TECHM</v>
          </cell>
          <cell r="K207">
            <v>1.9468902865129281</v>
          </cell>
        </row>
        <row r="208">
          <cell r="J208" t="str">
            <v>TATAELXSI</v>
          </cell>
          <cell r="K208">
            <v>3.0437500000000002</v>
          </cell>
        </row>
        <row r="209">
          <cell r="J209" t="str">
            <v>MPHASIS</v>
          </cell>
          <cell r="K209">
            <v>6.5223214285714288</v>
          </cell>
        </row>
        <row r="210">
          <cell r="J210" t="str">
            <v>PERSISTENT</v>
          </cell>
          <cell r="K210">
            <v>1.9690721649484537</v>
          </cell>
        </row>
        <row r="211">
          <cell r="J211" t="str">
            <v>COFORGE</v>
          </cell>
          <cell r="K211">
            <v>2.1348314606741572</v>
          </cell>
        </row>
        <row r="212">
          <cell r="J212" t="str">
            <v>KPITTECH</v>
          </cell>
          <cell r="K212">
            <v>2.1588785046728973</v>
          </cell>
        </row>
        <row r="214">
          <cell r="K214" t="str">
            <v>ROE</v>
          </cell>
        </row>
        <row r="215">
          <cell r="J215" t="str">
            <v>TCS</v>
          </cell>
          <cell r="K215">
            <v>0.46381816985724622</v>
          </cell>
        </row>
        <row r="216">
          <cell r="J216" t="str">
            <v>INFY</v>
          </cell>
          <cell r="K216">
            <v>0.31806847417375816</v>
          </cell>
        </row>
        <row r="217">
          <cell r="J217" t="str">
            <v>HCLTECH</v>
          </cell>
          <cell r="K217">
            <v>0.22699470931832777</v>
          </cell>
        </row>
        <row r="218">
          <cell r="J218" t="str">
            <v>WIPRO</v>
          </cell>
          <cell r="K218">
            <v>0.14623163420219745</v>
          </cell>
        </row>
        <row r="219">
          <cell r="J219" t="str">
            <v>LTIM</v>
          </cell>
          <cell r="K219">
            <v>0.26567865534068319</v>
          </cell>
        </row>
        <row r="220">
          <cell r="J220" t="str">
            <v>TECHM</v>
          </cell>
          <cell r="K220">
            <v>1.7105304863231519E-2</v>
          </cell>
        </row>
        <row r="221">
          <cell r="J221" t="str">
            <v>TATAELXSI</v>
          </cell>
          <cell r="K221">
            <v>0.36193672099712371</v>
          </cell>
        </row>
        <row r="222">
          <cell r="J222" t="str">
            <v>MPHASIS</v>
          </cell>
          <cell r="K222">
            <v>0.20645323922359465</v>
          </cell>
        </row>
        <row r="223">
          <cell r="J223" t="str">
            <v>PERSISTENT</v>
          </cell>
          <cell r="K223">
            <v>0.23228247162673393</v>
          </cell>
        </row>
        <row r="224">
          <cell r="J224" t="str">
            <v>COFORGE</v>
          </cell>
          <cell r="K224">
            <v>0.23508993373303883</v>
          </cell>
        </row>
        <row r="225">
          <cell r="J225" t="str">
            <v>KPITTECH</v>
          </cell>
          <cell r="K225">
            <v>0.23211064341551413</v>
          </cell>
        </row>
        <row r="227">
          <cell r="K227" t="str">
            <v>ROA</v>
          </cell>
        </row>
        <row r="228">
          <cell r="J228" t="str">
            <v>TCS</v>
          </cell>
          <cell r="K228">
            <v>0.38363108733109641</v>
          </cell>
        </row>
        <row r="229">
          <cell r="J229" t="str">
            <v>INFY</v>
          </cell>
          <cell r="K229">
            <v>0.19161314936097157</v>
          </cell>
        </row>
        <row r="230">
          <cell r="J230" t="str">
            <v>HCLTECH</v>
          </cell>
          <cell r="K230">
            <v>0.15892132618214128</v>
          </cell>
        </row>
        <row r="231">
          <cell r="J231" t="str">
            <v>WIPRO</v>
          </cell>
          <cell r="K231">
            <v>9.7034994408066039E-2</v>
          </cell>
        </row>
        <row r="232">
          <cell r="J232" t="str">
            <v>LTIM</v>
          </cell>
          <cell r="K232">
            <v>0.18769152196118488</v>
          </cell>
        </row>
        <row r="233">
          <cell r="J233" t="str">
            <v>TECHM</v>
          </cell>
          <cell r="K233">
            <v>0.10523692934370464</v>
          </cell>
        </row>
        <row r="234">
          <cell r="J234" t="str">
            <v>TATAELXSI</v>
          </cell>
          <cell r="K234">
            <v>0.27325370973579444</v>
          </cell>
        </row>
        <row r="235">
          <cell r="J235" t="str">
            <v>MPHASIS</v>
          </cell>
          <cell r="K235">
            <v>0.14109742441209405</v>
          </cell>
        </row>
        <row r="236">
          <cell r="J236" t="str">
            <v>PERSISTENT</v>
          </cell>
          <cell r="K236">
            <v>0.1391448859344312</v>
          </cell>
        </row>
        <row r="237">
          <cell r="J237" t="str">
            <v>COFORGE</v>
          </cell>
          <cell r="K237">
            <v>0.13109273271159599</v>
          </cell>
        </row>
        <row r="238">
          <cell r="J238" t="str">
            <v>KPITTECH</v>
          </cell>
          <cell r="K238">
            <v>0.11352941176470588</v>
          </cell>
        </row>
      </sheetData>
      <sheetData sheetId="3"/>
      <sheetData sheetId="4">
        <row r="2">
          <cell r="C2" t="str">
            <v>MARKETCAP</v>
          </cell>
          <cell r="D2" t="str">
            <v>SALES_2023</v>
          </cell>
          <cell r="E2" t="str">
            <v>SALES_2022</v>
          </cell>
          <cell r="F2" t="str">
            <v>SALES_2020</v>
          </cell>
          <cell r="G2" t="str">
            <v>SALES_2015</v>
          </cell>
          <cell r="H2" t="str">
            <v>SALES_2010</v>
          </cell>
          <cell r="I2" t="str">
            <v>SALES_2005</v>
          </cell>
          <cell r="J2" t="str">
            <v>SALES_2000</v>
          </cell>
          <cell r="Z2" t="str">
            <v>Growth 19 yrs</v>
          </cell>
          <cell r="AA2" t="str">
            <v>Growth 14 yrs</v>
          </cell>
          <cell r="AB2" t="str">
            <v>Growth 9 yrs</v>
          </cell>
          <cell r="AC2" t="str">
            <v>Growth 4 yrs</v>
          </cell>
          <cell r="AD2" t="str">
            <v>Growth CY</v>
          </cell>
        </row>
        <row r="3">
          <cell r="C3">
            <v>2805362.6594965011</v>
          </cell>
          <cell r="D3">
            <v>751681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Y3" t="str">
            <v>IT INDUSTRRY</v>
          </cell>
          <cell r="Z3">
            <v>0.1980126979937944</v>
          </cell>
          <cell r="AA3">
            <v>0.17301711667288933</v>
          </cell>
          <cell r="AB3">
            <v>0.15656331013154201</v>
          </cell>
          <cell r="AC3">
            <v>0.12878937005184654</v>
          </cell>
          <cell r="AD3">
            <v>4.9483482468840601E-2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profitfromit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D6DC6-DB1B-4CD7-9F6B-6F7FE5B7C016}">
  <sheetPr>
    <outlinePr summaryBelow="0" summaryRight="0"/>
  </sheetPr>
  <dimension ref="B1:AC114"/>
  <sheetViews>
    <sheetView showGridLines="0" tabSelected="1" workbookViewId="0"/>
  </sheetViews>
  <sheetFormatPr defaultColWidth="14" defaultRowHeight="15" customHeight="1"/>
  <cols>
    <col min="1" max="1" width="3.44140625" customWidth="1"/>
  </cols>
  <sheetData>
    <row r="1" spans="2:24" thickBot="1">
      <c r="B1" s="1" t="s">
        <v>0</v>
      </c>
      <c r="C1" s="2"/>
      <c r="D1" s="2"/>
      <c r="E1" s="1" t="s">
        <v>1</v>
      </c>
      <c r="F1" s="2"/>
      <c r="G1" s="2"/>
      <c r="H1" s="2"/>
      <c r="I1" s="2"/>
      <c r="J1" s="2"/>
      <c r="K1" s="1" t="s">
        <v>2</v>
      </c>
      <c r="T1" s="3" t="s">
        <v>3</v>
      </c>
    </row>
    <row r="2" spans="2:24" ht="25.5" customHeight="1"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  <c r="P2" s="3" t="s">
        <v>18</v>
      </c>
      <c r="Q2" s="3" t="s">
        <v>19</v>
      </c>
      <c r="R2" s="3" t="s">
        <v>20</v>
      </c>
      <c r="S2" s="3" t="s">
        <v>21</v>
      </c>
      <c r="T2" s="3" t="s">
        <v>22</v>
      </c>
      <c r="U2" s="4" t="s">
        <v>23</v>
      </c>
      <c r="V2" s="4" t="s">
        <v>24</v>
      </c>
      <c r="W2" s="4" t="s">
        <v>25</v>
      </c>
      <c r="X2" s="4" t="s">
        <v>26</v>
      </c>
    </row>
    <row r="3" spans="2:24" ht="14.4">
      <c r="B3" s="5" t="s">
        <v>27</v>
      </c>
      <c r="C3" s="6">
        <f ca="1">IFERROR(__xludf.DUMMYFUNCTION("GOOGLEFINANCE(""NSE:""&amp;B3,""price"")"),7672.5)</f>
        <v>7672.5</v>
      </c>
      <c r="D3" s="6">
        <f ca="1">IFERROR(__xludf.DUMMYFUNCTION("GOOGLEFINANCE((""NSE:""&amp;B3),""marketcap"")/10000000"),47789.8481612)</f>
        <v>47789.848161200003</v>
      </c>
      <c r="E3" s="6">
        <f>C36</f>
        <v>3824</v>
      </c>
      <c r="F3" s="6">
        <f>E36</f>
        <v>817</v>
      </c>
      <c r="G3" s="7">
        <v>12793</v>
      </c>
      <c r="H3" s="8">
        <v>0.125</v>
      </c>
      <c r="I3" s="9">
        <f>G36</f>
        <v>131.19999999999999</v>
      </c>
      <c r="J3" s="10">
        <v>10</v>
      </c>
      <c r="K3" s="10">
        <v>62.3</v>
      </c>
      <c r="L3" s="10">
        <v>2487</v>
      </c>
      <c r="M3" s="10">
        <v>0</v>
      </c>
      <c r="N3" s="11">
        <f>160+46</f>
        <v>206</v>
      </c>
      <c r="O3" s="6">
        <v>2526</v>
      </c>
      <c r="P3" s="6">
        <v>483</v>
      </c>
      <c r="Q3" s="12">
        <v>3185</v>
      </c>
      <c r="R3" s="13">
        <f>216+P3</f>
        <v>699</v>
      </c>
      <c r="S3" s="7">
        <f>811+173</f>
        <v>984</v>
      </c>
      <c r="T3" s="7">
        <v>12</v>
      </c>
      <c r="U3" s="7">
        <v>375</v>
      </c>
      <c r="V3" s="7">
        <v>62</v>
      </c>
      <c r="W3" s="7">
        <v>-467</v>
      </c>
      <c r="X3" s="7">
        <f t="shared" ref="X3:X4" si="0">SUM(U3:W3)</f>
        <v>-30</v>
      </c>
    </row>
    <row r="4" spans="2:24" ht="14.4">
      <c r="B4" s="7" t="s">
        <v>28</v>
      </c>
      <c r="C4" s="7">
        <v>7785</v>
      </c>
      <c r="D4" s="13">
        <f ca="1">C4*D3/C3</f>
        <v>48490.579072654546</v>
      </c>
      <c r="E4" s="7">
        <f>C35</f>
        <v>3674</v>
      </c>
      <c r="F4" s="7">
        <f>E35</f>
        <v>792</v>
      </c>
      <c r="G4" s="7">
        <v>13399</v>
      </c>
      <c r="H4" s="14">
        <v>0.124</v>
      </c>
      <c r="I4" s="13">
        <f>G35</f>
        <v>127.2</v>
      </c>
      <c r="J4" s="15">
        <v>10</v>
      </c>
      <c r="K4" s="15">
        <v>62.3</v>
      </c>
      <c r="L4" s="15">
        <v>2506</v>
      </c>
      <c r="M4" s="15">
        <v>0</v>
      </c>
      <c r="N4" s="15">
        <f>181+43</f>
        <v>224</v>
      </c>
      <c r="O4" s="15">
        <v>2537</v>
      </c>
      <c r="P4" s="15">
        <v>446</v>
      </c>
      <c r="Q4" s="15">
        <v>3187</v>
      </c>
      <c r="R4" s="7">
        <f>236+P4</f>
        <v>682</v>
      </c>
      <c r="S4" s="15">
        <f>828+144</f>
        <v>972</v>
      </c>
      <c r="T4" s="7">
        <v>32</v>
      </c>
      <c r="U4" s="15">
        <v>408</v>
      </c>
      <c r="V4" s="7">
        <v>3</v>
      </c>
      <c r="W4" s="7">
        <v>-404</v>
      </c>
      <c r="X4" s="7">
        <f t="shared" si="0"/>
        <v>7</v>
      </c>
    </row>
    <row r="5" spans="2:24" ht="14.4">
      <c r="B5" s="16" t="s">
        <v>29</v>
      </c>
      <c r="C5" s="17">
        <f t="shared" ref="C5:F5" ca="1" si="1">(C3/C4)-1</f>
        <v>-1.4450867052023142E-2</v>
      </c>
      <c r="D5" s="17">
        <f t="shared" ca="1" si="1"/>
        <v>-1.4450867052023031E-2</v>
      </c>
      <c r="E5" s="17">
        <f t="shared" si="1"/>
        <v>4.0827436037016884E-2</v>
      </c>
      <c r="F5" s="17">
        <f t="shared" si="1"/>
        <v>3.1565656565656575E-2</v>
      </c>
      <c r="G5" s="18">
        <f t="shared" ref="G5:H5" si="2">G3-G4</f>
        <v>-606</v>
      </c>
      <c r="H5" s="19">
        <f t="shared" si="2"/>
        <v>1.0000000000000009E-3</v>
      </c>
      <c r="I5" s="17">
        <f t="shared" ref="I5:L5" si="3">(I3/I4)-1</f>
        <v>3.1446540880503138E-2</v>
      </c>
      <c r="J5" s="17">
        <f t="shared" si="3"/>
        <v>0</v>
      </c>
      <c r="K5" s="17">
        <f t="shared" si="3"/>
        <v>0</v>
      </c>
      <c r="L5" s="17">
        <f t="shared" si="3"/>
        <v>-7.5818036711891024E-3</v>
      </c>
      <c r="M5" s="16"/>
      <c r="N5" s="17">
        <f t="shared" ref="N5:V5" si="4">(N3/N4)-1</f>
        <v>-8.0357142857142905E-2</v>
      </c>
      <c r="O5" s="17">
        <f t="shared" si="4"/>
        <v>-4.3358297201419038E-3</v>
      </c>
      <c r="P5" s="17">
        <f t="shared" si="4"/>
        <v>8.2959641255605288E-2</v>
      </c>
      <c r="Q5" s="17">
        <f t="shared" si="4"/>
        <v>-6.275494195168152E-4</v>
      </c>
      <c r="R5" s="17">
        <f t="shared" si="4"/>
        <v>2.4926686217008776E-2</v>
      </c>
      <c r="S5" s="17">
        <f t="shared" si="4"/>
        <v>1.2345679012345734E-2</v>
      </c>
      <c r="T5" s="17">
        <f t="shared" si="4"/>
        <v>-0.625</v>
      </c>
      <c r="U5" s="17">
        <f t="shared" si="4"/>
        <v>-8.0882352941176516E-2</v>
      </c>
      <c r="V5" s="17">
        <f t="shared" si="4"/>
        <v>19.666666666666668</v>
      </c>
      <c r="W5" s="17">
        <v>-0.45</v>
      </c>
      <c r="X5" s="17">
        <v>2</v>
      </c>
    </row>
    <row r="6" spans="2:24" ht="14.4">
      <c r="B6" s="20"/>
      <c r="C6" s="20"/>
      <c r="D6" s="20"/>
      <c r="E6" s="20"/>
      <c r="F6" s="20"/>
      <c r="G6" s="20"/>
      <c r="H6" s="20"/>
      <c r="I6" s="20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2:24" thickBot="1">
      <c r="B7" s="20" t="s">
        <v>29</v>
      </c>
      <c r="C7" s="20" t="s">
        <v>30</v>
      </c>
      <c r="D7" s="20"/>
      <c r="E7" s="20"/>
      <c r="F7" s="20" t="s">
        <v>31</v>
      </c>
      <c r="G7" s="20"/>
      <c r="H7" s="20"/>
      <c r="I7" s="20" t="s">
        <v>32</v>
      </c>
      <c r="J7" s="21"/>
      <c r="K7" s="21"/>
      <c r="L7" s="21" t="s">
        <v>33</v>
      </c>
      <c r="M7" s="21"/>
      <c r="N7" s="21"/>
      <c r="O7" s="21"/>
      <c r="P7" s="21"/>
      <c r="Q7" s="21" t="s">
        <v>34</v>
      </c>
      <c r="R7" s="21"/>
      <c r="S7" s="21"/>
    </row>
    <row r="8" spans="2:24" ht="14.4">
      <c r="B8" s="22" t="s">
        <v>35</v>
      </c>
      <c r="C8" s="22" t="s">
        <v>36</v>
      </c>
      <c r="D8" s="22" t="s">
        <v>37</v>
      </c>
      <c r="E8" s="22" t="s">
        <v>38</v>
      </c>
      <c r="F8" s="22" t="s">
        <v>39</v>
      </c>
      <c r="G8" s="22" t="s">
        <v>40</v>
      </c>
      <c r="H8" s="22" t="s">
        <v>41</v>
      </c>
      <c r="I8" s="22" t="s">
        <v>42</v>
      </c>
      <c r="J8" s="22" t="s">
        <v>43</v>
      </c>
      <c r="K8" s="22" t="s">
        <v>44</v>
      </c>
      <c r="L8" s="22" t="s">
        <v>45</v>
      </c>
      <c r="M8" s="22" t="s">
        <v>46</v>
      </c>
      <c r="N8" s="22" t="s">
        <v>47</v>
      </c>
      <c r="O8" s="22" t="s">
        <v>48</v>
      </c>
      <c r="P8" s="22" t="s">
        <v>49</v>
      </c>
      <c r="Q8" s="23" t="s">
        <v>50</v>
      </c>
      <c r="R8" s="23" t="s">
        <v>51</v>
      </c>
      <c r="S8" s="23" t="s">
        <v>52</v>
      </c>
    </row>
    <row r="9" spans="2:24" ht="14.4">
      <c r="B9" s="24">
        <f>L45</f>
        <v>8.6999999999999994E-2</v>
      </c>
      <c r="C9" s="24">
        <f>P43</f>
        <v>0.22009569377990432</v>
      </c>
      <c r="D9" s="24">
        <f>O3/P3</f>
        <v>5.2298136645962732</v>
      </c>
      <c r="E9" s="25">
        <f>(S3/E3)*365</f>
        <v>93.922594142259399</v>
      </c>
      <c r="F9" s="24">
        <f>M3/L3</f>
        <v>0</v>
      </c>
      <c r="G9" s="24">
        <f>R3/Q3</f>
        <v>0.21946624803767661</v>
      </c>
      <c r="H9" s="13">
        <f>P44</f>
        <v>47.762589928057551</v>
      </c>
      <c r="I9" s="24">
        <f>F3/L3</f>
        <v>0.32850824286288699</v>
      </c>
      <c r="J9" s="13">
        <f>F3/K3</f>
        <v>13.113964686998395</v>
      </c>
      <c r="K9" s="24">
        <f>F3/Q3</f>
        <v>0.25651491365777079</v>
      </c>
      <c r="L9" s="13">
        <f ca="1">C3/I3</f>
        <v>58.479420731707322</v>
      </c>
      <c r="M9" s="26">
        <f ca="1">I3/C3</f>
        <v>1.7100032583903552E-2</v>
      </c>
      <c r="N9" s="13">
        <f>L3/(K3/J3)</f>
        <v>399.19743178170148</v>
      </c>
      <c r="O9" s="13">
        <f ca="1">C3/N9</f>
        <v>19.219813027744269</v>
      </c>
      <c r="P9" s="27">
        <f ca="1">M53</f>
        <v>3.7795566502463056</v>
      </c>
      <c r="Q9" s="13">
        <f>U3-P3</f>
        <v>-108</v>
      </c>
      <c r="R9" s="7">
        <f>U3</f>
        <v>375</v>
      </c>
      <c r="S9" s="25">
        <f>U3-T3</f>
        <v>363</v>
      </c>
    </row>
    <row r="11" spans="2:24" ht="14.4">
      <c r="B11" s="28" t="s">
        <v>53</v>
      </c>
      <c r="C11" s="29" t="s">
        <v>54</v>
      </c>
      <c r="D11" s="29" t="s">
        <v>55</v>
      </c>
      <c r="E11" s="29" t="s">
        <v>56</v>
      </c>
      <c r="F11" s="29" t="s">
        <v>13</v>
      </c>
      <c r="G11" s="29" t="s">
        <v>57</v>
      </c>
      <c r="H11" s="29" t="s">
        <v>58</v>
      </c>
      <c r="I11" s="29" t="s">
        <v>59</v>
      </c>
      <c r="J11" s="29" t="s">
        <v>60</v>
      </c>
      <c r="K11" s="29" t="s">
        <v>61</v>
      </c>
      <c r="L11" s="29" t="s">
        <v>62</v>
      </c>
      <c r="M11" s="29" t="s">
        <v>63</v>
      </c>
    </row>
    <row r="12" spans="2:24" ht="14.4">
      <c r="B12" s="30" t="s">
        <v>64</v>
      </c>
      <c r="C12" s="20">
        <v>124</v>
      </c>
    </row>
    <row r="13" spans="2:24" ht="14.4">
      <c r="B13" s="30" t="s">
        <v>65</v>
      </c>
      <c r="C13" s="31">
        <v>132</v>
      </c>
      <c r="D13" s="32">
        <v>107</v>
      </c>
      <c r="E13" s="31">
        <v>17</v>
      </c>
      <c r="F13" s="32">
        <v>31</v>
      </c>
      <c r="G13" s="32">
        <v>5.37</v>
      </c>
      <c r="H13" s="33">
        <f t="shared" ref="H13:H36" si="5">E13/C13</f>
        <v>0.12878787878787878</v>
      </c>
      <c r="I13" s="32">
        <v>97.8</v>
      </c>
      <c r="J13" s="32">
        <v>31.5</v>
      </c>
      <c r="K13" s="32">
        <f t="shared" ref="K13:K36" si="6">I13/G13</f>
        <v>18.212290502793294</v>
      </c>
      <c r="L13" s="32">
        <f t="shared" ref="L13:L36" si="7">J13/G13</f>
        <v>5.8659217877094969</v>
      </c>
    </row>
    <row r="14" spans="2:24" ht="14.4">
      <c r="B14" s="30" t="s">
        <v>66</v>
      </c>
      <c r="C14" s="34">
        <v>111</v>
      </c>
      <c r="D14" s="32">
        <v>92</v>
      </c>
      <c r="E14" s="34">
        <v>12</v>
      </c>
      <c r="F14" s="32">
        <v>31</v>
      </c>
      <c r="G14" s="32">
        <v>3.75</v>
      </c>
      <c r="H14" s="33">
        <f t="shared" si="5"/>
        <v>0.10810810810810811</v>
      </c>
      <c r="I14" s="32">
        <v>140</v>
      </c>
      <c r="J14" s="32">
        <v>64.25</v>
      </c>
      <c r="K14" s="32">
        <f t="shared" si="6"/>
        <v>37.333333333333336</v>
      </c>
      <c r="L14" s="32">
        <f t="shared" si="7"/>
        <v>17.133333333333333</v>
      </c>
    </row>
    <row r="15" spans="2:24" ht="14.4">
      <c r="B15" s="30" t="s">
        <v>67</v>
      </c>
      <c r="C15" s="31">
        <v>155</v>
      </c>
      <c r="D15" s="32">
        <v>131</v>
      </c>
      <c r="E15" s="31">
        <v>17</v>
      </c>
      <c r="F15" s="32">
        <v>31</v>
      </c>
      <c r="G15" s="32">
        <v>5.63</v>
      </c>
      <c r="H15" s="33">
        <f t="shared" si="5"/>
        <v>0.10967741935483871</v>
      </c>
      <c r="I15" s="32">
        <v>133</v>
      </c>
      <c r="J15" s="32">
        <v>64.8</v>
      </c>
      <c r="K15" s="32">
        <f t="shared" si="6"/>
        <v>23.623445825932507</v>
      </c>
      <c r="L15" s="32">
        <f t="shared" si="7"/>
        <v>11.509769094138543</v>
      </c>
    </row>
    <row r="16" spans="2:24" ht="14.4">
      <c r="B16" s="30" t="s">
        <v>68</v>
      </c>
      <c r="C16" s="31">
        <v>187</v>
      </c>
      <c r="D16" s="32">
        <v>150</v>
      </c>
      <c r="E16" s="31">
        <v>26</v>
      </c>
      <c r="F16" s="32">
        <v>31</v>
      </c>
      <c r="G16" s="32">
        <v>8.44</v>
      </c>
      <c r="H16" s="33">
        <f t="shared" si="5"/>
        <v>0.13903743315508021</v>
      </c>
      <c r="I16" s="32">
        <v>191.25</v>
      </c>
      <c r="J16" s="32">
        <v>75</v>
      </c>
      <c r="K16" s="32">
        <f t="shared" si="6"/>
        <v>22.659952606635073</v>
      </c>
      <c r="L16" s="32">
        <f t="shared" si="7"/>
        <v>8.8862559241706158</v>
      </c>
    </row>
    <row r="17" spans="2:29" ht="14.4">
      <c r="B17" s="30" t="s">
        <v>69</v>
      </c>
      <c r="C17" s="31">
        <v>236</v>
      </c>
      <c r="D17" s="32">
        <v>189</v>
      </c>
      <c r="E17" s="31">
        <v>34</v>
      </c>
      <c r="F17" s="32">
        <v>31</v>
      </c>
      <c r="G17" s="32">
        <v>11.02</v>
      </c>
      <c r="H17" s="33">
        <f t="shared" si="5"/>
        <v>0.1440677966101695</v>
      </c>
      <c r="I17" s="32">
        <v>232</v>
      </c>
      <c r="J17" s="32">
        <v>166.2</v>
      </c>
      <c r="K17" s="32">
        <f t="shared" si="6"/>
        <v>21.05263157894737</v>
      </c>
      <c r="L17" s="32">
        <f t="shared" si="7"/>
        <v>15.081669691470054</v>
      </c>
    </row>
    <row r="18" spans="2:29" ht="14.4">
      <c r="B18" s="30" t="s">
        <v>70</v>
      </c>
      <c r="C18" s="31">
        <v>308</v>
      </c>
      <c r="D18" s="32">
        <v>239</v>
      </c>
      <c r="E18" s="31">
        <v>52</v>
      </c>
      <c r="F18" s="32">
        <v>31</v>
      </c>
      <c r="G18" s="32">
        <v>16.739999999999998</v>
      </c>
      <c r="H18" s="33">
        <f t="shared" si="5"/>
        <v>0.16883116883116883</v>
      </c>
      <c r="I18" s="32">
        <v>320</v>
      </c>
      <c r="J18" s="32">
        <v>147</v>
      </c>
      <c r="K18" s="32">
        <f t="shared" si="6"/>
        <v>19.115890083632021</v>
      </c>
      <c r="L18" s="32">
        <f t="shared" si="7"/>
        <v>8.7813620071684593</v>
      </c>
    </row>
    <row r="19" spans="2:29" ht="14.4">
      <c r="B19" s="30" t="s">
        <v>71</v>
      </c>
      <c r="C19" s="31">
        <v>404</v>
      </c>
      <c r="D19" s="32">
        <v>341</v>
      </c>
      <c r="E19" s="31">
        <v>53</v>
      </c>
      <c r="F19" s="32">
        <v>31</v>
      </c>
      <c r="G19" s="32">
        <v>16.97</v>
      </c>
      <c r="H19" s="33">
        <f t="shared" si="5"/>
        <v>0.13118811881188119</v>
      </c>
      <c r="I19" s="32">
        <v>364.7</v>
      </c>
      <c r="J19" s="32">
        <v>138</v>
      </c>
      <c r="K19" s="32">
        <f t="shared" si="6"/>
        <v>21.490866234531527</v>
      </c>
      <c r="L19" s="32">
        <f t="shared" si="7"/>
        <v>8.1319976428992344</v>
      </c>
    </row>
    <row r="20" spans="2:29" ht="14.4">
      <c r="B20" s="30" t="s">
        <v>72</v>
      </c>
      <c r="C20" s="31">
        <v>419</v>
      </c>
      <c r="D20" s="32">
        <v>353</v>
      </c>
      <c r="E20" s="31">
        <v>58</v>
      </c>
      <c r="F20" s="32">
        <v>31</v>
      </c>
      <c r="G20" s="32">
        <v>18.66</v>
      </c>
      <c r="H20" s="33">
        <f t="shared" si="5"/>
        <v>0.13842482100238662</v>
      </c>
      <c r="I20" s="32">
        <v>223.9</v>
      </c>
      <c r="J20" s="32">
        <v>75</v>
      </c>
      <c r="K20" s="32">
        <f t="shared" si="6"/>
        <v>11.9989281886388</v>
      </c>
      <c r="L20" s="32">
        <f t="shared" si="7"/>
        <v>4.019292604501608</v>
      </c>
    </row>
    <row r="21" spans="2:29" ht="14.4">
      <c r="B21" s="30" t="s">
        <v>73</v>
      </c>
      <c r="C21" s="34">
        <v>378</v>
      </c>
      <c r="D21" s="32">
        <v>326</v>
      </c>
      <c r="E21" s="34">
        <v>48</v>
      </c>
      <c r="F21" s="32">
        <v>31</v>
      </c>
      <c r="G21" s="32">
        <v>15.39</v>
      </c>
      <c r="H21" s="33">
        <f t="shared" si="5"/>
        <v>0.12698412698412698</v>
      </c>
      <c r="I21" s="32">
        <v>347.45</v>
      </c>
      <c r="J21" s="32">
        <v>81.8</v>
      </c>
      <c r="K21" s="32">
        <f t="shared" si="6"/>
        <v>22.576348278102664</v>
      </c>
      <c r="L21" s="32">
        <f t="shared" si="7"/>
        <v>5.3151397011046129</v>
      </c>
    </row>
    <row r="22" spans="2:29" ht="14.4">
      <c r="B22" s="30" t="s">
        <v>74</v>
      </c>
      <c r="C22" s="31">
        <v>413</v>
      </c>
      <c r="D22" s="32">
        <v>379</v>
      </c>
      <c r="E22" s="34">
        <v>32</v>
      </c>
      <c r="F22" s="32">
        <v>31</v>
      </c>
      <c r="G22" s="32">
        <v>10.19</v>
      </c>
      <c r="H22" s="33">
        <f t="shared" si="5"/>
        <v>7.7481840193704604E-2</v>
      </c>
      <c r="I22" s="32">
        <v>340.9</v>
      </c>
      <c r="J22" s="32">
        <v>224</v>
      </c>
      <c r="K22" s="32">
        <f t="shared" si="6"/>
        <v>33.454367026496563</v>
      </c>
      <c r="L22" s="32">
        <f t="shared" si="7"/>
        <v>21.982335623159962</v>
      </c>
    </row>
    <row r="23" spans="2:29" ht="14.4">
      <c r="B23" s="30" t="s">
        <v>75</v>
      </c>
      <c r="C23" s="31">
        <v>521</v>
      </c>
      <c r="D23" s="32">
        <v>468</v>
      </c>
      <c r="E23" s="31">
        <v>34</v>
      </c>
      <c r="F23" s="32">
        <v>31</v>
      </c>
      <c r="G23" s="32">
        <v>10.9</v>
      </c>
      <c r="H23" s="33">
        <f t="shared" si="5"/>
        <v>6.5259117082533583E-2</v>
      </c>
      <c r="I23" s="32">
        <v>281.35000000000002</v>
      </c>
      <c r="J23" s="32">
        <v>167.1</v>
      </c>
      <c r="K23" s="32">
        <f t="shared" si="6"/>
        <v>25.811926605504588</v>
      </c>
      <c r="L23" s="32">
        <f t="shared" si="7"/>
        <v>15.330275229357797</v>
      </c>
    </row>
    <row r="24" spans="2:29" ht="14.4">
      <c r="B24" s="30" t="s">
        <v>76</v>
      </c>
      <c r="C24" s="31">
        <v>611</v>
      </c>
      <c r="D24" s="32">
        <v>559</v>
      </c>
      <c r="E24" s="34">
        <v>21</v>
      </c>
      <c r="F24" s="32">
        <v>31</v>
      </c>
      <c r="G24" s="32">
        <v>6.74</v>
      </c>
      <c r="H24" s="33">
        <f t="shared" si="5"/>
        <v>3.4369885433715219E-2</v>
      </c>
      <c r="I24" s="32">
        <v>254.1</v>
      </c>
      <c r="J24" s="32">
        <v>182.9</v>
      </c>
      <c r="K24" s="32">
        <f t="shared" si="6"/>
        <v>37.700296735905042</v>
      </c>
      <c r="L24" s="32">
        <f t="shared" si="7"/>
        <v>27.136498516320476</v>
      </c>
    </row>
    <row r="25" spans="2:29" ht="14.4">
      <c r="B25" s="30" t="s">
        <v>77</v>
      </c>
      <c r="C25" s="31">
        <v>788</v>
      </c>
      <c r="D25" s="32">
        <v>671</v>
      </c>
      <c r="E25" s="31">
        <v>75</v>
      </c>
      <c r="F25" s="32">
        <v>31</v>
      </c>
      <c r="G25" s="32">
        <v>24.12</v>
      </c>
      <c r="H25" s="33">
        <f t="shared" si="5"/>
        <v>9.5177664974619283E-2</v>
      </c>
      <c r="I25" s="32">
        <v>668.6</v>
      </c>
      <c r="J25" s="32">
        <v>156.1</v>
      </c>
      <c r="K25" s="32">
        <f t="shared" si="6"/>
        <v>27.719734660033168</v>
      </c>
      <c r="L25" s="32">
        <f t="shared" si="7"/>
        <v>6.4718076285240462</v>
      </c>
    </row>
    <row r="26" spans="2:29" ht="14.4">
      <c r="B26" s="30" t="s">
        <v>78</v>
      </c>
      <c r="C26" s="31">
        <v>854</v>
      </c>
      <c r="D26" s="32">
        <v>672</v>
      </c>
      <c r="E26" s="31">
        <v>103</v>
      </c>
      <c r="F26" s="32">
        <v>31</v>
      </c>
      <c r="G26" s="32">
        <v>33.049999999999997</v>
      </c>
      <c r="H26" s="33">
        <f t="shared" si="5"/>
        <v>0.12060889929742388</v>
      </c>
      <c r="I26" s="32">
        <v>1487.5</v>
      </c>
      <c r="J26" s="32">
        <v>472</v>
      </c>
      <c r="K26" s="32">
        <f t="shared" si="6"/>
        <v>45.007564296520428</v>
      </c>
      <c r="L26" s="32">
        <f t="shared" si="7"/>
        <v>14.281391830559759</v>
      </c>
    </row>
    <row r="27" spans="2:29" ht="14.4">
      <c r="B27" s="30" t="s">
        <v>79</v>
      </c>
      <c r="C27" s="31">
        <v>1087</v>
      </c>
      <c r="D27" s="32">
        <v>828</v>
      </c>
      <c r="E27" s="31">
        <v>155</v>
      </c>
      <c r="F27" s="32">
        <v>31</v>
      </c>
      <c r="G27" s="32">
        <v>49.72</v>
      </c>
      <c r="H27" s="33">
        <f t="shared" si="5"/>
        <v>0.14259429622815087</v>
      </c>
      <c r="I27" s="32">
        <v>2396</v>
      </c>
      <c r="J27" s="32">
        <v>978</v>
      </c>
      <c r="K27" s="32">
        <f t="shared" si="6"/>
        <v>48.189863234111023</v>
      </c>
      <c r="L27" s="32">
        <f t="shared" si="7"/>
        <v>19.670152855993564</v>
      </c>
    </row>
    <row r="28" spans="2:29" ht="14.4">
      <c r="B28" s="30" t="s">
        <v>80</v>
      </c>
      <c r="C28" s="31">
        <v>1228</v>
      </c>
      <c r="D28" s="32">
        <v>940</v>
      </c>
      <c r="E28" s="31">
        <v>173</v>
      </c>
      <c r="F28" s="32">
        <v>31</v>
      </c>
      <c r="G28" s="32">
        <v>55.65</v>
      </c>
      <c r="H28" s="33">
        <f t="shared" si="5"/>
        <v>0.14087947882736157</v>
      </c>
      <c r="I28" s="32">
        <v>2064</v>
      </c>
      <c r="J28" s="32">
        <v>1021.65</v>
      </c>
      <c r="K28" s="32">
        <f t="shared" si="6"/>
        <v>37.088948787061994</v>
      </c>
      <c r="L28" s="32">
        <f t="shared" si="7"/>
        <v>18.358490566037737</v>
      </c>
      <c r="M28" s="20" t="s">
        <v>81</v>
      </c>
    </row>
    <row r="29" spans="2:29" ht="14.4">
      <c r="B29" s="30" t="s">
        <v>82</v>
      </c>
      <c r="C29" s="31">
        <v>1430</v>
      </c>
      <c r="D29" s="32">
        <v>1040</v>
      </c>
      <c r="E29" s="31">
        <v>240</v>
      </c>
      <c r="F29" s="31">
        <v>62</v>
      </c>
      <c r="G29" s="32">
        <v>38.54</v>
      </c>
      <c r="H29" s="33">
        <f t="shared" si="5"/>
        <v>0.16783216783216784</v>
      </c>
      <c r="I29" s="32">
        <v>1070</v>
      </c>
      <c r="J29" s="32">
        <v>643</v>
      </c>
      <c r="K29" s="32">
        <f t="shared" si="6"/>
        <v>27.763362740010379</v>
      </c>
      <c r="L29" s="32">
        <f t="shared" si="7"/>
        <v>16.683964711987546</v>
      </c>
    </row>
    <row r="30" spans="2:29" ht="14.4">
      <c r="B30" s="30" t="s">
        <v>83</v>
      </c>
      <c r="C30" s="31">
        <v>1641</v>
      </c>
      <c r="D30" s="32">
        <v>1182</v>
      </c>
      <c r="E30" s="31">
        <v>290</v>
      </c>
      <c r="F30" s="31">
        <v>62</v>
      </c>
      <c r="G30" s="32">
        <v>46.56</v>
      </c>
      <c r="H30" s="33">
        <f t="shared" si="5"/>
        <v>0.17672151127361366</v>
      </c>
      <c r="I30" s="32">
        <v>1491.75</v>
      </c>
      <c r="J30" s="32">
        <v>826</v>
      </c>
      <c r="K30" s="32">
        <f t="shared" si="6"/>
        <v>32.039304123711339</v>
      </c>
      <c r="L30" s="32">
        <f t="shared" si="7"/>
        <v>17.740549828178693</v>
      </c>
      <c r="R30" s="29" t="s">
        <v>84</v>
      </c>
      <c r="X30" s="29" t="s">
        <v>84</v>
      </c>
      <c r="AC30" s="29" t="s">
        <v>84</v>
      </c>
    </row>
    <row r="31" spans="2:29" ht="14.4">
      <c r="B31" s="30" t="s">
        <v>85</v>
      </c>
      <c r="C31" s="31">
        <v>1610</v>
      </c>
      <c r="D31" s="32">
        <v>1316</v>
      </c>
      <c r="E31" s="34">
        <v>256</v>
      </c>
      <c r="F31" s="31">
        <v>62</v>
      </c>
      <c r="G31" s="32">
        <v>41.12</v>
      </c>
      <c r="H31" s="33">
        <f t="shared" si="5"/>
        <v>0.15900621118012423</v>
      </c>
      <c r="I31" s="32">
        <v>1098</v>
      </c>
      <c r="J31" s="32">
        <v>500</v>
      </c>
      <c r="K31" s="32">
        <f t="shared" si="6"/>
        <v>26.702334630350197</v>
      </c>
      <c r="L31" s="32">
        <f t="shared" si="7"/>
        <v>12.159533073929962</v>
      </c>
      <c r="R31" s="26">
        <v>5.0999999999999997E-2</v>
      </c>
      <c r="X31" s="26">
        <v>8.4000000000000005E-2</v>
      </c>
      <c r="AC31" s="26">
        <v>9.4E-2</v>
      </c>
    </row>
    <row r="32" spans="2:29" ht="14.4">
      <c r="B32" s="30" t="s">
        <v>86</v>
      </c>
      <c r="C32" s="31">
        <v>1866</v>
      </c>
      <c r="D32" s="32">
        <v>1354</v>
      </c>
      <c r="E32" s="35">
        <v>368</v>
      </c>
      <c r="F32" s="31">
        <v>62</v>
      </c>
      <c r="G32" s="32">
        <v>59.11</v>
      </c>
      <c r="H32" s="33">
        <f t="shared" si="5"/>
        <v>0.19721329046087888</v>
      </c>
      <c r="I32" s="32">
        <v>3050</v>
      </c>
      <c r="J32" s="32">
        <v>590</v>
      </c>
      <c r="K32" s="32">
        <f t="shared" si="6"/>
        <v>51.59871426154627</v>
      </c>
      <c r="L32" s="32">
        <f t="shared" si="7"/>
        <v>9.9813906276433766</v>
      </c>
      <c r="M32" s="20"/>
      <c r="O32" s="28" t="s">
        <v>87</v>
      </c>
      <c r="P32" s="28" t="s">
        <v>88</v>
      </c>
      <c r="Q32" s="28" t="s">
        <v>89</v>
      </c>
      <c r="R32" s="29" t="s">
        <v>90</v>
      </c>
      <c r="U32" s="28" t="s">
        <v>87</v>
      </c>
      <c r="V32" s="28" t="s">
        <v>91</v>
      </c>
      <c r="W32" s="28" t="s">
        <v>92</v>
      </c>
      <c r="X32" s="29" t="s">
        <v>90</v>
      </c>
      <c r="Z32" s="28" t="s">
        <v>87</v>
      </c>
      <c r="AA32" s="28" t="s">
        <v>93</v>
      </c>
      <c r="AB32" s="28" t="s">
        <v>94</v>
      </c>
      <c r="AC32" s="29" t="s">
        <v>90</v>
      </c>
    </row>
    <row r="33" spans="2:29" ht="14.4">
      <c r="B33" s="30" t="s">
        <v>95</v>
      </c>
      <c r="C33" s="31">
        <v>2515</v>
      </c>
      <c r="D33" s="32">
        <v>1770</v>
      </c>
      <c r="E33" s="35">
        <v>550</v>
      </c>
      <c r="F33" s="31">
        <v>62.3</v>
      </c>
      <c r="G33" s="32">
        <v>88.26</v>
      </c>
      <c r="H33" s="33">
        <f t="shared" si="5"/>
        <v>0.21868787276341947</v>
      </c>
      <c r="I33" s="32">
        <v>9420</v>
      </c>
      <c r="J33" s="32">
        <v>2700</v>
      </c>
      <c r="K33" s="32">
        <f t="shared" si="6"/>
        <v>106.73011556764105</v>
      </c>
      <c r="L33" s="32">
        <f t="shared" si="7"/>
        <v>30.591434398368456</v>
      </c>
      <c r="O33" s="36" t="s">
        <v>96</v>
      </c>
      <c r="P33" s="30">
        <v>1881</v>
      </c>
      <c r="Q33" s="30">
        <v>1731</v>
      </c>
      <c r="R33" s="37">
        <f t="shared" ref="R33:R40" si="8">(P33/Q33)^(1/1)-1</f>
        <v>8.6655112651646382E-2</v>
      </c>
      <c r="U33" s="36" t="s">
        <v>96</v>
      </c>
      <c r="V33" s="30">
        <v>927</v>
      </c>
      <c r="W33" s="30">
        <v>850</v>
      </c>
      <c r="X33" s="37">
        <f t="shared" ref="X33:X37" si="9">(V33/W33)^(1/1)-1</f>
        <v>9.0588235294117636E-2</v>
      </c>
      <c r="Z33" s="36" t="s">
        <v>96</v>
      </c>
      <c r="AA33" s="30">
        <v>3674</v>
      </c>
      <c r="AB33" s="30">
        <v>3219</v>
      </c>
      <c r="AC33" s="37">
        <f t="shared" ref="AC33:AC37" si="10">(AA33/AB33)^(1/1)-1</f>
        <v>0.14134824479652064</v>
      </c>
    </row>
    <row r="34" spans="2:29" ht="14.4">
      <c r="B34" s="30" t="s">
        <v>97</v>
      </c>
      <c r="C34" s="7">
        <v>3218</v>
      </c>
      <c r="D34" s="7">
        <v>2281</v>
      </c>
      <c r="E34" s="7">
        <v>755</v>
      </c>
      <c r="F34" s="13">
        <v>62.3</v>
      </c>
      <c r="G34" s="13">
        <v>121.3</v>
      </c>
      <c r="H34" s="33">
        <f t="shared" si="5"/>
        <v>0.2346177750155376</v>
      </c>
      <c r="I34" s="13">
        <v>10760</v>
      </c>
      <c r="J34" s="13">
        <v>5709</v>
      </c>
      <c r="K34" s="32">
        <f t="shared" si="6"/>
        <v>88.705688375927451</v>
      </c>
      <c r="L34" s="32">
        <f t="shared" si="7"/>
        <v>47.065127782357791</v>
      </c>
      <c r="O34" s="36" t="s">
        <v>98</v>
      </c>
      <c r="P34" s="30">
        <v>1426</v>
      </c>
      <c r="Q34" s="30">
        <v>1273</v>
      </c>
      <c r="R34" s="37">
        <f t="shared" si="8"/>
        <v>0.12018853102906513</v>
      </c>
      <c r="U34" s="36" t="s">
        <v>98</v>
      </c>
      <c r="V34" s="30">
        <v>706</v>
      </c>
      <c r="W34" s="30">
        <v>624</v>
      </c>
      <c r="X34" s="37">
        <f t="shared" si="9"/>
        <v>0.13141025641025639</v>
      </c>
      <c r="Z34" s="36" t="s">
        <v>98</v>
      </c>
      <c r="AA34" s="30">
        <v>2625</v>
      </c>
      <c r="AB34" s="30">
        <v>2281</v>
      </c>
      <c r="AC34" s="37">
        <f t="shared" si="10"/>
        <v>0.15081104778605869</v>
      </c>
    </row>
    <row r="35" spans="2:29" ht="14.4">
      <c r="B35" s="30" t="s">
        <v>99</v>
      </c>
      <c r="C35" s="7">
        <v>3674</v>
      </c>
      <c r="D35" s="7">
        <v>2625</v>
      </c>
      <c r="E35" s="7">
        <v>792</v>
      </c>
      <c r="F35" s="13">
        <v>62</v>
      </c>
      <c r="G35" s="13">
        <v>127.2</v>
      </c>
      <c r="H35" s="33">
        <f t="shared" si="5"/>
        <v>0.21556886227544911</v>
      </c>
      <c r="I35" s="13">
        <v>9200</v>
      </c>
      <c r="J35" s="13">
        <v>5975</v>
      </c>
      <c r="K35" s="32">
        <f t="shared" si="6"/>
        <v>72.327044025157235</v>
      </c>
      <c r="L35" s="32">
        <f t="shared" si="7"/>
        <v>46.973270440251568</v>
      </c>
      <c r="O35" s="36" t="s">
        <v>100</v>
      </c>
      <c r="P35" s="30">
        <v>9.73</v>
      </c>
      <c r="Q35" s="30">
        <v>9.73</v>
      </c>
      <c r="R35" s="37">
        <f t="shared" si="8"/>
        <v>0</v>
      </c>
      <c r="U35" s="36" t="s">
        <v>100</v>
      </c>
      <c r="V35" s="30">
        <v>4.9000000000000004</v>
      </c>
      <c r="W35" s="30">
        <v>3.9</v>
      </c>
      <c r="X35" s="37">
        <f t="shared" si="9"/>
        <v>0.25641025641025661</v>
      </c>
      <c r="Z35" s="36" t="s">
        <v>100</v>
      </c>
      <c r="AA35" s="30">
        <v>20</v>
      </c>
      <c r="AB35" s="30">
        <v>16</v>
      </c>
      <c r="AC35" s="37">
        <f t="shared" si="10"/>
        <v>0.25</v>
      </c>
    </row>
    <row r="36" spans="2:29" ht="14.4">
      <c r="B36" s="30" t="s">
        <v>101</v>
      </c>
      <c r="C36" s="7">
        <f>C35+P33-Q33</f>
        <v>3824</v>
      </c>
      <c r="D36" s="7">
        <f>D35+P34-Q34</f>
        <v>2778</v>
      </c>
      <c r="E36" s="7">
        <f>E35+P39-Q39</f>
        <v>817</v>
      </c>
      <c r="F36" s="13">
        <v>62</v>
      </c>
      <c r="G36" s="13">
        <v>131.19999999999999</v>
      </c>
      <c r="H36" s="33">
        <f t="shared" si="5"/>
        <v>0.21365062761506276</v>
      </c>
      <c r="I36" s="13">
        <v>9080</v>
      </c>
      <c r="J36" s="13">
        <v>6411</v>
      </c>
      <c r="K36" s="32">
        <f t="shared" si="6"/>
        <v>69.207317073170742</v>
      </c>
      <c r="L36" s="32">
        <f t="shared" si="7"/>
        <v>48.864329268292686</v>
      </c>
      <c r="O36" s="36" t="s">
        <v>102</v>
      </c>
      <c r="P36" s="38">
        <f t="shared" ref="P36:Q36" si="11">P33-(P47+P48+P49+P52)</f>
        <v>519</v>
      </c>
      <c r="Q36" s="32">
        <f t="shared" si="11"/>
        <v>514</v>
      </c>
      <c r="R36" s="37">
        <f t="shared" si="8"/>
        <v>9.7276264591439343E-3</v>
      </c>
      <c r="U36" s="36" t="s">
        <v>103</v>
      </c>
      <c r="V36" s="30">
        <v>184</v>
      </c>
      <c r="W36" s="30">
        <v>189</v>
      </c>
      <c r="X36" s="37">
        <f t="shared" si="9"/>
        <v>-2.6455026455026509E-2</v>
      </c>
      <c r="Z36" s="36" t="s">
        <v>103</v>
      </c>
      <c r="AA36" s="30">
        <v>792</v>
      </c>
      <c r="AB36" s="30">
        <v>755</v>
      </c>
      <c r="AC36" s="37">
        <f t="shared" si="10"/>
        <v>4.9006622516556186E-2</v>
      </c>
    </row>
    <row r="37" spans="2:29" ht="14.4">
      <c r="O37" s="36" t="s">
        <v>104</v>
      </c>
      <c r="P37" s="32">
        <f t="shared" ref="P37:Q37" si="12">P33-(P47+P48+P49+P50+P52)</f>
        <v>465</v>
      </c>
      <c r="Q37" s="32">
        <f t="shared" si="12"/>
        <v>468</v>
      </c>
      <c r="R37" s="37">
        <f t="shared" si="8"/>
        <v>-6.4102564102563875E-3</v>
      </c>
      <c r="U37" s="36" t="s">
        <v>57</v>
      </c>
      <c r="V37" s="38">
        <v>29.56</v>
      </c>
      <c r="W37" s="38">
        <v>30.32</v>
      </c>
      <c r="X37" s="37">
        <f t="shared" si="9"/>
        <v>-2.5065963060686092E-2</v>
      </c>
      <c r="Z37" s="36" t="s">
        <v>57</v>
      </c>
      <c r="AA37" s="38">
        <v>127.21</v>
      </c>
      <c r="AB37" s="38">
        <v>121.26</v>
      </c>
      <c r="AC37" s="37">
        <f t="shared" si="10"/>
        <v>4.9068118093352986E-2</v>
      </c>
    </row>
    <row r="38" spans="2:29" ht="14.4">
      <c r="B38" s="28" t="s">
        <v>53</v>
      </c>
      <c r="C38" s="29" t="s">
        <v>54</v>
      </c>
      <c r="D38" s="29" t="s">
        <v>55</v>
      </c>
      <c r="E38" s="29" t="s">
        <v>56</v>
      </c>
      <c r="F38" s="29" t="s">
        <v>105</v>
      </c>
      <c r="G38" s="29" t="s">
        <v>57</v>
      </c>
      <c r="H38" s="29" t="s">
        <v>58</v>
      </c>
      <c r="I38" s="29" t="s">
        <v>59</v>
      </c>
      <c r="J38" s="29" t="s">
        <v>60</v>
      </c>
      <c r="K38" s="29" t="s">
        <v>61</v>
      </c>
      <c r="L38" s="29" t="s">
        <v>62</v>
      </c>
      <c r="M38" s="29" t="s">
        <v>106</v>
      </c>
      <c r="O38" s="36" t="s">
        <v>107</v>
      </c>
      <c r="P38" s="30">
        <v>551</v>
      </c>
      <c r="Q38" s="30">
        <v>512</v>
      </c>
      <c r="R38" s="37">
        <f t="shared" si="8"/>
        <v>7.6171875E-2</v>
      </c>
      <c r="U38" s="36" t="s">
        <v>108</v>
      </c>
      <c r="V38" s="37">
        <f t="shared" ref="V38:W38" si="13">V36/V33</f>
        <v>0.19848975188781015</v>
      </c>
      <c r="W38" s="37">
        <f t="shared" si="13"/>
        <v>0.22235294117647059</v>
      </c>
      <c r="X38" s="37">
        <f t="shared" ref="X38:X39" si="14">V38-W38</f>
        <v>-2.3863189288660436E-2</v>
      </c>
      <c r="Z38" s="36" t="s">
        <v>108</v>
      </c>
      <c r="AA38" s="37">
        <f t="shared" ref="AA38:AB38" si="15">AA36/AA33</f>
        <v>0.21556886227544911</v>
      </c>
      <c r="AB38" s="37">
        <f t="shared" si="15"/>
        <v>0.2345448897173035</v>
      </c>
      <c r="AC38" s="37">
        <f t="shared" ref="AC38:AC39" si="16">AA38-AB38</f>
        <v>-1.8976027441854393E-2</v>
      </c>
    </row>
    <row r="39" spans="2:29" ht="14.4">
      <c r="B39" s="36" t="s">
        <v>109</v>
      </c>
      <c r="C39" s="33">
        <f t="shared" ref="C39:G39" si="17">(C35/C15)^(1/20)-1</f>
        <v>0.17149482019734807</v>
      </c>
      <c r="D39" s="33">
        <f t="shared" si="17"/>
        <v>0.1616970876844086</v>
      </c>
      <c r="E39" s="33">
        <f t="shared" si="17"/>
        <v>0.2117521892035259</v>
      </c>
      <c r="F39" s="33">
        <f t="shared" si="17"/>
        <v>3.5264923841377582E-2</v>
      </c>
      <c r="G39" s="33">
        <f t="shared" si="17"/>
        <v>0.1686889447121378</v>
      </c>
      <c r="H39" s="33">
        <f>MEDIAN(H15:H35)</f>
        <v>0.14087947882736157</v>
      </c>
      <c r="I39" s="33">
        <f t="shared" ref="I39:J39" si="18">((2*I35)/I15)^(1/20)-1</f>
        <v>0.27952362509938888</v>
      </c>
      <c r="J39" s="33">
        <f t="shared" si="18"/>
        <v>0.29804469015411228</v>
      </c>
      <c r="K39" s="39">
        <f t="shared" ref="K39:L39" si="19">MEDIAN(K15:K35)</f>
        <v>27.763362740010379</v>
      </c>
      <c r="L39" s="39">
        <f t="shared" si="19"/>
        <v>15.081669691470054</v>
      </c>
      <c r="M39" s="39">
        <f t="shared" ref="M39:M42" si="20">AVERAGE(K39:L39)</f>
        <v>21.422516215740217</v>
      </c>
      <c r="O39" s="36" t="s">
        <v>103</v>
      </c>
      <c r="P39" s="30">
        <v>414</v>
      </c>
      <c r="Q39" s="30">
        <v>389</v>
      </c>
      <c r="R39" s="37">
        <f t="shared" si="8"/>
        <v>6.4267352185090054E-2</v>
      </c>
      <c r="U39" s="36" t="s">
        <v>41</v>
      </c>
      <c r="V39" s="32">
        <f t="shared" ref="V39:W39" si="21">(V33-V34+V35)/V35</f>
        <v>46.102040816326529</v>
      </c>
      <c r="W39" s="32">
        <f t="shared" si="21"/>
        <v>58.948717948717949</v>
      </c>
      <c r="X39" s="40">
        <f t="shared" si="14"/>
        <v>-12.84667713239142</v>
      </c>
      <c r="Z39" s="36" t="s">
        <v>41</v>
      </c>
      <c r="AA39" s="32">
        <f t="shared" ref="AA39:AB39" si="22">(AA33-AA34+AA35)/AA35</f>
        <v>53.45</v>
      </c>
      <c r="AB39" s="32">
        <f t="shared" si="22"/>
        <v>59.625</v>
      </c>
      <c r="AC39" s="40">
        <f t="shared" si="16"/>
        <v>-6.1749999999999972</v>
      </c>
    </row>
    <row r="40" spans="2:29" ht="14.4">
      <c r="B40" s="36" t="s">
        <v>110</v>
      </c>
      <c r="C40" s="33">
        <f t="shared" ref="C40:F40" si="23">(C35/C25)^(1/10)-1</f>
        <v>0.16643701666398591</v>
      </c>
      <c r="D40" s="33">
        <f t="shared" si="23"/>
        <v>0.14614794154608313</v>
      </c>
      <c r="E40" s="33">
        <f t="shared" si="23"/>
        <v>0.26580379040421076</v>
      </c>
      <c r="F40" s="33">
        <f t="shared" si="23"/>
        <v>7.1773462536293131E-2</v>
      </c>
      <c r="G40" s="33">
        <f t="shared" ref="G40:J40" si="24">((2*G35)/G25)^(1/10)-1</f>
        <v>0.26565104005666962</v>
      </c>
      <c r="H40" s="33">
        <f t="shared" si="24"/>
        <v>0.16307601006449834</v>
      </c>
      <c r="I40" s="33">
        <f t="shared" si="24"/>
        <v>0.39304499764042755</v>
      </c>
      <c r="J40" s="33">
        <f t="shared" si="24"/>
        <v>0.54310863041084945</v>
      </c>
      <c r="K40" s="39">
        <f t="shared" ref="K40:L40" si="25">MEDIAN(K25:K35)</f>
        <v>45.007564296520428</v>
      </c>
      <c r="L40" s="39">
        <f t="shared" si="25"/>
        <v>17.740549828178693</v>
      </c>
      <c r="M40" s="39">
        <f t="shared" si="20"/>
        <v>31.374057062349561</v>
      </c>
      <c r="O40" s="36" t="s">
        <v>57</v>
      </c>
      <c r="P40" s="38">
        <v>66.400000000000006</v>
      </c>
      <c r="Q40" s="38">
        <v>62.44</v>
      </c>
      <c r="R40" s="37">
        <f t="shared" si="8"/>
        <v>6.3420884048686954E-2</v>
      </c>
    </row>
    <row r="41" spans="2:29" ht="14.4">
      <c r="B41" s="36" t="s">
        <v>111</v>
      </c>
      <c r="C41" s="33">
        <f t="shared" ref="C41:G41" si="26">(C35/C30)^(1/5)-1</f>
        <v>0.17491409576590833</v>
      </c>
      <c r="D41" s="33">
        <f t="shared" si="26"/>
        <v>0.17301176025267373</v>
      </c>
      <c r="E41" s="33">
        <f t="shared" si="26"/>
        <v>0.22254664097607058</v>
      </c>
      <c r="F41" s="33">
        <f t="shared" si="26"/>
        <v>0</v>
      </c>
      <c r="G41" s="33">
        <f t="shared" si="26"/>
        <v>0.22262938051189463</v>
      </c>
      <c r="H41" s="33">
        <f>MEDIAN(H30:H35)</f>
        <v>0.20639107636816401</v>
      </c>
      <c r="I41" s="33">
        <f t="shared" ref="I41:J41" si="27">(I35/I30)^(1/5)-1</f>
        <v>0.43885939271385221</v>
      </c>
      <c r="J41" s="33">
        <f t="shared" si="27"/>
        <v>0.48549629328879607</v>
      </c>
      <c r="K41" s="39">
        <f t="shared" ref="K41:L41" si="28">MEDIAN(K30:K35)</f>
        <v>61.962879143351756</v>
      </c>
      <c r="L41" s="39">
        <f t="shared" si="28"/>
        <v>24.165992113273575</v>
      </c>
      <c r="M41" s="39">
        <f t="shared" si="20"/>
        <v>43.064435628312665</v>
      </c>
      <c r="O41" s="36" t="s">
        <v>112</v>
      </c>
      <c r="P41" s="37">
        <f t="shared" ref="P41:Q41" si="29">P36/P33</f>
        <v>0.27591706539074962</v>
      </c>
      <c r="Q41" s="37">
        <f t="shared" si="29"/>
        <v>0.29693818601964184</v>
      </c>
      <c r="R41" s="37">
        <f t="shared" ref="R41:R44" si="30">P41-Q41</f>
        <v>-2.102112062889222E-2</v>
      </c>
      <c r="U41" s="8"/>
    </row>
    <row r="42" spans="2:29" ht="14.4">
      <c r="B42" s="36" t="s">
        <v>113</v>
      </c>
      <c r="C42" s="33">
        <f t="shared" ref="C42:G42" si="31">(C35/C34)-1</f>
        <v>0.14170292106898685</v>
      </c>
      <c r="D42" s="33">
        <f t="shared" si="31"/>
        <v>0.15081104778605869</v>
      </c>
      <c r="E42" s="33">
        <f t="shared" si="31"/>
        <v>4.9006622516556186E-2</v>
      </c>
      <c r="F42" s="33">
        <f t="shared" si="31"/>
        <v>-4.8154093097912964E-3</v>
      </c>
      <c r="G42" s="33">
        <f t="shared" si="31"/>
        <v>4.8639736191261385E-2</v>
      </c>
      <c r="H42" s="33">
        <f>H35</f>
        <v>0.21556886227544911</v>
      </c>
      <c r="I42" s="33">
        <f t="shared" ref="I42:J42" si="32">(I35/I34)-1</f>
        <v>-0.14498141263940523</v>
      </c>
      <c r="J42" s="33">
        <f t="shared" si="32"/>
        <v>4.6593098616219963E-2</v>
      </c>
      <c r="K42" s="41">
        <f t="shared" ref="K42:L42" si="33">K35</f>
        <v>72.327044025157235</v>
      </c>
      <c r="L42" s="41">
        <f t="shared" si="33"/>
        <v>46.973270440251568</v>
      </c>
      <c r="M42" s="39">
        <f t="shared" si="20"/>
        <v>59.650157232704402</v>
      </c>
      <c r="O42" s="36" t="s">
        <v>114</v>
      </c>
      <c r="P42" s="37">
        <f t="shared" ref="P42:Q42" si="34">P37/P33</f>
        <v>0.24720893141945774</v>
      </c>
      <c r="Q42" s="37">
        <f t="shared" si="34"/>
        <v>0.27036395147313691</v>
      </c>
      <c r="R42" s="37">
        <f t="shared" si="30"/>
        <v>-2.3155020053679171E-2</v>
      </c>
    </row>
    <row r="43" spans="2:29" ht="14.4">
      <c r="M43" s="42">
        <f>AVERAGE(M39:M42)</f>
        <v>38.877791534776712</v>
      </c>
      <c r="O43" s="36" t="s">
        <v>108</v>
      </c>
      <c r="P43" s="37">
        <f t="shared" ref="P43:Q43" si="35">P39/P33</f>
        <v>0.22009569377990432</v>
      </c>
      <c r="Q43" s="37">
        <f t="shared" si="35"/>
        <v>0.22472559214326979</v>
      </c>
      <c r="R43" s="37">
        <f t="shared" si="30"/>
        <v>-4.62989836336547E-3</v>
      </c>
    </row>
    <row r="44" spans="2:29" ht="14.4">
      <c r="B44" s="29" t="s">
        <v>115</v>
      </c>
      <c r="C44" s="29" t="s">
        <v>54</v>
      </c>
      <c r="D44" s="29" t="s">
        <v>103</v>
      </c>
      <c r="E44" s="29" t="s">
        <v>57</v>
      </c>
      <c r="F44" s="29" t="s">
        <v>116</v>
      </c>
      <c r="H44" s="43" t="s">
        <v>117</v>
      </c>
      <c r="I44" s="28" t="s">
        <v>118</v>
      </c>
      <c r="J44" s="28" t="s">
        <v>93</v>
      </c>
      <c r="K44" s="28" t="s">
        <v>91</v>
      </c>
      <c r="L44" s="28" t="s">
        <v>88</v>
      </c>
      <c r="M44" s="43" t="s">
        <v>119</v>
      </c>
      <c r="O44" s="36" t="s">
        <v>41</v>
      </c>
      <c r="P44" s="32">
        <f t="shared" ref="P44:Q44" si="36">(P33-P34+P35)/P35</f>
        <v>47.762589928057551</v>
      </c>
      <c r="Q44" s="32">
        <f t="shared" si="36"/>
        <v>48.070914696813979</v>
      </c>
      <c r="R44" s="40">
        <f t="shared" si="30"/>
        <v>-0.30832476875642811</v>
      </c>
    </row>
    <row r="45" spans="2:29" ht="14.4">
      <c r="B45" s="36" t="s">
        <v>120</v>
      </c>
      <c r="C45" s="24">
        <v>0.12</v>
      </c>
      <c r="D45" s="24">
        <f>(D49/E35)-1</f>
        <v>0.14302222222222216</v>
      </c>
      <c r="E45" s="24">
        <v>0.14000000000000001</v>
      </c>
      <c r="F45" s="26">
        <v>0.22</v>
      </c>
      <c r="H45" s="36" t="s">
        <v>96</v>
      </c>
      <c r="I45" s="37">
        <v>0.14699999999999999</v>
      </c>
      <c r="J45" s="37">
        <v>0.14099999999999999</v>
      </c>
      <c r="K45" s="37">
        <v>9.0999999999999998E-2</v>
      </c>
      <c r="L45" s="37">
        <v>8.6999999999999994E-2</v>
      </c>
      <c r="M45" s="33">
        <v>0.12</v>
      </c>
    </row>
    <row r="46" spans="2:29" ht="14.4">
      <c r="B46" s="36" t="s">
        <v>121</v>
      </c>
      <c r="C46" s="33">
        <f>MEDIAN(C39:C42)</f>
        <v>0.16896591843066699</v>
      </c>
      <c r="D46" s="33">
        <v>0.17</v>
      </c>
      <c r="E46" s="24">
        <v>0.17</v>
      </c>
      <c r="F46" s="26">
        <f>AVERAGE(H39:H42)</f>
        <v>0.18147885688386825</v>
      </c>
      <c r="H46" s="36" t="s">
        <v>103</v>
      </c>
      <c r="I46" s="33">
        <v>7.3999999999999996E-2</v>
      </c>
      <c r="J46" s="33">
        <v>4.9000000000000002E-2</v>
      </c>
      <c r="K46" s="33">
        <v>-2.5999999999999999E-2</v>
      </c>
      <c r="L46" s="33">
        <v>6.4000000000000001E-2</v>
      </c>
      <c r="M46" s="33">
        <v>0.14000000000000001</v>
      </c>
      <c r="O46" s="29" t="s">
        <v>122</v>
      </c>
      <c r="P46" s="28" t="s">
        <v>88</v>
      </c>
      <c r="Q46" s="28" t="s">
        <v>89</v>
      </c>
      <c r="R46" s="29" t="s">
        <v>123</v>
      </c>
      <c r="S46" s="29" t="s">
        <v>90</v>
      </c>
      <c r="U46" s="29" t="s">
        <v>124</v>
      </c>
      <c r="V46" s="28" t="s">
        <v>88</v>
      </c>
      <c r="W46" s="28" t="s">
        <v>89</v>
      </c>
      <c r="X46" s="29" t="s">
        <v>123</v>
      </c>
      <c r="Y46" s="29" t="s">
        <v>90</v>
      </c>
    </row>
    <row r="47" spans="2:29" ht="14.4">
      <c r="H47" s="36" t="s">
        <v>116</v>
      </c>
      <c r="I47" s="37">
        <v>0.22500000000000001</v>
      </c>
      <c r="J47" s="37">
        <v>0.216</v>
      </c>
      <c r="K47" s="37">
        <v>0.19800000000000001</v>
      </c>
      <c r="L47" s="37">
        <v>0.22</v>
      </c>
      <c r="M47" s="37">
        <v>0.22</v>
      </c>
      <c r="O47" s="36" t="s">
        <v>9</v>
      </c>
      <c r="P47" s="30">
        <v>1013</v>
      </c>
      <c r="Q47" s="30">
        <v>919</v>
      </c>
      <c r="R47" s="24">
        <f t="shared" ref="R47:R52" si="37">P47/$P$54</f>
        <v>0.71051321077623397</v>
      </c>
      <c r="S47" s="33">
        <f t="shared" ref="S47:S52" si="38">(P47/Q47)^(1/1)-1</f>
        <v>0.10228509249183904</v>
      </c>
      <c r="U47" s="36" t="s">
        <v>125</v>
      </c>
      <c r="V47" s="30">
        <v>1827</v>
      </c>
      <c r="W47" s="30">
        <v>1687</v>
      </c>
      <c r="X47" s="24">
        <f t="shared" ref="X47:X48" si="39">V47/$V$50</f>
        <v>0.9712918660287081</v>
      </c>
      <c r="Y47" s="33">
        <v>4.8000000000000001E-2</v>
      </c>
    </row>
    <row r="48" spans="2:29" ht="14.4">
      <c r="B48" s="28" t="s">
        <v>115</v>
      </c>
      <c r="C48" s="29" t="s">
        <v>126</v>
      </c>
      <c r="D48" s="29" t="s">
        <v>56</v>
      </c>
      <c r="E48" s="29" t="s">
        <v>57</v>
      </c>
      <c r="F48" s="29" t="s">
        <v>127</v>
      </c>
      <c r="O48" s="36" t="s">
        <v>128</v>
      </c>
      <c r="P48" s="38">
        <v>240</v>
      </c>
      <c r="Q48" s="32">
        <v>189</v>
      </c>
      <c r="R48" s="24">
        <f t="shared" si="37"/>
        <v>0.16833481795290833</v>
      </c>
      <c r="S48" s="33">
        <f t="shared" si="38"/>
        <v>0.26984126984126977</v>
      </c>
      <c r="U48" s="36" t="s">
        <v>129</v>
      </c>
      <c r="V48" s="32">
        <v>54</v>
      </c>
      <c r="W48" s="32">
        <v>45</v>
      </c>
      <c r="X48" s="24">
        <f t="shared" si="39"/>
        <v>2.8708133971291867E-2</v>
      </c>
      <c r="Y48" s="33">
        <v>0.152</v>
      </c>
    </row>
    <row r="49" spans="2:25" ht="14.4">
      <c r="B49" s="36" t="s">
        <v>120</v>
      </c>
      <c r="C49" s="44">
        <f>FV(C45,1,0,-C35,0)</f>
        <v>4114.88</v>
      </c>
      <c r="D49" s="44">
        <f t="shared" ref="D49:D50" si="40">C49*F45</f>
        <v>905.27359999999999</v>
      </c>
      <c r="E49" s="44">
        <f>FV(E45,1,0,-G35,0)</f>
        <v>145.00800000000001</v>
      </c>
      <c r="F49" s="45">
        <f t="shared" ref="F49:F51" si="41">E49*35</f>
        <v>5075.2800000000007</v>
      </c>
      <c r="H49" s="29" t="s">
        <v>130</v>
      </c>
      <c r="I49" s="29" t="s">
        <v>131</v>
      </c>
      <c r="J49" s="29" t="s">
        <v>132</v>
      </c>
      <c r="K49" s="29" t="s">
        <v>91</v>
      </c>
      <c r="L49" s="29" t="s">
        <v>133</v>
      </c>
      <c r="M49" s="29" t="s">
        <v>11</v>
      </c>
      <c r="O49" s="36" t="s">
        <v>134</v>
      </c>
      <c r="P49" s="30">
        <v>108</v>
      </c>
      <c r="Q49" s="30">
        <v>107</v>
      </c>
      <c r="R49" s="24">
        <f t="shared" si="37"/>
        <v>7.5750668078808744E-2</v>
      </c>
      <c r="S49" s="33">
        <f t="shared" si="38"/>
        <v>9.3457943925232545E-3</v>
      </c>
    </row>
    <row r="50" spans="2:25" ht="14.4">
      <c r="B50" s="36" t="s">
        <v>121</v>
      </c>
      <c r="C50" s="44">
        <f>FV(C46,5,0,-C49,0)</f>
        <v>8981.8628947247453</v>
      </c>
      <c r="D50" s="44">
        <f t="shared" si="40"/>
        <v>1630.0182108222787</v>
      </c>
      <c r="E50" s="44">
        <f>(D50*E49)/D49</f>
        <v>261.09861230341522</v>
      </c>
      <c r="F50" s="45">
        <f t="shared" si="41"/>
        <v>9138.4514306195324</v>
      </c>
      <c r="H50" s="36"/>
      <c r="I50" s="30">
        <v>33.15</v>
      </c>
      <c r="J50" s="30">
        <v>31.62</v>
      </c>
      <c r="K50" s="30">
        <v>29.6</v>
      </c>
      <c r="L50" s="30">
        <v>36.840000000000003</v>
      </c>
      <c r="M50" s="40">
        <f>SUM(I50:L50)</f>
        <v>131.21</v>
      </c>
      <c r="O50" s="36" t="s">
        <v>135</v>
      </c>
      <c r="P50" s="32">
        <v>54</v>
      </c>
      <c r="Q50" s="32">
        <v>46</v>
      </c>
      <c r="R50" s="24">
        <f t="shared" si="37"/>
        <v>3.7875334039404372E-2</v>
      </c>
      <c r="S50" s="33">
        <f t="shared" si="38"/>
        <v>0.17391304347826098</v>
      </c>
      <c r="U50" s="46" t="s">
        <v>26</v>
      </c>
      <c r="V50" s="46">
        <f t="shared" ref="V50:W50" si="42">SUM(V47:V48)</f>
        <v>1881</v>
      </c>
      <c r="W50" s="46">
        <f t="shared" si="42"/>
        <v>1732</v>
      </c>
      <c r="X50" s="47">
        <f>V50/$V$50</f>
        <v>1</v>
      </c>
      <c r="Y50" s="48">
        <f>(V50/W50)^(1/1)-1</f>
        <v>8.6027713625866031E-2</v>
      </c>
    </row>
    <row r="51" spans="2:25" ht="14.4">
      <c r="B51" s="36" t="s">
        <v>136</v>
      </c>
      <c r="C51" s="44">
        <f t="shared" ref="C51:E51" si="43">FV(15%,5,0,-C50,0)</f>
        <v>18065.734490444167</v>
      </c>
      <c r="D51" s="44">
        <f t="shared" si="43"/>
        <v>3278.5488440932795</v>
      </c>
      <c r="E51" s="44">
        <f t="shared" si="43"/>
        <v>525.16257050274999</v>
      </c>
      <c r="F51" s="45">
        <f t="shared" si="41"/>
        <v>18380.689967596249</v>
      </c>
      <c r="O51" s="36" t="s">
        <v>137</v>
      </c>
      <c r="P51" s="30">
        <v>9.73</v>
      </c>
      <c r="Q51" s="30">
        <v>9.73</v>
      </c>
      <c r="R51" s="24">
        <f t="shared" si="37"/>
        <v>6.8245740778408257E-3</v>
      </c>
      <c r="S51" s="33">
        <f t="shared" si="38"/>
        <v>0</v>
      </c>
    </row>
    <row r="52" spans="2:25" ht="14.4">
      <c r="J52" s="49" t="s">
        <v>130</v>
      </c>
      <c r="K52" s="49" t="s">
        <v>11</v>
      </c>
      <c r="L52" s="49" t="s">
        <v>138</v>
      </c>
      <c r="M52" s="50" t="s">
        <v>139</v>
      </c>
      <c r="O52" s="36" t="s">
        <v>140</v>
      </c>
      <c r="P52" s="30">
        <v>1</v>
      </c>
      <c r="Q52" s="30">
        <v>2</v>
      </c>
      <c r="R52" s="24">
        <f t="shared" si="37"/>
        <v>7.0139507480378475E-4</v>
      </c>
      <c r="S52" s="33">
        <f t="shared" si="38"/>
        <v>-0.5</v>
      </c>
      <c r="U52" s="29" t="s">
        <v>141</v>
      </c>
      <c r="V52" s="29" t="s">
        <v>123</v>
      </c>
      <c r="W52" s="29" t="s">
        <v>90</v>
      </c>
    </row>
    <row r="53" spans="2:25" ht="14.4">
      <c r="G53" s="51"/>
      <c r="J53" s="52">
        <v>127</v>
      </c>
      <c r="K53" s="53">
        <v>131.19999999999999</v>
      </c>
      <c r="L53" s="54">
        <v>145</v>
      </c>
      <c r="M53" s="55">
        <f ca="1">L55/14</f>
        <v>3.7795566502463056</v>
      </c>
      <c r="P53" s="51"/>
      <c r="Q53" s="51"/>
      <c r="S53" s="56"/>
      <c r="U53" s="36" t="s">
        <v>142</v>
      </c>
      <c r="V53" s="24">
        <v>0.55700000000000005</v>
      </c>
      <c r="W53" s="33">
        <v>0.16</v>
      </c>
    </row>
    <row r="54" spans="2:25" ht="14.4">
      <c r="G54" s="51"/>
      <c r="J54" s="49" t="s">
        <v>143</v>
      </c>
      <c r="K54" s="49" t="s">
        <v>45</v>
      </c>
      <c r="L54" s="49" t="s">
        <v>144</v>
      </c>
      <c r="M54" s="57"/>
      <c r="O54" s="58" t="s">
        <v>145</v>
      </c>
      <c r="P54" s="58">
        <f t="shared" ref="P54:Q54" si="44">SUM(P47:P52)</f>
        <v>1425.73</v>
      </c>
      <c r="Q54" s="58">
        <f t="shared" si="44"/>
        <v>1272.73</v>
      </c>
      <c r="R54" s="59">
        <f>P54/$P$54</f>
        <v>1</v>
      </c>
      <c r="S54" s="60">
        <f>(P54/Q54)^(1/1)-1</f>
        <v>0.1202140281127968</v>
      </c>
      <c r="U54" s="36" t="s">
        <v>146</v>
      </c>
      <c r="V54" s="24">
        <v>0.318</v>
      </c>
      <c r="W54" s="33">
        <v>-5.0999999999999997E-2</v>
      </c>
    </row>
    <row r="55" spans="2:25" ht="14.4">
      <c r="G55" s="51"/>
      <c r="J55" s="61">
        <f>C4/J53</f>
        <v>61.2992125984252</v>
      </c>
      <c r="K55" s="53">
        <f ca="1">C3/K53</f>
        <v>58.479420731707322</v>
      </c>
      <c r="L55" s="62">
        <f ca="1">C3/L53</f>
        <v>52.913793103448278</v>
      </c>
      <c r="M55" s="57"/>
      <c r="U55" s="36" t="s">
        <v>147</v>
      </c>
      <c r="V55" s="24">
        <v>0.1154</v>
      </c>
      <c r="W55" s="33">
        <v>-0.11799999999999999</v>
      </c>
    </row>
    <row r="56" spans="2:25" ht="14.4">
      <c r="O56" s="28" t="s">
        <v>148</v>
      </c>
      <c r="P56" s="29" t="s">
        <v>94</v>
      </c>
      <c r="Q56" s="29" t="s">
        <v>82</v>
      </c>
      <c r="R56" s="29" t="s">
        <v>90</v>
      </c>
      <c r="U56" s="36" t="s">
        <v>149</v>
      </c>
      <c r="V56" s="24">
        <v>0.01</v>
      </c>
      <c r="W56" s="33">
        <v>0.35899999999999999</v>
      </c>
    </row>
    <row r="57" spans="2:25" ht="14.4">
      <c r="O57" s="36" t="s">
        <v>150</v>
      </c>
      <c r="P57" s="38">
        <v>43.9</v>
      </c>
      <c r="Q57" s="30">
        <v>44.8</v>
      </c>
      <c r="R57" s="37">
        <f t="shared" ref="R57:R60" si="45">(P57/Q57)^(1/1)-1</f>
        <v>-2.0089285714285698E-2</v>
      </c>
    </row>
    <row r="58" spans="2:25" ht="14.4">
      <c r="O58" s="36" t="s">
        <v>151</v>
      </c>
      <c r="P58" s="38">
        <v>3.55</v>
      </c>
      <c r="Q58" s="30">
        <f>1.47+1.39</f>
        <v>2.86</v>
      </c>
      <c r="R58" s="37">
        <f t="shared" si="45"/>
        <v>0.24125874125874125</v>
      </c>
      <c r="U58" s="29" t="s">
        <v>152</v>
      </c>
      <c r="V58" s="28" t="s">
        <v>133</v>
      </c>
      <c r="W58" s="28" t="s">
        <v>153</v>
      </c>
      <c r="X58" s="29" t="s">
        <v>154</v>
      </c>
    </row>
    <row r="59" spans="2:25" ht="14.4">
      <c r="O59" s="36" t="s">
        <v>155</v>
      </c>
      <c r="P59" s="38">
        <v>13.86</v>
      </c>
      <c r="Q59" s="30">
        <v>13.5</v>
      </c>
      <c r="R59" s="37">
        <f t="shared" si="45"/>
        <v>2.6666666666666616E-2</v>
      </c>
      <c r="U59" s="7" t="s">
        <v>156</v>
      </c>
      <c r="V59" s="26">
        <v>0.42699999999999999</v>
      </c>
      <c r="W59" s="14">
        <v>0.4</v>
      </c>
      <c r="X59" s="37">
        <f t="shared" ref="X59:X62" si="46">V59-W59</f>
        <v>2.6999999999999968E-2</v>
      </c>
    </row>
    <row r="60" spans="2:25" ht="14.4">
      <c r="O60" s="36" t="s">
        <v>157</v>
      </c>
      <c r="P60" s="38">
        <v>38.6</v>
      </c>
      <c r="Q60" s="30">
        <v>38.799999999999997</v>
      </c>
      <c r="R60" s="37">
        <f t="shared" si="45"/>
        <v>-5.1546391752576026E-3</v>
      </c>
      <c r="U60" s="7" t="s">
        <v>158</v>
      </c>
      <c r="V60" s="26">
        <v>0.30299999999999999</v>
      </c>
      <c r="W60" s="14">
        <v>0.39600000000000002</v>
      </c>
      <c r="X60" s="37">
        <f t="shared" si="46"/>
        <v>-9.3000000000000027E-2</v>
      </c>
    </row>
    <row r="61" spans="2:25" ht="14.4">
      <c r="U61" s="36" t="s">
        <v>159</v>
      </c>
      <c r="V61" s="37">
        <v>0.188</v>
      </c>
      <c r="W61" s="63">
        <v>0.155</v>
      </c>
      <c r="X61" s="37">
        <f t="shared" si="46"/>
        <v>3.3000000000000002E-2</v>
      </c>
    </row>
    <row r="62" spans="2:25" ht="14.4">
      <c r="O62" s="64" t="s">
        <v>26</v>
      </c>
      <c r="P62" s="65">
        <f t="shared" ref="P62:Q62" si="47">SUM(P57:P60)</f>
        <v>99.91</v>
      </c>
      <c r="Q62" s="65">
        <f t="shared" si="47"/>
        <v>99.96</v>
      </c>
      <c r="R62" s="66">
        <f>(P62/Q62)^(1/1)-1</f>
        <v>-5.0020008003193173E-4</v>
      </c>
      <c r="U62" s="36" t="s">
        <v>160</v>
      </c>
      <c r="V62" s="37">
        <v>8.3000000000000004E-2</v>
      </c>
      <c r="W62" s="63">
        <v>4.9000000000000002E-2</v>
      </c>
      <c r="X62" s="37">
        <f t="shared" si="46"/>
        <v>3.4000000000000002E-2</v>
      </c>
    </row>
    <row r="64" spans="2:25" ht="14.4">
      <c r="U64" s="67" t="s">
        <v>26</v>
      </c>
      <c r="V64" s="59">
        <f t="shared" ref="V64:W64" si="48">SUM(V59:V62)</f>
        <v>1.0009999999999999</v>
      </c>
      <c r="W64" s="59">
        <f t="shared" si="48"/>
        <v>1</v>
      </c>
      <c r="X64" s="68">
        <f>(V64/W64)^(1/1)-1</f>
        <v>9.9999999999988987E-4</v>
      </c>
    </row>
    <row r="113" spans="9:11" ht="14.4">
      <c r="I113" s="69"/>
      <c r="J113" s="69"/>
      <c r="K113" s="56"/>
    </row>
    <row r="114" spans="9:11" ht="14.4">
      <c r="I114" s="51"/>
      <c r="J114" s="51"/>
      <c r="K114" s="56"/>
    </row>
  </sheetData>
  <mergeCells count="1">
    <mergeCell ref="M53:M55"/>
  </mergeCells>
  <conditionalFormatting sqref="C12:C36">
    <cfRule type="colorScale" priority="4">
      <colorScale>
        <cfvo type="min"/>
        <cfvo type="max"/>
        <color rgb="FFFFFFFF"/>
        <color rgb="FF57BB8A"/>
      </colorScale>
    </cfRule>
  </conditionalFormatting>
  <conditionalFormatting sqref="C43:E46">
    <cfRule type="colorScale" priority="2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37:G42 I41:I42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2:D36">
    <cfRule type="colorScale" priority="5">
      <colorScale>
        <cfvo type="min"/>
        <cfvo type="max"/>
        <color rgb="FFFFFFFF"/>
        <color rgb="FFE67C73"/>
      </colorScale>
    </cfRule>
  </conditionalFormatting>
  <conditionalFormatting sqref="E12:E36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2:F36">
    <cfRule type="colorScale" priority="7">
      <colorScale>
        <cfvo type="min"/>
        <cfvo type="max"/>
        <color rgb="FFFFFFFF"/>
        <color rgb="FF57BB8A"/>
      </colorScale>
    </cfRule>
  </conditionalFormatting>
  <conditionalFormatting sqref="F43:F46">
    <cfRule type="colorScale" priority="2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2:G36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2:H36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37:H42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2:J36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37:J42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5:L45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6:L46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7:L47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50:L50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2:L36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37:M42">
    <cfRule type="colorScale" priority="1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R33:R40">
    <cfRule type="colorScale" priority="2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41:R43">
    <cfRule type="colorScale" priority="2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45:R52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56:R62">
    <cfRule type="colorScale" priority="2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45:S52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59:V62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W59:W62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X45:X48 V52:V56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X58:X62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Y46:Y48 W52:W56">
    <cfRule type="colorScale" priority="2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95BC1-0B26-4963-82C2-13DFA56F7F31}">
  <sheetPr>
    <outlinePr summaryBelow="0" summaryRight="0"/>
    <pageSetUpPr fitToPage="1"/>
  </sheetPr>
  <dimension ref="A2:Q257"/>
  <sheetViews>
    <sheetView showGridLines="0" workbookViewId="0"/>
  </sheetViews>
  <sheetFormatPr defaultColWidth="14" defaultRowHeight="15" customHeight="1"/>
  <sheetData>
    <row r="2" spans="1:17" ht="14.4">
      <c r="B2" s="70" t="s">
        <v>161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7" ht="15" customHeight="1" thickBot="1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7" ht="15" customHeight="1" thickBot="1">
      <c r="P4" s="20" t="s">
        <v>162</v>
      </c>
      <c r="Q4" s="71" t="s">
        <v>163</v>
      </c>
    </row>
    <row r="5" spans="1:17" ht="15" customHeight="1">
      <c r="A5" s="72" t="s">
        <v>164</v>
      </c>
      <c r="B5" s="73" t="s">
        <v>165</v>
      </c>
      <c r="H5" s="74" t="s">
        <v>162</v>
      </c>
      <c r="I5" s="74" t="s">
        <v>166</v>
      </c>
      <c r="K5" s="74" t="s">
        <v>167</v>
      </c>
      <c r="L5" s="74" t="s">
        <v>168</v>
      </c>
      <c r="P5" s="5" t="s">
        <v>169</v>
      </c>
      <c r="Q5" s="75">
        <v>1501368</v>
      </c>
    </row>
    <row r="6" spans="1:17" ht="15" customHeight="1">
      <c r="B6" s="51">
        <v>4129735</v>
      </c>
      <c r="H6" s="5" t="s">
        <v>170</v>
      </c>
      <c r="I6" s="13">
        <f ca="1">IFERROR(__xludf.DUMMYFUNCTION("GOOGLEFINANCE(""nse:""&amp;H6,""marketcap"")/10000000"),1501367.9341845)</f>
        <v>1501367.9341845</v>
      </c>
      <c r="K6" s="7" t="s">
        <v>86</v>
      </c>
      <c r="L6" s="13">
        <v>2000000</v>
      </c>
      <c r="P6" s="5" t="s">
        <v>171</v>
      </c>
      <c r="Q6" s="75">
        <v>803440</v>
      </c>
    </row>
    <row r="7" spans="1:17" ht="15" customHeight="1">
      <c r="B7" s="20">
        <v>83</v>
      </c>
      <c r="H7" s="5" t="s">
        <v>172</v>
      </c>
      <c r="I7" s="13">
        <v>803440</v>
      </c>
      <c r="K7" s="7" t="s">
        <v>173</v>
      </c>
      <c r="L7" s="13">
        <v>5500000</v>
      </c>
      <c r="P7" s="5" t="s">
        <v>174</v>
      </c>
      <c r="Q7" s="75">
        <v>497435</v>
      </c>
    </row>
    <row r="8" spans="1:17" ht="15" customHeight="1">
      <c r="H8" s="5" t="s">
        <v>175</v>
      </c>
      <c r="I8" s="13">
        <f ca="1">IFERROR(__xludf.DUMMYFUNCTION("GOOGLEFINANCE(""nse:""&amp;H8,""marketcap"")/10000000"),497435.3040736)</f>
        <v>497435.30407359998</v>
      </c>
      <c r="K8" s="7" t="s">
        <v>29</v>
      </c>
      <c r="L8" s="24">
        <f>(L7/L6)^(1/10)-1</f>
        <v>0.10645376106020565</v>
      </c>
      <c r="P8" s="5" t="s">
        <v>176</v>
      </c>
      <c r="Q8" s="75">
        <v>276714</v>
      </c>
    </row>
    <row r="9" spans="1:17" ht="15" customHeight="1">
      <c r="B9" s="74" t="s">
        <v>177</v>
      </c>
      <c r="H9" s="5" t="s">
        <v>178</v>
      </c>
      <c r="I9" s="13">
        <v>276714</v>
      </c>
      <c r="P9" s="5" t="s">
        <v>179</v>
      </c>
      <c r="Q9" s="75">
        <v>189817</v>
      </c>
    </row>
    <row r="10" spans="1:17" ht="15" customHeight="1">
      <c r="B10" s="26">
        <f>B6/44000000</f>
        <v>9.3857613636363635E-2</v>
      </c>
      <c r="H10" s="5" t="s">
        <v>180</v>
      </c>
      <c r="I10" s="13">
        <f ca="1">IFERROR(__xludf.DUMMYFUNCTION("GOOGLEFINANCE(""nse:""&amp;H10,""marketcap"")/10000000"),189817.2)</f>
        <v>189817.2</v>
      </c>
      <c r="P10" s="5" t="s">
        <v>181</v>
      </c>
      <c r="Q10" s="75">
        <v>160952</v>
      </c>
    </row>
    <row r="11" spans="1:17" ht="15" customHeight="1">
      <c r="H11" s="5" t="s">
        <v>182</v>
      </c>
      <c r="I11" s="13">
        <f ca="1">IFERROR(__xludf.DUMMYFUNCTION("GOOGLEFINANCE(""nse:""&amp;H11,""marketcap"")/10000000"),160952.276355)</f>
        <v>160952.27635500001</v>
      </c>
      <c r="P11" s="5" t="s">
        <v>183</v>
      </c>
      <c r="Q11" s="75">
        <v>100245</v>
      </c>
    </row>
    <row r="12" spans="1:17" ht="15" customHeight="1">
      <c r="H12" s="5" t="s">
        <v>184</v>
      </c>
      <c r="I12" s="13">
        <f ca="1">IFERROR(__xludf.DUMMYFUNCTION("GOOGLEFINANCE(""nse:""&amp;H12,""marketcap"")/10000000"),100245.2)</f>
        <v>100245.2</v>
      </c>
      <c r="P12" s="5" t="s">
        <v>185</v>
      </c>
      <c r="Q12" s="75">
        <v>83627</v>
      </c>
    </row>
    <row r="13" spans="1:17" ht="15" customHeight="1">
      <c r="H13" s="5" t="s">
        <v>186</v>
      </c>
      <c r="I13" s="13">
        <f ca="1">IFERROR(__xludf.DUMMYFUNCTION("GOOGLEFINANCE(""nse:""&amp;H13,""marketcap"")/10000000"),83627.3403584)</f>
        <v>83627.340358400004</v>
      </c>
      <c r="P13" s="5" t="s">
        <v>187</v>
      </c>
      <c r="Q13" s="75">
        <v>55226</v>
      </c>
    </row>
    <row r="14" spans="1:17" ht="15" customHeight="1">
      <c r="H14" s="5" t="s">
        <v>188</v>
      </c>
      <c r="I14" s="13">
        <f ca="1">IFERROR(__xludf.DUMMYFUNCTION("GOOGLEFINANCE(""nse:""&amp;H14,""marketcap"")/10000000"),55226.0075)</f>
        <v>55226.0075</v>
      </c>
      <c r="P14" s="36" t="s">
        <v>189</v>
      </c>
      <c r="Q14" s="75">
        <v>54425</v>
      </c>
    </row>
    <row r="15" spans="1:17" ht="15" customHeight="1">
      <c r="H15" s="5" t="s">
        <v>190</v>
      </c>
      <c r="I15" s="13">
        <f ca="1">IFERROR(__xludf.DUMMYFUNCTION("GOOGLEFINANCE(""nse:""&amp;H15,""marketcap"")/10000000"),54425.43)</f>
        <v>54425.43</v>
      </c>
      <c r="P15" s="5" t="s">
        <v>191</v>
      </c>
      <c r="Q15" s="75">
        <v>48757</v>
      </c>
    </row>
    <row r="16" spans="1:17" ht="15" customHeight="1">
      <c r="H16" s="5" t="s">
        <v>192</v>
      </c>
      <c r="I16" s="13">
        <f ca="1">IFERROR(__xludf.DUMMYFUNCTION("GOOGLEFINANCE(""nse:""&amp;H16,""marketcap"")/10000000"),48756.8521089)</f>
        <v>48756.852108899999</v>
      </c>
      <c r="P16" s="5" t="s">
        <v>193</v>
      </c>
      <c r="Q16" s="75">
        <v>47790</v>
      </c>
    </row>
    <row r="17" spans="2:17" ht="15" customHeight="1">
      <c r="H17" s="5" t="s">
        <v>27</v>
      </c>
      <c r="I17" s="13">
        <f ca="1">IFERROR(__xludf.DUMMYFUNCTION("GOOGLEFINANCE(""nse:""&amp;H17,""marketcap"")/10000000"),47789.8481612)</f>
        <v>47789.848161200003</v>
      </c>
      <c r="P17" s="5" t="s">
        <v>194</v>
      </c>
      <c r="Q17" s="75">
        <v>45479</v>
      </c>
    </row>
    <row r="18" spans="2:17" ht="15" customHeight="1">
      <c r="H18" s="5" t="s">
        <v>195</v>
      </c>
      <c r="I18" s="13">
        <f ca="1">IFERROR(__xludf.DUMMYFUNCTION("GOOGLEFINANCE(""nse:""&amp;H18,""marketcap"")/10000000"),45479.1990187)</f>
        <v>45479.199018699997</v>
      </c>
      <c r="P18" s="5" t="s">
        <v>196</v>
      </c>
      <c r="Q18" s="75">
        <v>42763</v>
      </c>
    </row>
    <row r="19" spans="2:17" ht="15" customHeight="1">
      <c r="H19" s="5" t="s">
        <v>197</v>
      </c>
      <c r="I19" s="13">
        <f ca="1">IFERROR(__xludf.DUMMYFUNCTION("GOOGLEFINANCE(""nse:""&amp;H19,""marketcap"")/10000000"),42763.282205)</f>
        <v>42763.282205000003</v>
      </c>
      <c r="P19" s="5" t="s">
        <v>198</v>
      </c>
      <c r="Q19" s="75">
        <v>22673</v>
      </c>
    </row>
    <row r="20" spans="2:17" ht="15" customHeight="1">
      <c r="B20" s="73" t="s">
        <v>199</v>
      </c>
      <c r="H20" s="5" t="s">
        <v>200</v>
      </c>
      <c r="I20" s="13">
        <f ca="1">IFERROR(__xludf.DUMMYFUNCTION("GOOGLEFINANCE(""nse:""&amp;H20,""marketcap"")/10000000"),22673.2680887)</f>
        <v>22673.268088699999</v>
      </c>
      <c r="L20" s="76" t="s">
        <v>29</v>
      </c>
      <c r="M20" s="76" t="s">
        <v>201</v>
      </c>
      <c r="N20" s="20"/>
      <c r="O20" s="20"/>
      <c r="P20" s="20" t="s">
        <v>202</v>
      </c>
      <c r="Q20" s="20">
        <f>4129735-3930711</f>
        <v>199024</v>
      </c>
    </row>
    <row r="21" spans="2:17" ht="14.4">
      <c r="B21" s="51">
        <v>751681</v>
      </c>
      <c r="H21" s="20" t="s">
        <v>202</v>
      </c>
      <c r="I21" s="20">
        <v>199024</v>
      </c>
      <c r="K21" s="69"/>
      <c r="L21" s="77" t="s">
        <v>203</v>
      </c>
      <c r="M21" s="14">
        <v>0.1980126979937944</v>
      </c>
      <c r="N21" s="8"/>
      <c r="O21" s="8"/>
      <c r="P21" s="8"/>
      <c r="Q21" s="8"/>
    </row>
    <row r="22" spans="2:17" ht="14.4">
      <c r="L22" s="77" t="s">
        <v>204</v>
      </c>
      <c r="M22" s="14">
        <v>0.17301711667288933</v>
      </c>
    </row>
    <row r="23" spans="2:17" ht="14.4">
      <c r="L23" s="77" t="s">
        <v>205</v>
      </c>
      <c r="M23" s="14">
        <v>0.15656331013154201</v>
      </c>
    </row>
    <row r="24" spans="2:17" ht="14.4">
      <c r="L24" s="77" t="s">
        <v>206</v>
      </c>
      <c r="M24" s="14">
        <v>0.12878937005184654</v>
      </c>
    </row>
    <row r="25" spans="2:17" ht="14.4">
      <c r="L25" s="77" t="s">
        <v>207</v>
      </c>
      <c r="M25" s="14">
        <v>4.9483482468840601E-2</v>
      </c>
    </row>
    <row r="26" spans="2:17" ht="14.4">
      <c r="M26" s="69"/>
    </row>
    <row r="35" spans="8:16" ht="14.4">
      <c r="H35" s="76" t="s">
        <v>208</v>
      </c>
      <c r="I35" s="76" t="s">
        <v>209</v>
      </c>
      <c r="J35" s="76" t="s">
        <v>210</v>
      </c>
      <c r="K35" s="78" t="s">
        <v>203</v>
      </c>
      <c r="L35" s="78" t="s">
        <v>204</v>
      </c>
      <c r="M35" s="78" t="s">
        <v>205</v>
      </c>
      <c r="N35" s="78" t="s">
        <v>206</v>
      </c>
      <c r="O35" s="78" t="s">
        <v>211</v>
      </c>
      <c r="P35" s="20"/>
    </row>
    <row r="36" spans="8:16" ht="14.4">
      <c r="H36" s="5" t="s">
        <v>170</v>
      </c>
      <c r="I36" s="79">
        <v>240893</v>
      </c>
      <c r="J36" s="10">
        <v>225458</v>
      </c>
      <c r="K36" s="14">
        <v>0.19604702043830491</v>
      </c>
      <c r="L36" s="14">
        <v>0.18250976751170089</v>
      </c>
      <c r="M36" s="14">
        <v>0.14085562770085724</v>
      </c>
      <c r="N36" s="14">
        <v>0.1130544410866412</v>
      </c>
      <c r="O36" s="14">
        <v>6.8460644554639849E-2</v>
      </c>
      <c r="P36" s="51"/>
    </row>
    <row r="37" spans="8:16" ht="14.4">
      <c r="H37" s="5" t="s">
        <v>172</v>
      </c>
      <c r="I37" s="79">
        <v>153670</v>
      </c>
      <c r="J37" s="10">
        <v>146767</v>
      </c>
      <c r="K37" s="14">
        <v>0.17778651521508326</v>
      </c>
      <c r="L37" s="14">
        <v>0.15221779744653929</v>
      </c>
      <c r="M37" s="14">
        <v>0.13987875970962893</v>
      </c>
      <c r="N37" s="14">
        <v>0.14060841918580147</v>
      </c>
      <c r="O37" s="14">
        <v>4.7033733741236095E-2</v>
      </c>
      <c r="P37" s="51"/>
    </row>
    <row r="38" spans="8:16" ht="14.4">
      <c r="H38" s="5" t="s">
        <v>175</v>
      </c>
      <c r="I38" s="79">
        <v>109913</v>
      </c>
      <c r="J38" s="10">
        <v>101456</v>
      </c>
      <c r="K38" s="14">
        <v>0.35217072690085827</v>
      </c>
      <c r="L38" s="14">
        <v>0.37392232231591405</v>
      </c>
      <c r="M38" s="14">
        <v>0.43034983593126275</v>
      </c>
      <c r="N38" s="14">
        <v>0.11671995034058869</v>
      </c>
      <c r="O38" s="14">
        <v>8.3356331808863038E-2</v>
      </c>
      <c r="P38" s="51"/>
    </row>
    <row r="39" spans="8:16" ht="14.4">
      <c r="H39" s="5" t="s">
        <v>178</v>
      </c>
      <c r="I39" s="79">
        <v>89760</v>
      </c>
      <c r="J39" s="10">
        <v>90488</v>
      </c>
      <c r="K39" s="14">
        <v>0.14172162444673986</v>
      </c>
      <c r="L39" s="14">
        <v>0.1015405569710035</v>
      </c>
      <c r="M39" s="14">
        <v>8.910402703832232E-2</v>
      </c>
      <c r="N39" s="14">
        <v>0.10076067045825821</v>
      </c>
      <c r="O39" s="14">
        <v>-8.0452656705861658E-3</v>
      </c>
      <c r="P39" s="51"/>
    </row>
    <row r="40" spans="8:16" ht="14.4">
      <c r="H40" s="5" t="s">
        <v>180</v>
      </c>
      <c r="I40" s="79">
        <v>35517</v>
      </c>
      <c r="J40" s="10">
        <v>33183</v>
      </c>
      <c r="K40" s="14" t="e">
        <v>#DIV/0!</v>
      </c>
      <c r="L40" s="14" t="e">
        <v>#DIV/0!</v>
      </c>
      <c r="M40" s="14">
        <v>0.20764577886641522</v>
      </c>
      <c r="N40" s="14">
        <v>0.34419360412468825</v>
      </c>
      <c r="O40" s="14">
        <v>7.0337220866106165E-2</v>
      </c>
      <c r="P40" s="51"/>
    </row>
    <row r="41" spans="8:16" ht="14.4">
      <c r="H41" s="5" t="s">
        <v>182</v>
      </c>
      <c r="I41" s="79">
        <v>51996</v>
      </c>
      <c r="J41" s="10">
        <v>53290</v>
      </c>
      <c r="K41" s="14" t="e">
        <v>#DIV/0!</v>
      </c>
      <c r="L41" s="14">
        <v>0.19130163529959909</v>
      </c>
      <c r="M41" s="14">
        <v>0.11729378173617255</v>
      </c>
      <c r="N41" s="14">
        <v>8.9758058150450015E-2</v>
      </c>
      <c r="O41" s="14">
        <v>-2.4282229311315406E-2</v>
      </c>
      <c r="P41" s="51"/>
    </row>
    <row r="42" spans="8:16" ht="14.4">
      <c r="H42" s="5" t="s">
        <v>27</v>
      </c>
      <c r="I42" s="79">
        <v>3674</v>
      </c>
      <c r="J42" s="10">
        <v>3144</v>
      </c>
      <c r="K42" s="14">
        <v>0.17034546044259624</v>
      </c>
      <c r="L42" s="14">
        <v>0.1765988360113746</v>
      </c>
      <c r="M42" s="14">
        <v>0.1767721581197641</v>
      </c>
      <c r="N42" s="14">
        <v>0.22926573743343392</v>
      </c>
      <c r="O42" s="14">
        <v>0.16857506361323149</v>
      </c>
      <c r="P42" s="51"/>
    </row>
    <row r="43" spans="8:16" ht="14.4">
      <c r="H43" s="5" t="s">
        <v>190</v>
      </c>
      <c r="I43" s="79">
        <v>13278</v>
      </c>
      <c r="J43" s="10">
        <v>13798</v>
      </c>
      <c r="K43" s="14">
        <v>0.23331940219744718</v>
      </c>
      <c r="L43" s="14">
        <v>9.4098751462913466E-2</v>
      </c>
      <c r="M43" s="14">
        <v>0.17858969045579709</v>
      </c>
      <c r="N43" s="14">
        <v>0.1069633948266473</v>
      </c>
      <c r="O43" s="14">
        <v>-3.7686621249456431E-2</v>
      </c>
      <c r="P43" s="51"/>
    </row>
    <row r="44" spans="8:16" ht="14.4">
      <c r="H44" s="5" t="s">
        <v>186</v>
      </c>
      <c r="I44" s="79">
        <v>9950</v>
      </c>
      <c r="J44" s="10">
        <v>8351</v>
      </c>
      <c r="K44" s="14" t="e">
        <v>#DIV/0!</v>
      </c>
      <c r="L44" s="14">
        <v>0.35740762773392198</v>
      </c>
      <c r="M44" s="14">
        <v>0.46153213859755571</v>
      </c>
      <c r="N44" s="14">
        <v>0.29244013347403719</v>
      </c>
      <c r="O44" s="14">
        <v>0.1914740749610826</v>
      </c>
      <c r="P44" s="51"/>
    </row>
    <row r="45" spans="8:16" ht="14.4">
      <c r="H45" s="5" t="s">
        <v>195</v>
      </c>
      <c r="I45" s="79">
        <v>9179</v>
      </c>
      <c r="J45" s="10">
        <v>8015</v>
      </c>
      <c r="K45" s="14">
        <v>0.22777879292958669</v>
      </c>
      <c r="L45" s="14">
        <v>0.23210506912965734</v>
      </c>
      <c r="M45" s="14">
        <v>0.23776706699580341</v>
      </c>
      <c r="N45" s="14">
        <v>0.21702899033579182</v>
      </c>
      <c r="O45" s="14">
        <v>0.14522769806612601</v>
      </c>
      <c r="P45" s="51"/>
    </row>
    <row r="46" spans="8:16" ht="14.4">
      <c r="H46" s="80" t="s">
        <v>197</v>
      </c>
      <c r="I46" s="79">
        <v>5117</v>
      </c>
      <c r="J46" s="79">
        <v>4414</v>
      </c>
      <c r="O46" s="14">
        <v>0.14522769806612601</v>
      </c>
      <c r="P46" s="51"/>
    </row>
    <row r="47" spans="8:16" ht="14.4">
      <c r="H47" s="7" t="s">
        <v>202</v>
      </c>
      <c r="I47" s="13">
        <f>B21-(SUM(I36:I45))</f>
        <v>33851</v>
      </c>
      <c r="J47" s="7">
        <f>716239-(SUM(J36:J45))</f>
        <v>32289</v>
      </c>
      <c r="K47" s="14">
        <v>0.1980126979937944</v>
      </c>
      <c r="L47" s="14">
        <v>0.17301711667288933</v>
      </c>
      <c r="M47" s="14">
        <v>0.15656331013154201</v>
      </c>
      <c r="N47" s="14">
        <v>0.12878937005184654</v>
      </c>
      <c r="O47" s="14">
        <v>4.9483482468840601E-2</v>
      </c>
    </row>
    <row r="50" spans="2:16" ht="14.4">
      <c r="J50" s="74" t="s">
        <v>53</v>
      </c>
      <c r="K50" s="74" t="s">
        <v>212</v>
      </c>
    </row>
    <row r="51" spans="2:16" ht="14.4">
      <c r="B51" s="73" t="s">
        <v>212</v>
      </c>
      <c r="J51" s="7" t="s">
        <v>213</v>
      </c>
      <c r="K51" s="81">
        <v>110776</v>
      </c>
    </row>
    <row r="52" spans="2:16" ht="14.4">
      <c r="B52" s="51">
        <v>108751</v>
      </c>
      <c r="J52" s="7" t="s">
        <v>214</v>
      </c>
      <c r="K52" s="81">
        <v>108751</v>
      </c>
    </row>
    <row r="53" spans="2:16" ht="14.4">
      <c r="J53" s="7" t="s">
        <v>215</v>
      </c>
      <c r="K53" s="81">
        <v>100456</v>
      </c>
      <c r="L53" s="51"/>
      <c r="M53" s="51"/>
      <c r="N53" s="42"/>
      <c r="O53" s="42"/>
      <c r="P53" s="51"/>
    </row>
    <row r="54" spans="2:16" ht="14.4">
      <c r="J54" s="7" t="s">
        <v>216</v>
      </c>
      <c r="K54" s="81">
        <v>79060.7</v>
      </c>
    </row>
    <row r="55" spans="2:16" ht="14.4">
      <c r="J55" s="7" t="s">
        <v>217</v>
      </c>
      <c r="K55" s="81">
        <v>45209</v>
      </c>
    </row>
    <row r="56" spans="2:16" ht="14.4">
      <c r="J56" s="7" t="s">
        <v>218</v>
      </c>
      <c r="K56" s="81">
        <v>19013</v>
      </c>
    </row>
    <row r="57" spans="2:16" ht="14.4">
      <c r="J57" s="7" t="s">
        <v>219</v>
      </c>
      <c r="K57" s="81">
        <v>5593</v>
      </c>
    </row>
    <row r="58" spans="2:16" ht="14.4">
      <c r="J58" s="7" t="s">
        <v>220</v>
      </c>
      <c r="K58" s="81">
        <v>1582.07</v>
      </c>
    </row>
    <row r="63" spans="2:16" ht="14.4">
      <c r="J63" s="74" t="s">
        <v>208</v>
      </c>
      <c r="K63" s="74" t="s">
        <v>221</v>
      </c>
    </row>
    <row r="64" spans="2:16" ht="14.4">
      <c r="J64" s="7" t="s">
        <v>170</v>
      </c>
      <c r="K64" s="7">
        <v>42303</v>
      </c>
    </row>
    <row r="65" spans="1:11" ht="14.4">
      <c r="J65" s="7" t="s">
        <v>172</v>
      </c>
      <c r="K65" s="7">
        <v>24108</v>
      </c>
    </row>
    <row r="66" spans="1:11" ht="14.4">
      <c r="J66" s="7" t="s">
        <v>175</v>
      </c>
      <c r="K66" s="7">
        <v>14845</v>
      </c>
    </row>
    <row r="67" spans="1:11" ht="14.4">
      <c r="J67" s="7" t="s">
        <v>178</v>
      </c>
      <c r="K67" s="7">
        <v>11366</v>
      </c>
    </row>
    <row r="68" spans="1:11" ht="14.4">
      <c r="J68" s="7" t="s">
        <v>180</v>
      </c>
      <c r="K68" s="7">
        <v>4410</v>
      </c>
    </row>
    <row r="69" spans="1:11" ht="14.4">
      <c r="J69" s="7" t="s">
        <v>182</v>
      </c>
      <c r="K69" s="7">
        <v>4857</v>
      </c>
    </row>
    <row r="70" spans="1:11" ht="14.4">
      <c r="J70" s="7" t="s">
        <v>27</v>
      </c>
      <c r="K70" s="7">
        <v>755</v>
      </c>
    </row>
    <row r="71" spans="1:11" ht="14.4">
      <c r="J71" s="7" t="s">
        <v>190</v>
      </c>
      <c r="K71" s="7">
        <v>1638</v>
      </c>
    </row>
    <row r="72" spans="1:11" ht="14.4">
      <c r="J72" s="7" t="s">
        <v>202</v>
      </c>
      <c r="K72" s="81">
        <f>K51-(SUM(K64:K71))</f>
        <v>6494</v>
      </c>
    </row>
    <row r="73" spans="1:11" ht="14.4">
      <c r="A73" s="72" t="s">
        <v>30</v>
      </c>
      <c r="B73" s="73" t="s">
        <v>222</v>
      </c>
    </row>
    <row r="74" spans="1:11" ht="14.4">
      <c r="B74" s="8">
        <v>0.152</v>
      </c>
      <c r="J74" s="74" t="s">
        <v>167</v>
      </c>
      <c r="K74" s="74" t="s">
        <v>223</v>
      </c>
    </row>
    <row r="75" spans="1:11" ht="14.4">
      <c r="E75" s="56"/>
      <c r="F75" s="56"/>
      <c r="G75" s="56"/>
      <c r="J75" s="7" t="s">
        <v>224</v>
      </c>
      <c r="K75" s="26">
        <v>0.13900000000000001</v>
      </c>
    </row>
    <row r="76" spans="1:11" ht="14.4">
      <c r="J76" s="7" t="s">
        <v>225</v>
      </c>
      <c r="K76" s="26">
        <v>0.15183618875822177</v>
      </c>
    </row>
    <row r="77" spans="1:11" ht="14.4">
      <c r="J77" s="7" t="s">
        <v>226</v>
      </c>
      <c r="K77" s="26">
        <v>0.17070795813529052</v>
      </c>
    </row>
    <row r="78" spans="1:11" ht="14.4">
      <c r="J78" s="7" t="s">
        <v>227</v>
      </c>
      <c r="K78" s="26">
        <v>0.22269785129503561</v>
      </c>
    </row>
    <row r="79" spans="1:11" ht="14.4">
      <c r="J79" s="7" t="s">
        <v>228</v>
      </c>
      <c r="K79" s="26">
        <v>0.23619895224216947</v>
      </c>
    </row>
    <row r="80" spans="1:11" ht="14.4">
      <c r="J80" s="7" t="s">
        <v>229</v>
      </c>
      <c r="K80" s="26">
        <v>0.26425087689994986</v>
      </c>
    </row>
    <row r="87" spans="10:11" thickBot="1">
      <c r="J87" s="82" t="s">
        <v>230</v>
      </c>
      <c r="K87" s="82" t="s">
        <v>231</v>
      </c>
    </row>
    <row r="88" spans="10:11" ht="14.4">
      <c r="J88" s="5" t="s">
        <v>170</v>
      </c>
      <c r="K88" s="83">
        <v>0.19139999999999999</v>
      </c>
    </row>
    <row r="89" spans="10:11" ht="14.4">
      <c r="J89" s="5" t="s">
        <v>172</v>
      </c>
      <c r="K89" s="83">
        <v>0.17080000000000001</v>
      </c>
    </row>
    <row r="90" spans="10:11" ht="14.4">
      <c r="J90" s="5" t="s">
        <v>175</v>
      </c>
      <c r="K90" s="83">
        <v>0.1429</v>
      </c>
    </row>
    <row r="91" spans="10:11" ht="14.4">
      <c r="J91" s="5" t="s">
        <v>178</v>
      </c>
      <c r="K91" s="83">
        <v>1.24E-2</v>
      </c>
    </row>
    <row r="92" spans="10:11" ht="14.4">
      <c r="J92" s="5" t="s">
        <v>180</v>
      </c>
      <c r="K92" s="83">
        <v>0.12909999999999999</v>
      </c>
    </row>
    <row r="93" spans="10:11" ht="14.4">
      <c r="J93" s="5" t="s">
        <v>182</v>
      </c>
      <c r="K93" s="83">
        <v>4.6100000000000002E-2</v>
      </c>
    </row>
    <row r="94" spans="10:11" ht="14.4">
      <c r="J94" s="5" t="s">
        <v>184</v>
      </c>
      <c r="K94" s="83">
        <v>0.34820000000000001</v>
      </c>
    </row>
    <row r="95" spans="10:11" ht="14.4">
      <c r="J95" s="5" t="s">
        <v>186</v>
      </c>
      <c r="K95" s="83">
        <v>0.10979999999999999</v>
      </c>
    </row>
    <row r="96" spans="10:11" ht="14.4">
      <c r="J96" s="5" t="s">
        <v>188</v>
      </c>
      <c r="K96" s="83">
        <v>0.13539999999999999</v>
      </c>
    </row>
    <row r="97" spans="2:11" ht="14.4">
      <c r="J97" s="5" t="s">
        <v>190</v>
      </c>
      <c r="K97" s="83">
        <v>0.1171</v>
      </c>
    </row>
    <row r="98" spans="2:11" ht="14.4">
      <c r="J98" s="5" t="s">
        <v>192</v>
      </c>
      <c r="K98" s="83">
        <v>0.1229</v>
      </c>
    </row>
    <row r="99" spans="2:11" ht="14.4">
      <c r="J99" s="5" t="s">
        <v>27</v>
      </c>
      <c r="K99" s="83">
        <v>0.21560000000000001</v>
      </c>
    </row>
    <row r="100" spans="2:11" ht="14.4">
      <c r="J100" s="5" t="s">
        <v>195</v>
      </c>
      <c r="K100" s="83">
        <v>9.11E-2</v>
      </c>
    </row>
    <row r="101" spans="2:11" ht="14.4">
      <c r="J101" s="5" t="s">
        <v>197</v>
      </c>
      <c r="K101" s="83">
        <v>0.13270000000000001</v>
      </c>
    </row>
    <row r="102" spans="2:11" ht="14.4">
      <c r="J102" s="5" t="s">
        <v>200</v>
      </c>
      <c r="K102" s="83">
        <v>0.16120000000000001</v>
      </c>
    </row>
    <row r="103" spans="2:11" ht="14.4">
      <c r="J103" s="7" t="s">
        <v>232</v>
      </c>
      <c r="K103" s="26">
        <v>9.8400000000000001E-2</v>
      </c>
    </row>
    <row r="104" spans="2:11" ht="14.4">
      <c r="J104" s="7" t="s">
        <v>233</v>
      </c>
      <c r="K104" s="26">
        <v>0.2019</v>
      </c>
    </row>
    <row r="105" spans="2:11" ht="14.4">
      <c r="J105" s="7" t="s">
        <v>234</v>
      </c>
      <c r="K105" s="26">
        <v>3.5900000000000001E-2</v>
      </c>
    </row>
    <row r="106" spans="2:11" ht="14.4">
      <c r="J106" s="7" t="s">
        <v>235</v>
      </c>
      <c r="K106" s="26">
        <v>0.1182</v>
      </c>
    </row>
    <row r="107" spans="2:11" ht="14.4">
      <c r="J107" s="7" t="s">
        <v>236</v>
      </c>
      <c r="K107" s="26">
        <v>0.13139999999999999</v>
      </c>
    </row>
    <row r="109" spans="2:11" ht="14.4">
      <c r="B109" s="73" t="s">
        <v>237</v>
      </c>
      <c r="J109" s="74" t="s">
        <v>208</v>
      </c>
      <c r="K109" s="74" t="s">
        <v>237</v>
      </c>
    </row>
    <row r="110" spans="2:11" ht="14.4">
      <c r="B110" s="20">
        <v>2.1</v>
      </c>
      <c r="J110" s="7" t="s">
        <v>170</v>
      </c>
      <c r="K110" s="27">
        <v>2.5</v>
      </c>
    </row>
    <row r="111" spans="2:11" ht="14.4">
      <c r="J111" s="7" t="s">
        <v>172</v>
      </c>
      <c r="K111" s="27">
        <v>1.8088347879344664</v>
      </c>
    </row>
    <row r="112" spans="2:11" ht="14.4">
      <c r="J112" s="7" t="s">
        <v>175</v>
      </c>
      <c r="K112" s="27">
        <v>2.4999766693108114</v>
      </c>
    </row>
    <row r="113" spans="2:11" ht="14.4">
      <c r="J113" s="7" t="s">
        <v>178</v>
      </c>
      <c r="K113" s="27">
        <v>2.4690569561157796</v>
      </c>
    </row>
    <row r="114" spans="2:11" ht="14.4">
      <c r="J114" s="7" t="s">
        <v>180</v>
      </c>
      <c r="K114" s="27">
        <v>3.1342330840780597</v>
      </c>
    </row>
    <row r="115" spans="2:11" ht="14.4">
      <c r="J115" s="7" t="s">
        <v>182</v>
      </c>
      <c r="K115" s="27">
        <v>1.8340965392988515</v>
      </c>
    </row>
    <row r="116" spans="2:11" ht="14.4">
      <c r="J116" s="7" t="s">
        <v>27</v>
      </c>
      <c r="K116" s="27">
        <v>4.8288100208768263</v>
      </c>
    </row>
    <row r="117" spans="2:11" ht="14.4">
      <c r="J117" s="7" t="s">
        <v>190</v>
      </c>
      <c r="K117" s="27">
        <v>2.1283518055058992</v>
      </c>
    </row>
    <row r="118" spans="2:11" ht="14.4">
      <c r="J118" s="7" t="s">
        <v>186</v>
      </c>
      <c r="K118" s="27">
        <v>1.7962206332992849</v>
      </c>
    </row>
    <row r="119" spans="2:11" ht="14.4">
      <c r="J119" s="7" t="s">
        <v>195</v>
      </c>
      <c r="K119" s="27">
        <v>1.4985623921794136</v>
      </c>
    </row>
    <row r="120" spans="2:11" ht="14.4">
      <c r="J120" s="7" t="s">
        <v>192</v>
      </c>
      <c r="K120" s="27">
        <v>1.2851027397260273</v>
      </c>
    </row>
    <row r="121" spans="2:11" ht="14.4">
      <c r="B121" s="73" t="s">
        <v>238</v>
      </c>
    </row>
    <row r="122" spans="2:11" ht="14.4">
      <c r="B122" s="20">
        <v>73.5</v>
      </c>
      <c r="J122" s="74" t="s">
        <v>208</v>
      </c>
      <c r="K122" s="74" t="s">
        <v>238</v>
      </c>
    </row>
    <row r="123" spans="2:11" ht="14.4">
      <c r="J123" s="7" t="s">
        <v>170</v>
      </c>
      <c r="K123" s="27">
        <v>81.435256233977057</v>
      </c>
    </row>
    <row r="124" spans="2:11" ht="14.4">
      <c r="J124" s="7" t="s">
        <v>172</v>
      </c>
      <c r="K124" s="27">
        <v>63.227837320378555</v>
      </c>
    </row>
    <row r="125" spans="2:11" ht="14.4">
      <c r="J125" s="7" t="s">
        <v>175</v>
      </c>
      <c r="K125" s="27">
        <v>94.210840167166054</v>
      </c>
    </row>
    <row r="126" spans="2:11" ht="14.4">
      <c r="J126" s="7" t="s">
        <v>178</v>
      </c>
      <c r="K126" s="27">
        <v>51.312494474405447</v>
      </c>
    </row>
    <row r="127" spans="2:11" ht="14.4">
      <c r="J127" s="7" t="s">
        <v>180</v>
      </c>
      <c r="K127" s="27">
        <v>61.893695567007192</v>
      </c>
    </row>
    <row r="128" spans="2:11" ht="14.4">
      <c r="J128" s="7" t="s">
        <v>182</v>
      </c>
      <c r="K128" s="27">
        <v>88.232876712328761</v>
      </c>
    </row>
    <row r="129" spans="1:11" ht="14.4">
      <c r="J129" s="7" t="s">
        <v>27</v>
      </c>
      <c r="K129" s="27">
        <v>113.30788804071247</v>
      </c>
    </row>
    <row r="130" spans="1:11" ht="14.4">
      <c r="J130" s="7" t="s">
        <v>190</v>
      </c>
      <c r="K130" s="27">
        <v>70.180098565009416</v>
      </c>
    </row>
    <row r="131" spans="1:11" ht="14.4">
      <c r="J131" s="7" t="s">
        <v>186</v>
      </c>
      <c r="K131" s="27">
        <v>68.620524488085266</v>
      </c>
    </row>
    <row r="132" spans="1:11" ht="14.4">
      <c r="J132" s="7" t="s">
        <v>195</v>
      </c>
      <c r="K132" s="27">
        <v>73.455396132252019</v>
      </c>
    </row>
    <row r="133" spans="1:11" ht="14.4">
      <c r="J133" s="7" t="s">
        <v>192</v>
      </c>
      <c r="K133" s="27">
        <v>83.955423476968789</v>
      </c>
    </row>
    <row r="134" spans="1:11" ht="14.4">
      <c r="A134" s="72" t="s">
        <v>31</v>
      </c>
      <c r="B134" s="78" t="s">
        <v>39</v>
      </c>
    </row>
    <row r="135" spans="1:11" ht="14.4">
      <c r="B135" s="20">
        <v>0</v>
      </c>
      <c r="J135" s="84" t="s">
        <v>208</v>
      </c>
      <c r="K135" s="84" t="s">
        <v>39</v>
      </c>
    </row>
    <row r="136" spans="1:11" ht="14.4">
      <c r="J136" s="85" t="s">
        <v>170</v>
      </c>
      <c r="K136" s="85">
        <v>0</v>
      </c>
    </row>
    <row r="137" spans="1:11" ht="14.4">
      <c r="J137" s="85" t="s">
        <v>172</v>
      </c>
      <c r="K137" s="85">
        <v>0</v>
      </c>
    </row>
    <row r="138" spans="1:11" ht="14.4">
      <c r="J138" s="85" t="s">
        <v>175</v>
      </c>
      <c r="K138" s="85">
        <v>3.4420012844429491E-2</v>
      </c>
    </row>
    <row r="139" spans="1:11" ht="14.4">
      <c r="J139" s="85" t="s">
        <v>178</v>
      </c>
      <c r="K139" s="85">
        <v>0.19310140750842703</v>
      </c>
    </row>
    <row r="140" spans="1:11" ht="14.4">
      <c r="J140" s="85" t="s">
        <v>180</v>
      </c>
      <c r="K140" s="85">
        <v>7.5305741309717456E-3</v>
      </c>
    </row>
    <row r="141" spans="1:11" ht="14.4">
      <c r="J141" s="85" t="s">
        <v>182</v>
      </c>
      <c r="K141" s="85">
        <v>5.5573751439529206E-3</v>
      </c>
    </row>
    <row r="142" spans="1:11" ht="14.4">
      <c r="J142" s="85" t="s">
        <v>27</v>
      </c>
      <c r="K142" s="85">
        <v>0</v>
      </c>
    </row>
    <row r="143" spans="1:11" ht="14.4">
      <c r="J143" s="85" t="s">
        <v>190</v>
      </c>
      <c r="K143" s="85">
        <v>2.4955886059994957E-2</v>
      </c>
    </row>
    <row r="144" spans="1:11" ht="14.4">
      <c r="J144" s="85" t="s">
        <v>186</v>
      </c>
      <c r="K144" s="85">
        <v>0.10794451450189155</v>
      </c>
    </row>
    <row r="145" spans="2:11" ht="14.4">
      <c r="J145" s="85" t="s">
        <v>195</v>
      </c>
      <c r="K145" s="85">
        <v>0.10665825181445251</v>
      </c>
    </row>
    <row r="146" spans="2:11" ht="14.4">
      <c r="J146" s="85" t="s">
        <v>192</v>
      </c>
      <c r="K146" s="85">
        <v>2.9585087191822009E-2</v>
      </c>
    </row>
    <row r="148" spans="2:11" ht="14.4">
      <c r="B148" s="78" t="s">
        <v>239</v>
      </c>
      <c r="J148" s="84" t="s">
        <v>208</v>
      </c>
      <c r="K148" s="84" t="s">
        <v>239</v>
      </c>
    </row>
    <row r="149" spans="2:11" ht="14.4">
      <c r="B149" s="20">
        <v>0.4</v>
      </c>
      <c r="J149" s="7" t="s">
        <v>170</v>
      </c>
      <c r="K149" s="27">
        <v>0.47560533236601071</v>
      </c>
    </row>
    <row r="150" spans="2:11" ht="14.4">
      <c r="J150" s="7" t="s">
        <v>172</v>
      </c>
      <c r="K150" s="27">
        <v>0.39757264576842372</v>
      </c>
    </row>
    <row r="151" spans="2:11" ht="14.4">
      <c r="J151" s="7" t="s">
        <v>175</v>
      </c>
      <c r="K151" s="27">
        <v>0.29988973461369645</v>
      </c>
    </row>
    <row r="152" spans="2:11" ht="14.4">
      <c r="J152" s="7" t="s">
        <v>178</v>
      </c>
      <c r="K152" s="27">
        <v>0.33642099152245736</v>
      </c>
    </row>
    <row r="153" spans="2:11" ht="14.4">
      <c r="J153" s="7" t="s">
        <v>180</v>
      </c>
      <c r="K153" s="27">
        <v>0.29353932584269665</v>
      </c>
    </row>
    <row r="154" spans="2:11" ht="14.4">
      <c r="J154" s="7" t="s">
        <v>182</v>
      </c>
      <c r="K154" s="27">
        <v>0.35811323207592138</v>
      </c>
    </row>
    <row r="155" spans="2:11" ht="14.4">
      <c r="J155" s="7" t="s">
        <v>27</v>
      </c>
      <c r="K155" s="27">
        <v>0.24538545059717698</v>
      </c>
    </row>
    <row r="156" spans="2:11" ht="14.4">
      <c r="J156" s="7" t="s">
        <v>190</v>
      </c>
      <c r="K156" s="27">
        <v>0.31647859419415969</v>
      </c>
    </row>
    <row r="157" spans="2:11" ht="14.4">
      <c r="J157" s="7" t="s">
        <v>186</v>
      </c>
      <c r="K157" s="27">
        <v>0.40096691343103186</v>
      </c>
    </row>
    <row r="158" spans="2:11" ht="14.4">
      <c r="J158" s="7" t="s">
        <v>195</v>
      </c>
      <c r="K158" s="27">
        <v>0.44219602322716872</v>
      </c>
    </row>
    <row r="159" spans="2:11" ht="14.4">
      <c r="J159" s="7" t="s">
        <v>192</v>
      </c>
      <c r="K159" s="27">
        <v>0.51088235294117645</v>
      </c>
    </row>
    <row r="161" spans="1:11" ht="14.4">
      <c r="B161" s="78" t="s">
        <v>41</v>
      </c>
      <c r="J161" s="86" t="s">
        <v>208</v>
      </c>
      <c r="K161" s="86" t="s">
        <v>41</v>
      </c>
    </row>
    <row r="162" spans="1:11" ht="14.4">
      <c r="B162" s="20">
        <v>26</v>
      </c>
      <c r="J162" s="13" t="s">
        <v>170</v>
      </c>
      <c r="K162" s="13">
        <v>69.623876765083438</v>
      </c>
    </row>
    <row r="163" spans="1:11" ht="14.4">
      <c r="J163" s="13" t="s">
        <v>172</v>
      </c>
      <c r="K163" s="13">
        <v>108.82042253521126</v>
      </c>
    </row>
    <row r="164" spans="1:11" ht="14.4">
      <c r="J164" s="13" t="s">
        <v>175</v>
      </c>
      <c r="K164" s="13">
        <v>52.359773371104815</v>
      </c>
    </row>
    <row r="165" spans="1:11" ht="14.4">
      <c r="J165" s="13" t="s">
        <v>178</v>
      </c>
      <c r="K165" s="13">
        <v>13.420059582919563</v>
      </c>
    </row>
    <row r="166" spans="1:11" ht="14.4">
      <c r="J166" s="13" t="s">
        <v>180</v>
      </c>
      <c r="K166" s="13">
        <v>35.9</v>
      </c>
    </row>
    <row r="167" spans="1:11" ht="14.4">
      <c r="J167" s="13" t="s">
        <v>182</v>
      </c>
      <c r="K167" s="13">
        <v>17.953846153846154</v>
      </c>
    </row>
    <row r="168" spans="1:11" ht="14.4">
      <c r="J168" s="13" t="s">
        <v>27</v>
      </c>
      <c r="K168" s="13">
        <v>54.9375</v>
      </c>
    </row>
    <row r="169" spans="1:11" ht="14.4">
      <c r="J169" s="13" t="s">
        <v>190</v>
      </c>
      <c r="K169" s="13">
        <v>21.68930041152263</v>
      </c>
    </row>
    <row r="170" spans="1:11" ht="14.4">
      <c r="J170" s="13" t="s">
        <v>186</v>
      </c>
      <c r="K170" s="13">
        <v>26.391120507399577</v>
      </c>
    </row>
    <row r="171" spans="1:11" ht="14.4">
      <c r="J171" s="13" t="s">
        <v>195</v>
      </c>
      <c r="K171" s="13">
        <v>12.687344913151366</v>
      </c>
    </row>
    <row r="172" spans="1:11" ht="14.4">
      <c r="J172" s="13" t="s">
        <v>192</v>
      </c>
      <c r="K172" s="13">
        <v>15.21875</v>
      </c>
    </row>
    <row r="175" spans="1:11" ht="14.4">
      <c r="A175" s="72" t="s">
        <v>3</v>
      </c>
      <c r="B175" s="87" t="s">
        <v>50</v>
      </c>
      <c r="J175" s="84" t="s">
        <v>208</v>
      </c>
      <c r="K175" s="84" t="s">
        <v>50</v>
      </c>
    </row>
    <row r="176" spans="1:11" ht="14.4">
      <c r="B176" s="8">
        <v>0.54600000000000004</v>
      </c>
      <c r="J176" s="7" t="s">
        <v>170</v>
      </c>
      <c r="K176" s="88">
        <v>0.96342807291427524</v>
      </c>
    </row>
    <row r="177" spans="2:11" ht="14.4">
      <c r="J177" s="7" t="s">
        <v>172</v>
      </c>
      <c r="K177" s="88">
        <v>0.57334252028785793</v>
      </c>
    </row>
    <row r="178" spans="2:11" ht="14.4">
      <c r="J178" s="7" t="s">
        <v>175</v>
      </c>
      <c r="K178" s="88">
        <v>0.84032476319350469</v>
      </c>
    </row>
    <row r="179" spans="2:11" ht="14.4">
      <c r="J179" s="7" t="s">
        <v>178</v>
      </c>
      <c r="K179" s="88">
        <v>0.48776844070961717</v>
      </c>
    </row>
    <row r="180" spans="2:11" ht="14.4">
      <c r="J180" s="7" t="s">
        <v>180</v>
      </c>
      <c r="K180" s="88">
        <v>0.56447200437716583</v>
      </c>
    </row>
    <row r="181" spans="2:11" ht="14.4">
      <c r="J181" s="7" t="s">
        <v>182</v>
      </c>
      <c r="K181" s="88">
        <v>0.41828691539674201</v>
      </c>
    </row>
    <row r="182" spans="2:11" ht="14.4">
      <c r="J182" s="7" t="s">
        <v>27</v>
      </c>
      <c r="K182" s="88">
        <v>1.0167014613778707</v>
      </c>
    </row>
    <row r="183" spans="2:11" ht="14.4">
      <c r="J183" s="7" t="s">
        <v>190</v>
      </c>
      <c r="K183" s="88">
        <v>0.52234537003932791</v>
      </c>
    </row>
    <row r="184" spans="2:11" ht="14.4">
      <c r="J184" s="7" t="s">
        <v>186</v>
      </c>
      <c r="K184" s="88">
        <v>0.48774259448416751</v>
      </c>
    </row>
    <row r="185" spans="2:11" ht="14.4">
      <c r="J185" s="7" t="s">
        <v>195</v>
      </c>
      <c r="K185" s="88">
        <v>0.54629097182288666</v>
      </c>
    </row>
    <row r="186" spans="2:11" ht="14.4">
      <c r="J186" s="7" t="s">
        <v>192</v>
      </c>
      <c r="K186" s="88">
        <v>0.39554794520547948</v>
      </c>
    </row>
    <row r="187" spans="2:11" ht="14.4">
      <c r="B187" s="89" t="s">
        <v>51</v>
      </c>
    </row>
    <row r="188" spans="2:11" ht="14.4">
      <c r="B188" s="20">
        <v>5.5</v>
      </c>
      <c r="J188" s="84" t="s">
        <v>208</v>
      </c>
      <c r="K188" s="84" t="s">
        <v>51</v>
      </c>
    </row>
    <row r="189" spans="2:11" ht="14.4">
      <c r="J189" s="7" t="s">
        <v>170</v>
      </c>
      <c r="K189" s="25"/>
    </row>
    <row r="190" spans="2:11" ht="14.4">
      <c r="J190" s="7" t="s">
        <v>172</v>
      </c>
      <c r="K190" s="25"/>
    </row>
    <row r="191" spans="2:11" ht="14.4">
      <c r="J191" s="7" t="s">
        <v>175</v>
      </c>
      <c r="K191" s="25">
        <v>8.0004442470013331</v>
      </c>
    </row>
    <row r="192" spans="2:11" ht="14.4">
      <c r="J192" s="7" t="s">
        <v>178</v>
      </c>
      <c r="K192" s="25">
        <v>0.87014457991871541</v>
      </c>
    </row>
    <row r="193" spans="2:11" ht="14.4">
      <c r="J193" s="7" t="s">
        <v>180</v>
      </c>
      <c r="K193" s="25">
        <v>24.76</v>
      </c>
    </row>
    <row r="194" spans="2:11" ht="14.4">
      <c r="J194" s="7" t="s">
        <v>182</v>
      </c>
      <c r="K194" s="25">
        <v>3.5310519645120406</v>
      </c>
    </row>
    <row r="195" spans="2:11" ht="14.4">
      <c r="J195" s="7" t="s">
        <v>27</v>
      </c>
      <c r="K195" s="25"/>
    </row>
    <row r="196" spans="2:11" ht="14.4">
      <c r="J196" s="7" t="s">
        <v>190</v>
      </c>
      <c r="K196" s="25">
        <v>7.3787878787878789</v>
      </c>
    </row>
    <row r="197" spans="2:11" ht="14.4">
      <c r="J197" s="7" t="s">
        <v>186</v>
      </c>
      <c r="K197" s="25">
        <v>2.2313084112149535</v>
      </c>
    </row>
    <row r="198" spans="2:11" ht="14.4">
      <c r="J198" s="7" t="s">
        <v>195</v>
      </c>
      <c r="K198" s="25">
        <v>2.8106508875739644</v>
      </c>
    </row>
    <row r="199" spans="2:11" ht="14.4">
      <c r="J199" s="7" t="s">
        <v>192</v>
      </c>
      <c r="K199" s="25">
        <v>9.390243902439023</v>
      </c>
    </row>
    <row r="201" spans="2:11" ht="14.4">
      <c r="B201" s="90" t="s">
        <v>52</v>
      </c>
      <c r="J201" s="76" t="s">
        <v>208</v>
      </c>
      <c r="K201" s="87" t="s">
        <v>52</v>
      </c>
    </row>
    <row r="202" spans="2:11" ht="14.4">
      <c r="B202" s="20">
        <v>2.2000000000000002</v>
      </c>
      <c r="J202" s="5" t="s">
        <v>170</v>
      </c>
      <c r="K202" s="91">
        <v>4.102150537634409</v>
      </c>
    </row>
    <row r="203" spans="2:11" ht="14.4">
      <c r="J203" s="5" t="s">
        <v>172</v>
      </c>
      <c r="K203" s="91">
        <v>1.6834257455417354</v>
      </c>
    </row>
    <row r="204" spans="2:11" ht="14.4">
      <c r="J204" s="5" t="s">
        <v>175</v>
      </c>
      <c r="K204" s="91">
        <v>3.3530068888475144</v>
      </c>
    </row>
    <row r="205" spans="2:11" ht="14.4">
      <c r="J205" s="5" t="s">
        <v>178</v>
      </c>
      <c r="K205" s="91">
        <v>1.5861834434512241</v>
      </c>
    </row>
    <row r="206" spans="2:11" ht="14.4">
      <c r="J206" s="5" t="s">
        <v>180</v>
      </c>
      <c r="K206" s="91">
        <v>3.1917087759100751</v>
      </c>
    </row>
    <row r="207" spans="2:11" ht="14.4">
      <c r="J207" s="5" t="s">
        <v>182</v>
      </c>
      <c r="K207" s="91">
        <v>1.9468902865129281</v>
      </c>
    </row>
    <row r="208" spans="2:11" ht="14.4">
      <c r="J208" s="5" t="s">
        <v>27</v>
      </c>
      <c r="K208" s="91">
        <v>3.0437500000000002</v>
      </c>
    </row>
    <row r="209" spans="1:11" ht="14.4">
      <c r="J209" s="5" t="s">
        <v>190</v>
      </c>
      <c r="K209" s="91">
        <v>6.5223214285714288</v>
      </c>
    </row>
    <row r="210" spans="1:11" ht="14.4">
      <c r="J210" s="5" t="s">
        <v>186</v>
      </c>
      <c r="K210" s="91">
        <v>1.9690721649484537</v>
      </c>
    </row>
    <row r="211" spans="1:11" ht="14.4">
      <c r="J211" s="5" t="s">
        <v>195</v>
      </c>
      <c r="K211" s="91">
        <v>2.1348314606741572</v>
      </c>
    </row>
    <row r="212" spans="1:11" ht="14.4">
      <c r="J212" s="5" t="s">
        <v>192</v>
      </c>
      <c r="K212" s="91">
        <v>2.1588785046728973</v>
      </c>
    </row>
    <row r="214" spans="1:11" ht="14.4">
      <c r="A214" s="72" t="s">
        <v>32</v>
      </c>
      <c r="B214" s="72" t="s">
        <v>42</v>
      </c>
      <c r="J214" s="76" t="s">
        <v>208</v>
      </c>
      <c r="K214" s="87" t="s">
        <v>42</v>
      </c>
    </row>
    <row r="215" spans="1:11" ht="14.4">
      <c r="B215" s="8">
        <v>0.23200000000000001</v>
      </c>
      <c r="J215" s="7" t="s">
        <v>170</v>
      </c>
      <c r="K215" s="26">
        <v>0.46381816985724622</v>
      </c>
    </row>
    <row r="216" spans="1:11" ht="14.4">
      <c r="J216" s="7" t="s">
        <v>172</v>
      </c>
      <c r="K216" s="26">
        <v>0.31806847417375816</v>
      </c>
    </row>
    <row r="217" spans="1:11" ht="14.4">
      <c r="J217" s="7" t="s">
        <v>175</v>
      </c>
      <c r="K217" s="26">
        <v>0.22699470931832777</v>
      </c>
    </row>
    <row r="218" spans="1:11" ht="14.4">
      <c r="J218" s="7" t="s">
        <v>178</v>
      </c>
      <c r="K218" s="26">
        <v>0.14623163420219745</v>
      </c>
    </row>
    <row r="219" spans="1:11" ht="14.4">
      <c r="J219" s="7" t="s">
        <v>180</v>
      </c>
      <c r="K219" s="26">
        <v>0.26567865534068319</v>
      </c>
    </row>
    <row r="220" spans="1:11" ht="14.4">
      <c r="J220" s="7" t="s">
        <v>182</v>
      </c>
      <c r="K220" s="26">
        <v>1.7105304863231519E-2</v>
      </c>
    </row>
    <row r="221" spans="1:11" ht="14.4">
      <c r="J221" s="7" t="s">
        <v>27</v>
      </c>
      <c r="K221" s="26">
        <v>0.36193672099712371</v>
      </c>
    </row>
    <row r="222" spans="1:11" ht="14.4">
      <c r="J222" s="7" t="s">
        <v>190</v>
      </c>
      <c r="K222" s="26">
        <v>0.20645323922359465</v>
      </c>
    </row>
    <row r="223" spans="1:11" ht="14.4">
      <c r="J223" s="7" t="s">
        <v>186</v>
      </c>
      <c r="K223" s="26">
        <v>0.23228247162673393</v>
      </c>
    </row>
    <row r="224" spans="1:11" ht="14.4">
      <c r="J224" s="7" t="s">
        <v>195</v>
      </c>
      <c r="K224" s="26">
        <v>0.23508993373303883</v>
      </c>
    </row>
    <row r="225" spans="2:11" ht="14.4">
      <c r="J225" s="7" t="s">
        <v>192</v>
      </c>
      <c r="K225" s="26">
        <v>0.23211064341551413</v>
      </c>
    </row>
    <row r="226" spans="2:11" ht="14.4">
      <c r="B226" s="72" t="s">
        <v>44</v>
      </c>
    </row>
    <row r="227" spans="2:11" ht="14.4">
      <c r="B227" s="8">
        <v>0.14099999999999999</v>
      </c>
      <c r="J227" s="76" t="s">
        <v>208</v>
      </c>
      <c r="K227" s="76" t="s">
        <v>44</v>
      </c>
    </row>
    <row r="228" spans="2:11" ht="14.4">
      <c r="J228" s="7" t="s">
        <v>170</v>
      </c>
      <c r="K228" s="26">
        <v>0.38363108733109641</v>
      </c>
    </row>
    <row r="229" spans="2:11" ht="14.4">
      <c r="J229" s="7" t="s">
        <v>172</v>
      </c>
      <c r="K229" s="26">
        <v>0.19161314936097157</v>
      </c>
    </row>
    <row r="230" spans="2:11" ht="14.4">
      <c r="J230" s="7" t="s">
        <v>175</v>
      </c>
      <c r="K230" s="26">
        <v>0.15892132618214128</v>
      </c>
    </row>
    <row r="231" spans="2:11" ht="14.4">
      <c r="J231" s="7" t="s">
        <v>178</v>
      </c>
      <c r="K231" s="26">
        <v>9.7034994408066039E-2</v>
      </c>
    </row>
    <row r="232" spans="2:11" ht="14.4">
      <c r="J232" s="7" t="s">
        <v>180</v>
      </c>
      <c r="K232" s="26">
        <v>0.18769152196118488</v>
      </c>
    </row>
    <row r="233" spans="2:11" ht="14.4">
      <c r="J233" s="7" t="s">
        <v>182</v>
      </c>
      <c r="K233" s="26">
        <v>0.10523692934370464</v>
      </c>
    </row>
    <row r="234" spans="2:11" ht="14.4">
      <c r="J234" s="7" t="s">
        <v>27</v>
      </c>
      <c r="K234" s="26">
        <v>0.27325370973579444</v>
      </c>
    </row>
    <row r="235" spans="2:11" ht="14.4">
      <c r="J235" s="7" t="s">
        <v>190</v>
      </c>
      <c r="K235" s="26">
        <v>0.14109742441209405</v>
      </c>
    </row>
    <row r="236" spans="2:11" ht="14.4">
      <c r="J236" s="7" t="s">
        <v>186</v>
      </c>
      <c r="K236" s="26">
        <v>0.1391448859344312</v>
      </c>
    </row>
    <row r="237" spans="2:11" ht="14.4">
      <c r="J237" s="7" t="s">
        <v>195</v>
      </c>
      <c r="K237" s="26">
        <v>0.13109273271159599</v>
      </c>
    </row>
    <row r="238" spans="2:11" ht="14.4">
      <c r="J238" s="7" t="s">
        <v>192</v>
      </c>
      <c r="K238" s="26">
        <v>0.11352941176470588</v>
      </c>
    </row>
    <row r="241" spans="2:13" ht="14.4">
      <c r="C241" s="78" t="s">
        <v>164</v>
      </c>
      <c r="D241" s="78" t="s">
        <v>30</v>
      </c>
      <c r="E241" s="78" t="s">
        <v>31</v>
      </c>
      <c r="F241" s="78" t="s">
        <v>3</v>
      </c>
      <c r="G241" s="78" t="s">
        <v>32</v>
      </c>
    </row>
    <row r="242" spans="2:13" ht="14.4">
      <c r="C242" s="7" t="s">
        <v>170</v>
      </c>
      <c r="D242" s="7" t="s">
        <v>170</v>
      </c>
      <c r="E242" s="7" t="s">
        <v>170</v>
      </c>
      <c r="F242" s="7" t="s">
        <v>170</v>
      </c>
      <c r="G242" s="7" t="s">
        <v>170</v>
      </c>
    </row>
    <row r="243" spans="2:13" ht="14.4">
      <c r="C243" s="7" t="s">
        <v>172</v>
      </c>
      <c r="D243" s="7" t="s">
        <v>27</v>
      </c>
      <c r="E243" s="7" t="s">
        <v>27</v>
      </c>
      <c r="F243" s="7" t="s">
        <v>172</v>
      </c>
      <c r="G243" s="7" t="s">
        <v>27</v>
      </c>
    </row>
    <row r="244" spans="2:13" ht="14.4">
      <c r="C244" s="7"/>
      <c r="D244" s="7"/>
      <c r="E244" s="7"/>
      <c r="F244" s="7" t="s">
        <v>27</v>
      </c>
      <c r="G244" s="7" t="s">
        <v>172</v>
      </c>
    </row>
    <row r="246" spans="2:13" ht="14.4">
      <c r="B246" s="92" t="s">
        <v>240</v>
      </c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</row>
    <row r="247" spans="2:13" ht="15" customHeight="1"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</row>
    <row r="249" spans="2:13" ht="14.4">
      <c r="C249" s="76" t="s">
        <v>208</v>
      </c>
      <c r="D249" s="76" t="s">
        <v>241</v>
      </c>
      <c r="E249" s="76" t="s">
        <v>242</v>
      </c>
      <c r="F249" s="76" t="s">
        <v>29</v>
      </c>
    </row>
    <row r="250" spans="2:13" ht="15.6">
      <c r="C250" s="5" t="s">
        <v>170</v>
      </c>
      <c r="D250" s="93">
        <v>59381</v>
      </c>
      <c r="E250" s="93">
        <v>52758</v>
      </c>
      <c r="F250" s="94">
        <f>(D250/E250)-1</f>
        <v>0.12553546381591407</v>
      </c>
    </row>
    <row r="251" spans="2:13" ht="14.4">
      <c r="C251" s="5" t="s">
        <v>172</v>
      </c>
      <c r="D251" s="10"/>
      <c r="E251" s="7"/>
      <c r="F251" s="7"/>
    </row>
    <row r="252" spans="2:13" ht="15.6">
      <c r="C252" s="5" t="s">
        <v>175</v>
      </c>
      <c r="D252" s="10">
        <v>26296</v>
      </c>
      <c r="E252" s="7">
        <v>23464</v>
      </c>
      <c r="F252" s="94">
        <f t="shared" ref="F252:F253" si="0">(D252/E252)-1</f>
        <v>0.12069553358336171</v>
      </c>
    </row>
    <row r="253" spans="2:13" ht="15.6">
      <c r="C253" s="5" t="s">
        <v>178</v>
      </c>
      <c r="D253" s="10">
        <v>22831</v>
      </c>
      <c r="E253" s="7">
        <v>21529</v>
      </c>
      <c r="F253" s="94">
        <f t="shared" si="0"/>
        <v>6.047656649170885E-2</v>
      </c>
    </row>
    <row r="257" spans="3:6" ht="15.6">
      <c r="C257" s="20" t="s">
        <v>26</v>
      </c>
      <c r="D257" s="20">
        <f t="shared" ref="D257:E257" si="1">SUM(D250:D253)</f>
        <v>108508</v>
      </c>
      <c r="E257" s="20">
        <f t="shared" si="1"/>
        <v>97751</v>
      </c>
      <c r="F257" s="94">
        <f>(D257/E257)-1</f>
        <v>0.11004491002649597</v>
      </c>
    </row>
  </sheetData>
  <mergeCells count="2">
    <mergeCell ref="B2:M3"/>
    <mergeCell ref="B246:M247"/>
  </mergeCells>
  <conditionalFormatting sqref="D250:D255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250:E255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250:F255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6:I21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64:K72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75:K80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88:K107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10:K120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23:K133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136:K146">
    <cfRule type="colorScale" priority="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149:K159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162:K172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76:K186">
    <cfRule type="colorScale" priority="1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189:K199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202:K212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215:K225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228:K238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36:N45 O36:O47 K47:N47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26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246" r:id="rId1" xr:uid="{6BE79309-7504-4622-A18A-AE5AF9C62E2A}"/>
  </hyperlink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TATAELXSI</vt:lpstr>
      <vt:lpstr>Computers_Software &amp; Consulting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2024-10-13T06:09:41Z</dcterms:created>
  <dcterms:modified xsi:type="dcterms:W3CDTF">2024-10-13T06:10:26Z</dcterms:modified>
</cp:coreProperties>
</file>